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sch\OneDrive\Desktop\"/>
    </mc:Choice>
  </mc:AlternateContent>
  <xr:revisionPtr revIDLastSave="0" documentId="13_ncr:1_{50974975-E758-4B30-B600-7FA74711C139}" xr6:coauthVersionLast="47" xr6:coauthVersionMax="47" xr10:uidLastSave="{00000000-0000-0000-0000-000000000000}"/>
  <bookViews>
    <workbookView xWindow="1590" yWindow="495" windowWidth="26250" windowHeight="14670" tabRatio="831" xr2:uid="{00000000-000D-0000-FFFF-FFFF00000000}"/>
  </bookViews>
  <sheets>
    <sheet name="NAB_PTX Tumor Volume" sheetId="5" r:id="rId1"/>
    <sheet name="NAB_PTX Body Weight" sheetId="15" r:id="rId2"/>
    <sheet name="NAB_PTX Radioactivity" sheetId="16" r:id="rId3"/>
    <sheet name="NAB_PTX Survival" sheetId="18" r:id="rId4"/>
    <sheet name="NAB_PTX Groups" sheetId="14" r:id="rId5"/>
    <sheet name="5GY EBRT Tumor Size" sheetId="19" r:id="rId6"/>
    <sheet name="5GY EBRT Body Weight" sheetId="20" r:id="rId7"/>
    <sheet name="5GY EBRT Survival" sheetId="21" r:id="rId8"/>
    <sheet name="5GY EBRT Groups" sheetId="22" r:id="rId9"/>
    <sheet name="3GY+10GY Mouse Measurements" sheetId="24" r:id="rId10"/>
    <sheet name="3GY+10GY Survival Notes" sheetId="25" r:id="rId11"/>
    <sheet name="3GY+10GY Group Summary" sheetId="23" r:id="rId12"/>
  </sheets>
  <definedNames>
    <definedName name="_xlnm._FilterDatabase" localSheetId="9" hidden="1">'3GY+10GY Mouse Measurements'!$A$8:$K$2528</definedName>
    <definedName name="_xlnm._FilterDatabase" localSheetId="10" hidden="1">'3GY+10GY Survival Notes'!$A$8:$G$43</definedName>
    <definedName name="_xlnm._FilterDatabase" localSheetId="6" hidden="1">'5GY EBRT Body Weight'!$A$4:$CU$35</definedName>
    <definedName name="_xlnm._FilterDatabase" localSheetId="8" hidden="1">'5GY EBRT Groups'!$B$5:$K$21</definedName>
    <definedName name="_xlnm._FilterDatabase" localSheetId="7" hidden="1">'5GY EBRT Survival'!$A$4:$AY$35</definedName>
    <definedName name="_xlnm._FilterDatabase" localSheetId="5" hidden="1">'5GY EBRT Tumor Size'!$A$4:$DC$35</definedName>
    <definedName name="_xlnm._FilterDatabase" localSheetId="1" hidden="1">'NAB_PTX Body Weight'!$A$4:$CV$27</definedName>
    <definedName name="_xlnm._FilterDatabase" localSheetId="4" hidden="1">'NAB_PTX Groups'!$B$5:$K$21</definedName>
    <definedName name="_xlnm._FilterDatabase" localSheetId="2" hidden="1">'NAB_PTX Radioactivity'!$A$4:$BB$27</definedName>
    <definedName name="_xlnm._FilterDatabase" localSheetId="3" hidden="1">'NAB_PTX Survival'!$A$4:$BA$27</definedName>
    <definedName name="_xlnm._FilterDatabase" localSheetId="0" hidden="1">'NAB_PTX Tumor Volume'!$A$4:$DE$27</definedName>
    <definedName name="Groups">'NAB_PTX Groups'!$C$6:$C$21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528" i="24" l="1"/>
  <c r="F2528" i="24"/>
  <c r="B2528" i="24"/>
  <c r="J2527" i="24"/>
  <c r="F2527" i="24"/>
  <c r="B2527" i="24"/>
  <c r="I2526" i="24"/>
  <c r="B2526" i="24"/>
  <c r="J2525" i="24"/>
  <c r="F2525" i="24"/>
  <c r="B2525" i="24"/>
  <c r="J2524" i="24"/>
  <c r="F2524" i="24"/>
  <c r="B2524" i="24"/>
  <c r="J2523" i="24"/>
  <c r="F2523" i="24"/>
  <c r="B2523" i="24"/>
  <c r="J2522" i="24"/>
  <c r="F2522" i="24"/>
  <c r="B2522" i="24"/>
  <c r="J2521" i="24"/>
  <c r="F2521" i="24"/>
  <c r="B2521" i="24"/>
  <c r="J2520" i="24"/>
  <c r="F2520" i="24"/>
  <c r="B2520" i="24"/>
  <c r="J2519" i="24"/>
  <c r="F2519" i="24"/>
  <c r="B2519" i="24"/>
  <c r="J2518" i="24"/>
  <c r="F2518" i="24"/>
  <c r="B2518" i="24"/>
  <c r="J2517" i="24"/>
  <c r="F2517" i="24"/>
  <c r="B2517" i="24"/>
  <c r="J2516" i="24"/>
  <c r="F2516" i="24"/>
  <c r="B2516" i="24"/>
  <c r="J2515" i="24"/>
  <c r="F2515" i="24"/>
  <c r="B2515" i="24"/>
  <c r="J2514" i="24"/>
  <c r="F2514" i="24"/>
  <c r="B2514" i="24"/>
  <c r="J2513" i="24"/>
  <c r="F2513" i="24"/>
  <c r="B2513" i="24"/>
  <c r="J2512" i="24"/>
  <c r="F2512" i="24"/>
  <c r="B2512" i="24"/>
  <c r="J2511" i="24"/>
  <c r="F2511" i="24"/>
  <c r="B2511" i="24"/>
  <c r="J2510" i="24"/>
  <c r="F2510" i="24"/>
  <c r="B2510" i="24"/>
  <c r="J2509" i="24"/>
  <c r="F2509" i="24"/>
  <c r="B2509" i="24"/>
  <c r="J2508" i="24"/>
  <c r="F2508" i="24"/>
  <c r="B2508" i="24"/>
  <c r="J2507" i="24"/>
  <c r="F2507" i="24"/>
  <c r="B2507" i="24"/>
  <c r="J2506" i="24"/>
  <c r="F2506" i="24"/>
  <c r="B2506" i="24"/>
  <c r="J2505" i="24"/>
  <c r="F2505" i="24"/>
  <c r="B2505" i="24"/>
  <c r="J2504" i="24"/>
  <c r="F2504" i="24"/>
  <c r="B2504" i="24"/>
  <c r="J2503" i="24"/>
  <c r="F2503" i="24"/>
  <c r="B2503" i="24"/>
  <c r="J2502" i="24"/>
  <c r="F2502" i="24"/>
  <c r="B2502" i="24"/>
  <c r="J2501" i="24"/>
  <c r="F2501" i="24"/>
  <c r="B2501" i="24"/>
  <c r="J2500" i="24"/>
  <c r="F2500" i="24"/>
  <c r="B2500" i="24"/>
  <c r="J2499" i="24"/>
  <c r="F2499" i="24"/>
  <c r="B2499" i="24"/>
  <c r="J2498" i="24"/>
  <c r="F2498" i="24"/>
  <c r="B2498" i="24"/>
  <c r="J2497" i="24"/>
  <c r="F2497" i="24"/>
  <c r="B2497" i="24"/>
  <c r="J2496" i="24"/>
  <c r="F2496" i="24"/>
  <c r="B2496" i="24"/>
  <c r="I2495" i="24"/>
  <c r="B2495" i="24"/>
  <c r="J2494" i="24"/>
  <c r="F2494" i="24"/>
  <c r="B2494" i="24"/>
  <c r="J2493" i="24"/>
  <c r="F2493" i="24"/>
  <c r="B2493" i="24"/>
  <c r="J2492" i="24"/>
  <c r="F2492" i="24"/>
  <c r="B2492" i="24"/>
  <c r="I2491" i="24"/>
  <c r="B2491" i="24"/>
  <c r="J2490" i="24"/>
  <c r="F2490" i="24"/>
  <c r="B2490" i="24"/>
  <c r="J2489" i="24"/>
  <c r="F2489" i="24"/>
  <c r="B2489" i="24"/>
  <c r="J2488" i="24"/>
  <c r="F2488" i="24"/>
  <c r="B2488" i="24"/>
  <c r="J2487" i="24"/>
  <c r="F2487" i="24"/>
  <c r="B2487" i="24"/>
  <c r="J2486" i="24"/>
  <c r="F2486" i="24"/>
  <c r="B2486" i="24"/>
  <c r="J2485" i="24"/>
  <c r="F2485" i="24"/>
  <c r="B2485" i="24"/>
  <c r="J2484" i="24"/>
  <c r="F2484" i="24"/>
  <c r="B2484" i="24"/>
  <c r="J2483" i="24"/>
  <c r="F2483" i="24"/>
  <c r="B2483" i="24"/>
  <c r="J2482" i="24"/>
  <c r="F2482" i="24"/>
  <c r="B2482" i="24"/>
  <c r="J2481" i="24"/>
  <c r="F2481" i="24"/>
  <c r="B2481" i="24"/>
  <c r="J2480" i="24"/>
  <c r="F2480" i="24"/>
  <c r="B2480" i="24"/>
  <c r="J2479" i="24"/>
  <c r="F2479" i="24"/>
  <c r="B2479" i="24"/>
  <c r="J2478" i="24"/>
  <c r="F2478" i="24"/>
  <c r="B2478" i="24"/>
  <c r="J2477" i="24"/>
  <c r="F2477" i="24"/>
  <c r="B2477" i="24"/>
  <c r="J2476" i="24"/>
  <c r="F2476" i="24"/>
  <c r="B2476" i="24"/>
  <c r="J2475" i="24"/>
  <c r="F2475" i="24"/>
  <c r="B2475" i="24"/>
  <c r="J2474" i="24"/>
  <c r="F2474" i="24"/>
  <c r="B2474" i="24"/>
  <c r="J2473" i="24"/>
  <c r="F2473" i="24"/>
  <c r="B2473" i="24"/>
  <c r="J2472" i="24"/>
  <c r="F2472" i="24"/>
  <c r="B2472" i="24"/>
  <c r="J2471" i="24"/>
  <c r="F2471" i="24"/>
  <c r="B2471" i="24"/>
  <c r="J2470" i="24"/>
  <c r="F2470" i="24"/>
  <c r="B2470" i="24"/>
  <c r="J2469" i="24"/>
  <c r="F2469" i="24"/>
  <c r="B2469" i="24"/>
  <c r="J2468" i="24"/>
  <c r="F2468" i="24"/>
  <c r="B2468" i="24"/>
  <c r="J2467" i="24"/>
  <c r="F2467" i="24"/>
  <c r="B2467" i="24"/>
  <c r="J2466" i="24"/>
  <c r="F2466" i="24"/>
  <c r="B2466" i="24"/>
  <c r="J2465" i="24"/>
  <c r="F2465" i="24"/>
  <c r="B2465" i="24"/>
  <c r="J2464" i="24"/>
  <c r="F2464" i="24"/>
  <c r="B2464" i="24"/>
  <c r="J2463" i="24"/>
  <c r="F2463" i="24"/>
  <c r="B2463" i="24"/>
  <c r="J2462" i="24"/>
  <c r="F2462" i="24"/>
  <c r="B2462" i="24"/>
  <c r="J2461" i="24"/>
  <c r="F2461" i="24"/>
  <c r="B2461" i="24"/>
  <c r="I2460" i="24"/>
  <c r="B2460" i="24"/>
  <c r="J2459" i="24"/>
  <c r="F2459" i="24"/>
  <c r="B2459" i="24"/>
  <c r="J2458" i="24"/>
  <c r="F2458" i="24"/>
  <c r="B2458" i="24"/>
  <c r="J2457" i="24"/>
  <c r="F2457" i="24"/>
  <c r="B2457" i="24"/>
  <c r="I2456" i="24"/>
  <c r="B2456" i="24"/>
  <c r="J2455" i="24"/>
  <c r="F2455" i="24"/>
  <c r="B2455" i="24"/>
  <c r="J2454" i="24"/>
  <c r="F2454" i="24"/>
  <c r="B2454" i="24"/>
  <c r="J2453" i="24"/>
  <c r="F2453" i="24"/>
  <c r="B2453" i="24"/>
  <c r="J2452" i="24"/>
  <c r="F2452" i="24"/>
  <c r="B2452" i="24"/>
  <c r="J2451" i="24"/>
  <c r="F2451" i="24"/>
  <c r="B2451" i="24"/>
  <c r="J2450" i="24"/>
  <c r="F2450" i="24"/>
  <c r="B2450" i="24"/>
  <c r="J2449" i="24"/>
  <c r="F2449" i="24"/>
  <c r="B2449" i="24"/>
  <c r="J2448" i="24"/>
  <c r="F2448" i="24"/>
  <c r="B2448" i="24"/>
  <c r="J2447" i="24"/>
  <c r="F2447" i="24"/>
  <c r="B2447" i="24"/>
  <c r="J2446" i="24"/>
  <c r="F2446" i="24"/>
  <c r="B2446" i="24"/>
  <c r="J2445" i="24"/>
  <c r="F2445" i="24"/>
  <c r="B2445" i="24"/>
  <c r="J2444" i="24"/>
  <c r="F2444" i="24"/>
  <c r="B2444" i="24"/>
  <c r="J2443" i="24"/>
  <c r="F2443" i="24"/>
  <c r="B2443" i="24"/>
  <c r="J2442" i="24"/>
  <c r="F2442" i="24"/>
  <c r="B2442" i="24"/>
  <c r="J2441" i="24"/>
  <c r="F2441" i="24"/>
  <c r="B2441" i="24"/>
  <c r="J2440" i="24"/>
  <c r="F2440" i="24"/>
  <c r="B2440" i="24"/>
  <c r="J2439" i="24"/>
  <c r="F2439" i="24"/>
  <c r="B2439" i="24"/>
  <c r="J2438" i="24"/>
  <c r="F2438" i="24"/>
  <c r="B2438" i="24"/>
  <c r="J2437" i="24"/>
  <c r="F2437" i="24"/>
  <c r="B2437" i="24"/>
  <c r="J2436" i="24"/>
  <c r="F2436" i="24"/>
  <c r="B2436" i="24"/>
  <c r="J2435" i="24"/>
  <c r="F2435" i="24"/>
  <c r="B2435" i="24"/>
  <c r="J2434" i="24"/>
  <c r="F2434" i="24"/>
  <c r="B2434" i="24"/>
  <c r="J2433" i="24"/>
  <c r="F2433" i="24"/>
  <c r="B2433" i="24"/>
  <c r="J2432" i="24"/>
  <c r="F2432" i="24"/>
  <c r="B2432" i="24"/>
  <c r="J2431" i="24"/>
  <c r="F2431" i="24"/>
  <c r="B2431" i="24"/>
  <c r="J2430" i="24"/>
  <c r="F2430" i="24"/>
  <c r="B2430" i="24"/>
  <c r="J2429" i="24"/>
  <c r="F2429" i="24"/>
  <c r="B2429" i="24"/>
  <c r="J2428" i="24"/>
  <c r="F2428" i="24"/>
  <c r="B2428" i="24"/>
  <c r="J2427" i="24"/>
  <c r="F2427" i="24"/>
  <c r="B2427" i="24"/>
  <c r="J2426" i="24"/>
  <c r="F2426" i="24"/>
  <c r="B2426" i="24"/>
  <c r="I2425" i="24"/>
  <c r="B2425" i="24"/>
  <c r="J2424" i="24"/>
  <c r="F2424" i="24"/>
  <c r="B2424" i="24"/>
  <c r="J2423" i="24"/>
  <c r="F2423" i="24"/>
  <c r="B2423" i="24"/>
  <c r="J2422" i="24"/>
  <c r="F2422" i="24"/>
  <c r="B2422" i="24"/>
  <c r="I2421" i="24"/>
  <c r="B2421" i="24"/>
  <c r="J2420" i="24"/>
  <c r="F2420" i="24"/>
  <c r="B2420" i="24"/>
  <c r="J2419" i="24"/>
  <c r="F2419" i="24"/>
  <c r="B2419" i="24"/>
  <c r="J2418" i="24"/>
  <c r="F2418" i="24"/>
  <c r="B2418" i="24"/>
  <c r="J2417" i="24"/>
  <c r="F2417" i="24"/>
  <c r="B2417" i="24"/>
  <c r="J2416" i="24"/>
  <c r="F2416" i="24"/>
  <c r="B2416" i="24"/>
  <c r="J2415" i="24"/>
  <c r="F2415" i="24"/>
  <c r="B2415" i="24"/>
  <c r="J2414" i="24"/>
  <c r="F2414" i="24"/>
  <c r="B2414" i="24"/>
  <c r="J2413" i="24"/>
  <c r="F2413" i="24"/>
  <c r="B2413" i="24"/>
  <c r="J2412" i="24"/>
  <c r="F2412" i="24"/>
  <c r="B2412" i="24"/>
  <c r="J2411" i="24"/>
  <c r="F2411" i="24"/>
  <c r="B2411" i="24"/>
  <c r="J2410" i="24"/>
  <c r="F2410" i="24"/>
  <c r="B2410" i="24"/>
  <c r="J2409" i="24"/>
  <c r="F2409" i="24"/>
  <c r="B2409" i="24"/>
  <c r="J2408" i="24"/>
  <c r="F2408" i="24"/>
  <c r="B2408" i="24"/>
  <c r="J2407" i="24"/>
  <c r="F2407" i="24"/>
  <c r="B2407" i="24"/>
  <c r="J2406" i="24"/>
  <c r="F2406" i="24"/>
  <c r="B2406" i="24"/>
  <c r="J2405" i="24"/>
  <c r="F2405" i="24"/>
  <c r="B2405" i="24"/>
  <c r="J2404" i="24"/>
  <c r="F2404" i="24"/>
  <c r="B2404" i="24"/>
  <c r="J2403" i="24"/>
  <c r="F2403" i="24"/>
  <c r="B2403" i="24"/>
  <c r="J2402" i="24"/>
  <c r="F2402" i="24"/>
  <c r="B2402" i="24"/>
  <c r="J2401" i="24"/>
  <c r="F2401" i="24"/>
  <c r="B2401" i="24"/>
  <c r="J2400" i="24"/>
  <c r="F2400" i="24"/>
  <c r="B2400" i="24"/>
  <c r="J2399" i="24"/>
  <c r="F2399" i="24"/>
  <c r="B2399" i="24"/>
  <c r="J2398" i="24"/>
  <c r="F2398" i="24"/>
  <c r="B2398" i="24"/>
  <c r="J2397" i="24"/>
  <c r="F2397" i="24"/>
  <c r="B2397" i="24"/>
  <c r="J2396" i="24"/>
  <c r="F2396" i="24"/>
  <c r="B2396" i="24"/>
  <c r="J2395" i="24"/>
  <c r="F2395" i="24"/>
  <c r="B2395" i="24"/>
  <c r="J2394" i="24"/>
  <c r="F2394" i="24"/>
  <c r="B2394" i="24"/>
  <c r="J2393" i="24"/>
  <c r="F2393" i="24"/>
  <c r="B2393" i="24"/>
  <c r="J2392" i="24"/>
  <c r="F2392" i="24"/>
  <c r="B2392" i="24"/>
  <c r="J2391" i="24"/>
  <c r="F2391" i="24"/>
  <c r="B2391" i="24"/>
  <c r="I2390" i="24"/>
  <c r="B2390" i="24"/>
  <c r="J2389" i="24"/>
  <c r="F2389" i="24"/>
  <c r="B2389" i="24"/>
  <c r="J2388" i="24"/>
  <c r="F2388" i="24"/>
  <c r="B2388" i="24"/>
  <c r="J2387" i="24"/>
  <c r="F2387" i="24"/>
  <c r="B2387" i="24"/>
  <c r="I2386" i="24"/>
  <c r="B2386" i="24"/>
  <c r="J2385" i="24"/>
  <c r="F2385" i="24"/>
  <c r="B2385" i="24"/>
  <c r="J2384" i="24"/>
  <c r="F2384" i="24"/>
  <c r="B2384" i="24"/>
  <c r="J2383" i="24"/>
  <c r="F2383" i="24"/>
  <c r="B2383" i="24"/>
  <c r="J2382" i="24"/>
  <c r="F2382" i="24"/>
  <c r="B2382" i="24"/>
  <c r="J2381" i="24"/>
  <c r="F2381" i="24"/>
  <c r="B2381" i="24"/>
  <c r="J2380" i="24"/>
  <c r="F2380" i="24"/>
  <c r="B2380" i="24"/>
  <c r="J2379" i="24"/>
  <c r="F2379" i="24"/>
  <c r="B2379" i="24"/>
  <c r="J2378" i="24"/>
  <c r="F2378" i="24"/>
  <c r="B2378" i="24"/>
  <c r="J2377" i="24"/>
  <c r="F2377" i="24"/>
  <c r="B2377" i="24"/>
  <c r="J2376" i="24"/>
  <c r="F2376" i="24"/>
  <c r="B2376" i="24"/>
  <c r="J2375" i="24"/>
  <c r="F2375" i="24"/>
  <c r="B2375" i="24"/>
  <c r="J2374" i="24"/>
  <c r="F2374" i="24"/>
  <c r="B2374" i="24"/>
  <c r="J2373" i="24"/>
  <c r="F2373" i="24"/>
  <c r="B2373" i="24"/>
  <c r="J2372" i="24"/>
  <c r="F2372" i="24"/>
  <c r="B2372" i="24"/>
  <c r="J2371" i="24"/>
  <c r="F2371" i="24"/>
  <c r="B2371" i="24"/>
  <c r="J2370" i="24"/>
  <c r="F2370" i="24"/>
  <c r="B2370" i="24"/>
  <c r="J2369" i="24"/>
  <c r="F2369" i="24"/>
  <c r="B2369" i="24"/>
  <c r="J2368" i="24"/>
  <c r="F2368" i="24"/>
  <c r="B2368" i="24"/>
  <c r="J2367" i="24"/>
  <c r="F2367" i="24"/>
  <c r="B2367" i="24"/>
  <c r="J2366" i="24"/>
  <c r="F2366" i="24"/>
  <c r="B2366" i="24"/>
  <c r="J2365" i="24"/>
  <c r="F2365" i="24"/>
  <c r="B2365" i="24"/>
  <c r="J2364" i="24"/>
  <c r="F2364" i="24"/>
  <c r="B2364" i="24"/>
  <c r="J2363" i="24"/>
  <c r="F2363" i="24"/>
  <c r="B2363" i="24"/>
  <c r="J2362" i="24"/>
  <c r="F2362" i="24"/>
  <c r="B2362" i="24"/>
  <c r="J2361" i="24"/>
  <c r="F2361" i="24"/>
  <c r="B2361" i="24"/>
  <c r="J2360" i="24"/>
  <c r="F2360" i="24"/>
  <c r="B2360" i="24"/>
  <c r="J2359" i="24"/>
  <c r="F2359" i="24"/>
  <c r="B2359" i="24"/>
  <c r="J2358" i="24"/>
  <c r="F2358" i="24"/>
  <c r="B2358" i="24"/>
  <c r="J2357" i="24"/>
  <c r="F2357" i="24"/>
  <c r="B2357" i="24"/>
  <c r="J2356" i="24"/>
  <c r="F2356" i="24"/>
  <c r="B2356" i="24"/>
  <c r="I2355" i="24"/>
  <c r="B2355" i="24"/>
  <c r="J2354" i="24"/>
  <c r="F2354" i="24"/>
  <c r="B2354" i="24"/>
  <c r="J2353" i="24"/>
  <c r="F2353" i="24"/>
  <c r="B2353" i="24"/>
  <c r="J2352" i="24"/>
  <c r="F2352" i="24"/>
  <c r="B2352" i="24"/>
  <c r="I2351" i="24"/>
  <c r="B2351" i="24"/>
  <c r="J2350" i="24"/>
  <c r="F2350" i="24"/>
  <c r="B2350" i="24"/>
  <c r="J2349" i="24"/>
  <c r="F2349" i="24"/>
  <c r="B2349" i="24"/>
  <c r="J2348" i="24"/>
  <c r="F2348" i="24"/>
  <c r="B2348" i="24"/>
  <c r="J2347" i="24"/>
  <c r="F2347" i="24"/>
  <c r="B2347" i="24"/>
  <c r="J2346" i="24"/>
  <c r="F2346" i="24"/>
  <c r="B2346" i="24"/>
  <c r="J2345" i="24"/>
  <c r="F2345" i="24"/>
  <c r="B2345" i="24"/>
  <c r="J2344" i="24"/>
  <c r="F2344" i="24"/>
  <c r="B2344" i="24"/>
  <c r="J2343" i="24"/>
  <c r="F2343" i="24"/>
  <c r="B2343" i="24"/>
  <c r="J2342" i="24"/>
  <c r="F2342" i="24"/>
  <c r="B2342" i="24"/>
  <c r="J2341" i="24"/>
  <c r="F2341" i="24"/>
  <c r="B2341" i="24"/>
  <c r="J2340" i="24"/>
  <c r="F2340" i="24"/>
  <c r="B2340" i="24"/>
  <c r="J2339" i="24"/>
  <c r="F2339" i="24"/>
  <c r="B2339" i="24"/>
  <c r="J2338" i="24"/>
  <c r="F2338" i="24"/>
  <c r="B2338" i="24"/>
  <c r="J2337" i="24"/>
  <c r="F2337" i="24"/>
  <c r="B2337" i="24"/>
  <c r="J2336" i="24"/>
  <c r="F2336" i="24"/>
  <c r="B2336" i="24"/>
  <c r="J2335" i="24"/>
  <c r="F2335" i="24"/>
  <c r="B2335" i="24"/>
  <c r="J2334" i="24"/>
  <c r="F2334" i="24"/>
  <c r="B2334" i="24"/>
  <c r="J2333" i="24"/>
  <c r="F2333" i="24"/>
  <c r="B2333" i="24"/>
  <c r="J2332" i="24"/>
  <c r="F2332" i="24"/>
  <c r="B2332" i="24"/>
  <c r="J2331" i="24"/>
  <c r="F2331" i="24"/>
  <c r="B2331" i="24"/>
  <c r="J2330" i="24"/>
  <c r="F2330" i="24"/>
  <c r="B2330" i="24"/>
  <c r="J2329" i="24"/>
  <c r="F2329" i="24"/>
  <c r="B2329" i="24"/>
  <c r="J2328" i="24"/>
  <c r="F2328" i="24"/>
  <c r="B2328" i="24"/>
  <c r="J2327" i="24"/>
  <c r="F2327" i="24"/>
  <c r="B2327" i="24"/>
  <c r="J2326" i="24"/>
  <c r="F2326" i="24"/>
  <c r="B2326" i="24"/>
  <c r="J2325" i="24"/>
  <c r="F2325" i="24"/>
  <c r="B2325" i="24"/>
  <c r="J2324" i="24"/>
  <c r="F2324" i="24"/>
  <c r="B2324" i="24"/>
  <c r="J2323" i="24"/>
  <c r="F2323" i="24"/>
  <c r="B2323" i="24"/>
  <c r="J2322" i="24"/>
  <c r="F2322" i="24"/>
  <c r="B2322" i="24"/>
  <c r="J2321" i="24"/>
  <c r="F2321" i="24"/>
  <c r="B2321" i="24"/>
  <c r="I2320" i="24"/>
  <c r="B2320" i="24"/>
  <c r="J2319" i="24"/>
  <c r="F2319" i="24"/>
  <c r="B2319" i="24"/>
  <c r="J2318" i="24"/>
  <c r="F2318" i="24"/>
  <c r="B2318" i="24"/>
  <c r="J2317" i="24"/>
  <c r="F2317" i="24"/>
  <c r="B2317" i="24"/>
  <c r="I2316" i="24"/>
  <c r="B2316" i="24"/>
  <c r="J2315" i="24"/>
  <c r="F2315" i="24"/>
  <c r="B2315" i="24"/>
  <c r="J2314" i="24"/>
  <c r="F2314" i="24"/>
  <c r="B2314" i="24"/>
  <c r="J2313" i="24"/>
  <c r="F2313" i="24"/>
  <c r="B2313" i="24"/>
  <c r="J2312" i="24"/>
  <c r="F2312" i="24"/>
  <c r="B2312" i="24"/>
  <c r="J2311" i="24"/>
  <c r="F2311" i="24"/>
  <c r="B2311" i="24"/>
  <c r="J2310" i="24"/>
  <c r="F2310" i="24"/>
  <c r="B2310" i="24"/>
  <c r="J2309" i="24"/>
  <c r="F2309" i="24"/>
  <c r="B2309" i="24"/>
  <c r="J2308" i="24"/>
  <c r="F2308" i="24"/>
  <c r="B2308" i="24"/>
  <c r="J2307" i="24"/>
  <c r="F2307" i="24"/>
  <c r="B2307" i="24"/>
  <c r="J2306" i="24"/>
  <c r="F2306" i="24"/>
  <c r="B2306" i="24"/>
  <c r="J2305" i="24"/>
  <c r="F2305" i="24"/>
  <c r="B2305" i="24"/>
  <c r="J2304" i="24"/>
  <c r="F2304" i="24"/>
  <c r="B2304" i="24"/>
  <c r="J2303" i="24"/>
  <c r="F2303" i="24"/>
  <c r="B2303" i="24"/>
  <c r="J2302" i="24"/>
  <c r="F2302" i="24"/>
  <c r="B2302" i="24"/>
  <c r="J2301" i="24"/>
  <c r="F2301" i="24"/>
  <c r="B2301" i="24"/>
  <c r="J2300" i="24"/>
  <c r="F2300" i="24"/>
  <c r="B2300" i="24"/>
  <c r="J2299" i="24"/>
  <c r="F2299" i="24"/>
  <c r="B2299" i="24"/>
  <c r="J2298" i="24"/>
  <c r="F2298" i="24"/>
  <c r="B2298" i="24"/>
  <c r="J2297" i="24"/>
  <c r="F2297" i="24"/>
  <c r="B2297" i="24"/>
  <c r="J2296" i="24"/>
  <c r="F2296" i="24"/>
  <c r="B2296" i="24"/>
  <c r="J2295" i="24"/>
  <c r="F2295" i="24"/>
  <c r="B2295" i="24"/>
  <c r="J2294" i="24"/>
  <c r="F2294" i="24"/>
  <c r="B2294" i="24"/>
  <c r="J2293" i="24"/>
  <c r="F2293" i="24"/>
  <c r="B2293" i="24"/>
  <c r="J2292" i="24"/>
  <c r="F2292" i="24"/>
  <c r="B2292" i="24"/>
  <c r="J2291" i="24"/>
  <c r="F2291" i="24"/>
  <c r="B2291" i="24"/>
  <c r="J2290" i="24"/>
  <c r="F2290" i="24"/>
  <c r="B2290" i="24"/>
  <c r="J2289" i="24"/>
  <c r="F2289" i="24"/>
  <c r="B2289" i="24"/>
  <c r="J2288" i="24"/>
  <c r="F2288" i="24"/>
  <c r="B2288" i="24"/>
  <c r="J2287" i="24"/>
  <c r="F2287" i="24"/>
  <c r="B2287" i="24"/>
  <c r="J2286" i="24"/>
  <c r="F2286" i="24"/>
  <c r="B2286" i="24"/>
  <c r="I2285" i="24"/>
  <c r="B2285" i="24"/>
  <c r="J2284" i="24"/>
  <c r="F2284" i="24"/>
  <c r="B2284" i="24"/>
  <c r="J2283" i="24"/>
  <c r="F2283" i="24"/>
  <c r="B2283" i="24"/>
  <c r="J2282" i="24"/>
  <c r="F2282" i="24"/>
  <c r="B2282" i="24"/>
  <c r="I2281" i="24"/>
  <c r="B2281" i="24"/>
  <c r="J2280" i="24"/>
  <c r="F2280" i="24"/>
  <c r="B2280" i="24"/>
  <c r="J2279" i="24"/>
  <c r="F2279" i="24"/>
  <c r="B2279" i="24"/>
  <c r="J2278" i="24"/>
  <c r="F2278" i="24"/>
  <c r="B2278" i="24"/>
  <c r="J2277" i="24"/>
  <c r="F2277" i="24"/>
  <c r="B2277" i="24"/>
  <c r="J2276" i="24"/>
  <c r="F2276" i="24"/>
  <c r="B2276" i="24"/>
  <c r="J2275" i="24"/>
  <c r="F2275" i="24"/>
  <c r="B2275" i="24"/>
  <c r="J2274" i="24"/>
  <c r="F2274" i="24"/>
  <c r="B2274" i="24"/>
  <c r="J2273" i="24"/>
  <c r="F2273" i="24"/>
  <c r="B2273" i="24"/>
  <c r="J2272" i="24"/>
  <c r="F2272" i="24"/>
  <c r="B2272" i="24"/>
  <c r="J2271" i="24"/>
  <c r="F2271" i="24"/>
  <c r="B2271" i="24"/>
  <c r="J2270" i="24"/>
  <c r="F2270" i="24"/>
  <c r="B2270" i="24"/>
  <c r="J2269" i="24"/>
  <c r="F2269" i="24"/>
  <c r="B2269" i="24"/>
  <c r="J2268" i="24"/>
  <c r="F2268" i="24"/>
  <c r="B2268" i="24"/>
  <c r="J2267" i="24"/>
  <c r="F2267" i="24"/>
  <c r="B2267" i="24"/>
  <c r="J2266" i="24"/>
  <c r="F2266" i="24"/>
  <c r="B2266" i="24"/>
  <c r="J2265" i="24"/>
  <c r="F2265" i="24"/>
  <c r="B2265" i="24"/>
  <c r="J2264" i="24"/>
  <c r="F2264" i="24"/>
  <c r="B2264" i="24"/>
  <c r="J2263" i="24"/>
  <c r="F2263" i="24"/>
  <c r="B2263" i="24"/>
  <c r="J2262" i="24"/>
  <c r="F2262" i="24"/>
  <c r="B2262" i="24"/>
  <c r="J2261" i="24"/>
  <c r="F2261" i="24"/>
  <c r="B2261" i="24"/>
  <c r="J2260" i="24"/>
  <c r="F2260" i="24"/>
  <c r="B2260" i="24"/>
  <c r="J2259" i="24"/>
  <c r="F2259" i="24"/>
  <c r="B2259" i="24"/>
  <c r="J2258" i="24"/>
  <c r="F2258" i="24"/>
  <c r="B2258" i="24"/>
  <c r="J2257" i="24"/>
  <c r="F2257" i="24"/>
  <c r="B2257" i="24"/>
  <c r="J2256" i="24"/>
  <c r="F2256" i="24"/>
  <c r="B2256" i="24"/>
  <c r="J2255" i="24"/>
  <c r="F2255" i="24"/>
  <c r="B2255" i="24"/>
  <c r="J2254" i="24"/>
  <c r="F2254" i="24"/>
  <c r="B2254" i="24"/>
  <c r="J2253" i="24"/>
  <c r="F2253" i="24"/>
  <c r="B2253" i="24"/>
  <c r="J2252" i="24"/>
  <c r="F2252" i="24"/>
  <c r="B2252" i="24"/>
  <c r="J2251" i="24"/>
  <c r="F2251" i="24"/>
  <c r="B2251" i="24"/>
  <c r="I2250" i="24"/>
  <c r="B2250" i="24"/>
  <c r="J2249" i="24"/>
  <c r="F2249" i="24"/>
  <c r="B2249" i="24"/>
  <c r="J2248" i="24"/>
  <c r="F2248" i="24"/>
  <c r="B2248" i="24"/>
  <c r="J2247" i="24"/>
  <c r="F2247" i="24"/>
  <c r="B2247" i="24"/>
  <c r="I2246" i="24"/>
  <c r="B2246" i="24"/>
  <c r="J2245" i="24"/>
  <c r="F2245" i="24"/>
  <c r="B2245" i="24"/>
  <c r="J2244" i="24"/>
  <c r="F2244" i="24"/>
  <c r="B2244" i="24"/>
  <c r="J2243" i="24"/>
  <c r="F2243" i="24"/>
  <c r="B2243" i="24"/>
  <c r="J2242" i="24"/>
  <c r="F2242" i="24"/>
  <c r="B2242" i="24"/>
  <c r="J2241" i="24"/>
  <c r="F2241" i="24"/>
  <c r="B2241" i="24"/>
  <c r="J2240" i="24"/>
  <c r="F2240" i="24"/>
  <c r="B2240" i="24"/>
  <c r="J2239" i="24"/>
  <c r="F2239" i="24"/>
  <c r="B2239" i="24"/>
  <c r="J2238" i="24"/>
  <c r="F2238" i="24"/>
  <c r="B2238" i="24"/>
  <c r="J2237" i="24"/>
  <c r="F2237" i="24"/>
  <c r="B2237" i="24"/>
  <c r="J2236" i="24"/>
  <c r="F2236" i="24"/>
  <c r="B2236" i="24"/>
  <c r="J2235" i="24"/>
  <c r="F2235" i="24"/>
  <c r="B2235" i="24"/>
  <c r="J2234" i="24"/>
  <c r="F2234" i="24"/>
  <c r="B2234" i="24"/>
  <c r="J2233" i="24"/>
  <c r="F2233" i="24"/>
  <c r="B2233" i="24"/>
  <c r="J2232" i="24"/>
  <c r="F2232" i="24"/>
  <c r="B2232" i="24"/>
  <c r="I2231" i="24"/>
  <c r="B2231" i="24"/>
  <c r="J2230" i="24"/>
  <c r="F2230" i="24"/>
  <c r="B2230" i="24"/>
  <c r="J2229" i="24"/>
  <c r="F2229" i="24"/>
  <c r="B2229" i="24"/>
  <c r="J2228" i="24"/>
  <c r="F2228" i="24"/>
  <c r="B2228" i="24"/>
  <c r="J2227" i="24"/>
  <c r="F2227" i="24"/>
  <c r="B2227" i="24"/>
  <c r="J2226" i="24"/>
  <c r="F2226" i="24"/>
  <c r="B2226" i="24"/>
  <c r="J2225" i="24"/>
  <c r="F2225" i="24"/>
  <c r="B2225" i="24"/>
  <c r="J2224" i="24"/>
  <c r="F2224" i="24"/>
  <c r="B2224" i="24"/>
  <c r="J2223" i="24"/>
  <c r="F2223" i="24"/>
  <c r="B2223" i="24"/>
  <c r="J2222" i="24"/>
  <c r="F2222" i="24"/>
  <c r="B2222" i="24"/>
  <c r="J2221" i="24"/>
  <c r="F2221" i="24"/>
  <c r="B2221" i="24"/>
  <c r="J2220" i="24"/>
  <c r="F2220" i="24"/>
  <c r="B2220" i="24"/>
  <c r="J2219" i="24"/>
  <c r="F2219" i="24"/>
  <c r="B2219" i="24"/>
  <c r="J2218" i="24"/>
  <c r="F2218" i="24"/>
  <c r="B2218" i="24"/>
  <c r="J2217" i="24"/>
  <c r="F2217" i="24"/>
  <c r="B2217" i="24"/>
  <c r="J2216" i="24"/>
  <c r="F2216" i="24"/>
  <c r="B2216" i="24"/>
  <c r="I2215" i="24"/>
  <c r="B2215" i="24"/>
  <c r="J2214" i="24"/>
  <c r="F2214" i="24"/>
  <c r="B2214" i="24"/>
  <c r="J2213" i="24"/>
  <c r="F2213" i="24"/>
  <c r="B2213" i="24"/>
  <c r="J2212" i="24"/>
  <c r="F2212" i="24"/>
  <c r="B2212" i="24"/>
  <c r="I2211" i="24"/>
  <c r="B2211" i="24"/>
  <c r="J2210" i="24"/>
  <c r="F2210" i="24"/>
  <c r="B2210" i="24"/>
  <c r="J2209" i="24"/>
  <c r="F2209" i="24"/>
  <c r="B2209" i="24"/>
  <c r="J2208" i="24"/>
  <c r="F2208" i="24"/>
  <c r="B2208" i="24"/>
  <c r="J2207" i="24"/>
  <c r="F2207" i="24"/>
  <c r="B2207" i="24"/>
  <c r="J2206" i="24"/>
  <c r="F2206" i="24"/>
  <c r="B2206" i="24"/>
  <c r="J2205" i="24"/>
  <c r="F2205" i="24"/>
  <c r="B2205" i="24"/>
  <c r="J2204" i="24"/>
  <c r="F2204" i="24"/>
  <c r="B2204" i="24"/>
  <c r="J2203" i="24"/>
  <c r="F2203" i="24"/>
  <c r="B2203" i="24"/>
  <c r="J2202" i="24"/>
  <c r="F2202" i="24"/>
  <c r="B2202" i="24"/>
  <c r="J2201" i="24"/>
  <c r="F2201" i="24"/>
  <c r="B2201" i="24"/>
  <c r="J2200" i="24"/>
  <c r="F2200" i="24"/>
  <c r="B2200" i="24"/>
  <c r="J2199" i="24"/>
  <c r="F2199" i="24"/>
  <c r="B2199" i="24"/>
  <c r="J2198" i="24"/>
  <c r="F2198" i="24"/>
  <c r="B2198" i="24"/>
  <c r="J2197" i="24"/>
  <c r="F2197" i="24"/>
  <c r="B2197" i="24"/>
  <c r="I2196" i="24"/>
  <c r="B2196" i="24"/>
  <c r="J2195" i="24"/>
  <c r="F2195" i="24"/>
  <c r="B2195" i="24"/>
  <c r="J2194" i="24"/>
  <c r="F2194" i="24"/>
  <c r="B2194" i="24"/>
  <c r="J2193" i="24"/>
  <c r="F2193" i="24"/>
  <c r="B2193" i="24"/>
  <c r="J2192" i="24"/>
  <c r="F2192" i="24"/>
  <c r="B2192" i="24"/>
  <c r="J2191" i="24"/>
  <c r="F2191" i="24"/>
  <c r="B2191" i="24"/>
  <c r="J2190" i="24"/>
  <c r="F2190" i="24"/>
  <c r="B2190" i="24"/>
  <c r="J2189" i="24"/>
  <c r="F2189" i="24"/>
  <c r="B2189" i="24"/>
  <c r="I2188" i="24"/>
  <c r="B2188" i="24"/>
  <c r="J2187" i="24"/>
  <c r="F2187" i="24"/>
  <c r="B2187" i="24"/>
  <c r="J2186" i="24"/>
  <c r="F2186" i="24"/>
  <c r="B2186" i="24"/>
  <c r="J2185" i="24"/>
  <c r="F2185" i="24"/>
  <c r="B2185" i="24"/>
  <c r="J2184" i="24"/>
  <c r="F2184" i="24"/>
  <c r="B2184" i="24"/>
  <c r="J2183" i="24"/>
  <c r="F2183" i="24"/>
  <c r="B2183" i="24"/>
  <c r="J2182" i="24"/>
  <c r="F2182" i="24"/>
  <c r="B2182" i="24"/>
  <c r="J2181" i="24"/>
  <c r="F2181" i="24"/>
  <c r="B2181" i="24"/>
  <c r="I2180" i="24"/>
  <c r="B2180" i="24"/>
  <c r="J2179" i="24"/>
  <c r="F2179" i="24"/>
  <c r="B2179" i="24"/>
  <c r="J2178" i="24"/>
  <c r="F2178" i="24"/>
  <c r="B2178" i="24"/>
  <c r="J2177" i="24"/>
  <c r="F2177" i="24"/>
  <c r="B2177" i="24"/>
  <c r="I2176" i="24"/>
  <c r="B2176" i="24"/>
  <c r="J2175" i="24"/>
  <c r="F2175" i="24"/>
  <c r="B2175" i="24"/>
  <c r="J2174" i="24"/>
  <c r="F2174" i="24"/>
  <c r="B2174" i="24"/>
  <c r="J2173" i="24"/>
  <c r="F2173" i="24"/>
  <c r="B2173" i="24"/>
  <c r="J2172" i="24"/>
  <c r="F2172" i="24"/>
  <c r="B2172" i="24"/>
  <c r="J2171" i="24"/>
  <c r="F2171" i="24"/>
  <c r="B2171" i="24"/>
  <c r="J2170" i="24"/>
  <c r="F2170" i="24"/>
  <c r="B2170" i="24"/>
  <c r="J2169" i="24"/>
  <c r="F2169" i="24"/>
  <c r="B2169" i="24"/>
  <c r="J2168" i="24"/>
  <c r="F2168" i="24"/>
  <c r="B2168" i="24"/>
  <c r="J2167" i="24"/>
  <c r="F2167" i="24"/>
  <c r="B2167" i="24"/>
  <c r="J2166" i="24"/>
  <c r="F2166" i="24"/>
  <c r="B2166" i="24"/>
  <c r="J2165" i="24"/>
  <c r="F2165" i="24"/>
  <c r="B2165" i="24"/>
  <c r="J2164" i="24"/>
  <c r="F2164" i="24"/>
  <c r="B2164" i="24"/>
  <c r="J2163" i="24"/>
  <c r="F2163" i="24"/>
  <c r="B2163" i="24"/>
  <c r="J2162" i="24"/>
  <c r="F2162" i="24"/>
  <c r="B2162" i="24"/>
  <c r="I2161" i="24"/>
  <c r="B2161" i="24"/>
  <c r="J2160" i="24"/>
  <c r="F2160" i="24"/>
  <c r="B2160" i="24"/>
  <c r="J2159" i="24"/>
  <c r="F2159" i="24"/>
  <c r="B2159" i="24"/>
  <c r="J2158" i="24"/>
  <c r="F2158" i="24"/>
  <c r="B2158" i="24"/>
  <c r="J2157" i="24"/>
  <c r="F2157" i="24"/>
  <c r="B2157" i="24"/>
  <c r="J2156" i="24"/>
  <c r="F2156" i="24"/>
  <c r="B2156" i="24"/>
  <c r="J2155" i="24"/>
  <c r="F2155" i="24"/>
  <c r="B2155" i="24"/>
  <c r="J2154" i="24"/>
  <c r="F2154" i="24"/>
  <c r="B2154" i="24"/>
  <c r="I2153" i="24"/>
  <c r="B2153" i="24"/>
  <c r="J2152" i="24"/>
  <c r="F2152" i="24"/>
  <c r="B2152" i="24"/>
  <c r="J2151" i="24"/>
  <c r="F2151" i="24"/>
  <c r="B2151" i="24"/>
  <c r="J2150" i="24"/>
  <c r="F2150" i="24"/>
  <c r="B2150" i="24"/>
  <c r="J2149" i="24"/>
  <c r="F2149" i="24"/>
  <c r="B2149" i="24"/>
  <c r="J2148" i="24"/>
  <c r="F2148" i="24"/>
  <c r="B2148" i="24"/>
  <c r="J2147" i="24"/>
  <c r="F2147" i="24"/>
  <c r="B2147" i="24"/>
  <c r="J2146" i="24"/>
  <c r="F2146" i="24"/>
  <c r="B2146" i="24"/>
  <c r="I2145" i="24"/>
  <c r="B2145" i="24"/>
  <c r="J2144" i="24"/>
  <c r="F2144" i="24"/>
  <c r="B2144" i="24"/>
  <c r="J2143" i="24"/>
  <c r="F2143" i="24"/>
  <c r="B2143" i="24"/>
  <c r="J2142" i="24"/>
  <c r="F2142" i="24"/>
  <c r="B2142" i="24"/>
  <c r="I2141" i="24"/>
  <c r="B2141" i="24"/>
  <c r="J2140" i="24"/>
  <c r="F2140" i="24"/>
  <c r="B2140" i="24"/>
  <c r="J2139" i="24"/>
  <c r="F2139" i="24"/>
  <c r="B2139" i="24"/>
  <c r="J2138" i="24"/>
  <c r="F2138" i="24"/>
  <c r="B2138" i="24"/>
  <c r="J2137" i="24"/>
  <c r="F2137" i="24"/>
  <c r="B2137" i="24"/>
  <c r="J2136" i="24"/>
  <c r="F2136" i="24"/>
  <c r="B2136" i="24"/>
  <c r="J2135" i="24"/>
  <c r="F2135" i="24"/>
  <c r="B2135" i="24"/>
  <c r="J2134" i="24"/>
  <c r="F2134" i="24"/>
  <c r="B2134" i="24"/>
  <c r="J2133" i="24"/>
  <c r="F2133" i="24"/>
  <c r="B2133" i="24"/>
  <c r="J2132" i="24"/>
  <c r="F2132" i="24"/>
  <c r="B2132" i="24"/>
  <c r="J2131" i="24"/>
  <c r="F2131" i="24"/>
  <c r="B2131" i="24"/>
  <c r="J2130" i="24"/>
  <c r="F2130" i="24"/>
  <c r="B2130" i="24"/>
  <c r="J2129" i="24"/>
  <c r="F2129" i="24"/>
  <c r="B2129" i="24"/>
  <c r="J2128" i="24"/>
  <c r="F2128" i="24"/>
  <c r="B2128" i="24"/>
  <c r="J2127" i="24"/>
  <c r="F2127" i="24"/>
  <c r="B2127" i="24"/>
  <c r="I2126" i="24"/>
  <c r="B2126" i="24"/>
  <c r="J2125" i="24"/>
  <c r="F2125" i="24"/>
  <c r="B2125" i="24"/>
  <c r="J2124" i="24"/>
  <c r="F2124" i="24"/>
  <c r="B2124" i="24"/>
  <c r="J2123" i="24"/>
  <c r="F2123" i="24"/>
  <c r="B2123" i="24"/>
  <c r="J2122" i="24"/>
  <c r="F2122" i="24"/>
  <c r="B2122" i="24"/>
  <c r="J2121" i="24"/>
  <c r="F2121" i="24"/>
  <c r="B2121" i="24"/>
  <c r="J2120" i="24"/>
  <c r="F2120" i="24"/>
  <c r="B2120" i="24"/>
  <c r="J2119" i="24"/>
  <c r="F2119" i="24"/>
  <c r="B2119" i="24"/>
  <c r="I2118" i="24"/>
  <c r="B2118" i="24"/>
  <c r="J2117" i="24"/>
  <c r="F2117" i="24"/>
  <c r="B2117" i="24"/>
  <c r="J2116" i="24"/>
  <c r="F2116" i="24"/>
  <c r="B2116" i="24"/>
  <c r="J2115" i="24"/>
  <c r="F2115" i="24"/>
  <c r="B2115" i="24"/>
  <c r="J2114" i="24"/>
  <c r="F2114" i="24"/>
  <c r="B2114" i="24"/>
  <c r="J2113" i="24"/>
  <c r="F2113" i="24"/>
  <c r="B2113" i="24"/>
  <c r="J2112" i="24"/>
  <c r="F2112" i="24"/>
  <c r="B2112" i="24"/>
  <c r="J2111" i="24"/>
  <c r="F2111" i="24"/>
  <c r="B2111" i="24"/>
  <c r="I2110" i="24"/>
  <c r="B2110" i="24"/>
  <c r="J2109" i="24"/>
  <c r="F2109" i="24"/>
  <c r="B2109" i="24"/>
  <c r="J2108" i="24"/>
  <c r="F2108" i="24"/>
  <c r="B2108" i="24"/>
  <c r="J2107" i="24"/>
  <c r="F2107" i="24"/>
  <c r="B2107" i="24"/>
  <c r="I2106" i="24"/>
  <c r="B2106" i="24"/>
  <c r="J2105" i="24"/>
  <c r="F2105" i="24"/>
  <c r="B2105" i="24"/>
  <c r="J2104" i="24"/>
  <c r="F2104" i="24"/>
  <c r="B2104" i="24"/>
  <c r="J2103" i="24"/>
  <c r="F2103" i="24"/>
  <c r="B2103" i="24"/>
  <c r="J2102" i="24"/>
  <c r="F2102" i="24"/>
  <c r="B2102" i="24"/>
  <c r="J2101" i="24"/>
  <c r="F2101" i="24"/>
  <c r="B2101" i="24"/>
  <c r="J2100" i="24"/>
  <c r="F2100" i="24"/>
  <c r="B2100" i="24"/>
  <c r="J2099" i="24"/>
  <c r="F2099" i="24"/>
  <c r="B2099" i="24"/>
  <c r="J2098" i="24"/>
  <c r="F2098" i="24"/>
  <c r="B2098" i="24"/>
  <c r="J2097" i="24"/>
  <c r="F2097" i="24"/>
  <c r="B2097" i="24"/>
  <c r="J2096" i="24"/>
  <c r="F2096" i="24"/>
  <c r="B2096" i="24"/>
  <c r="J2095" i="24"/>
  <c r="F2095" i="24"/>
  <c r="B2095" i="24"/>
  <c r="J2094" i="24"/>
  <c r="F2094" i="24"/>
  <c r="B2094" i="24"/>
  <c r="J2093" i="24"/>
  <c r="F2093" i="24"/>
  <c r="B2093" i="24"/>
  <c r="J2092" i="24"/>
  <c r="F2092" i="24"/>
  <c r="B2092" i="24"/>
  <c r="I2091" i="24"/>
  <c r="B2091" i="24"/>
  <c r="J2090" i="24"/>
  <c r="F2090" i="24"/>
  <c r="B2090" i="24"/>
  <c r="J2089" i="24"/>
  <c r="F2089" i="24"/>
  <c r="B2089" i="24"/>
  <c r="J2088" i="24"/>
  <c r="F2088" i="24"/>
  <c r="B2088" i="24"/>
  <c r="J2087" i="24"/>
  <c r="F2087" i="24"/>
  <c r="B2087" i="24"/>
  <c r="J2086" i="24"/>
  <c r="F2086" i="24"/>
  <c r="B2086" i="24"/>
  <c r="J2085" i="24"/>
  <c r="F2085" i="24"/>
  <c r="B2085" i="24"/>
  <c r="J2084" i="24"/>
  <c r="F2084" i="24"/>
  <c r="B2084" i="24"/>
  <c r="I2083" i="24"/>
  <c r="B2083" i="24"/>
  <c r="J2082" i="24"/>
  <c r="F2082" i="24"/>
  <c r="B2082" i="24"/>
  <c r="J2081" i="24"/>
  <c r="F2081" i="24"/>
  <c r="B2081" i="24"/>
  <c r="J2080" i="24"/>
  <c r="F2080" i="24"/>
  <c r="B2080" i="24"/>
  <c r="J2079" i="24"/>
  <c r="F2079" i="24"/>
  <c r="B2079" i="24"/>
  <c r="I2078" i="24"/>
  <c r="B2078" i="24"/>
  <c r="J2077" i="24"/>
  <c r="F2077" i="24"/>
  <c r="B2077" i="24"/>
  <c r="J2076" i="24"/>
  <c r="F2076" i="24"/>
  <c r="B2076" i="24"/>
  <c r="I2075" i="24"/>
  <c r="B2075" i="24"/>
  <c r="J2074" i="24"/>
  <c r="F2074" i="24"/>
  <c r="B2074" i="24"/>
  <c r="J2073" i="24"/>
  <c r="F2073" i="24"/>
  <c r="B2073" i="24"/>
  <c r="J2072" i="24"/>
  <c r="F2072" i="24"/>
  <c r="B2072" i="24"/>
  <c r="I2071" i="24"/>
  <c r="B2071" i="24"/>
  <c r="J2070" i="24"/>
  <c r="F2070" i="24"/>
  <c r="B2070" i="24"/>
  <c r="J2069" i="24"/>
  <c r="F2069" i="24"/>
  <c r="B2069" i="24"/>
  <c r="J2068" i="24"/>
  <c r="F2068" i="24"/>
  <c r="B2068" i="24"/>
  <c r="J2067" i="24"/>
  <c r="F2067" i="24"/>
  <c r="B2067" i="24"/>
  <c r="J2066" i="24"/>
  <c r="F2066" i="24"/>
  <c r="B2066" i="24"/>
  <c r="J2065" i="24"/>
  <c r="F2065" i="24"/>
  <c r="B2065" i="24"/>
  <c r="J2064" i="24"/>
  <c r="F2064" i="24"/>
  <c r="B2064" i="24"/>
  <c r="J2063" i="24"/>
  <c r="F2063" i="24"/>
  <c r="B2063" i="24"/>
  <c r="J2062" i="24"/>
  <c r="F2062" i="24"/>
  <c r="B2062" i="24"/>
  <c r="J2061" i="24"/>
  <c r="F2061" i="24"/>
  <c r="B2061" i="24"/>
  <c r="J2060" i="24"/>
  <c r="F2060" i="24"/>
  <c r="B2060" i="24"/>
  <c r="I2059" i="24"/>
  <c r="B2059" i="24"/>
  <c r="J2058" i="24"/>
  <c r="F2058" i="24"/>
  <c r="B2058" i="24"/>
  <c r="J2057" i="24"/>
  <c r="F2057" i="24"/>
  <c r="B2057" i="24"/>
  <c r="I2056" i="24"/>
  <c r="B2056" i="24"/>
  <c r="J2055" i="24"/>
  <c r="F2055" i="24"/>
  <c r="B2055" i="24"/>
  <c r="J2054" i="24"/>
  <c r="F2054" i="24"/>
  <c r="B2054" i="24"/>
  <c r="J2053" i="24"/>
  <c r="F2053" i="24"/>
  <c r="B2053" i="24"/>
  <c r="J2052" i="24"/>
  <c r="F2052" i="24"/>
  <c r="B2052" i="24"/>
  <c r="J2051" i="24"/>
  <c r="F2051" i="24"/>
  <c r="B2051" i="24"/>
  <c r="J2050" i="24"/>
  <c r="F2050" i="24"/>
  <c r="B2050" i="24"/>
  <c r="J2049" i="24"/>
  <c r="F2049" i="24"/>
  <c r="B2049" i="24"/>
  <c r="I2048" i="24"/>
  <c r="B2048" i="24"/>
  <c r="I2047" i="24"/>
  <c r="B2047" i="24"/>
  <c r="J2046" i="24"/>
  <c r="F2046" i="24"/>
  <c r="B2046" i="24"/>
  <c r="J2045" i="24"/>
  <c r="F2045" i="24"/>
  <c r="B2045" i="24"/>
  <c r="J2044" i="24"/>
  <c r="F2044" i="24"/>
  <c r="B2044" i="24"/>
  <c r="I2043" i="24"/>
  <c r="B2043" i="24"/>
  <c r="J2042" i="24"/>
  <c r="F2042" i="24"/>
  <c r="B2042" i="24"/>
  <c r="J2041" i="24"/>
  <c r="F2041" i="24"/>
  <c r="B2041" i="24"/>
  <c r="I2040" i="24"/>
  <c r="B2040" i="24"/>
  <c r="J2039" i="24"/>
  <c r="F2039" i="24"/>
  <c r="B2039" i="24"/>
  <c r="J2038" i="24"/>
  <c r="F2038" i="24"/>
  <c r="B2038" i="24"/>
  <c r="J2037" i="24"/>
  <c r="F2037" i="24"/>
  <c r="B2037" i="24"/>
  <c r="I2036" i="24"/>
  <c r="B2036" i="24"/>
  <c r="J2035" i="24"/>
  <c r="F2035" i="24"/>
  <c r="B2035" i="24"/>
  <c r="J2034" i="24"/>
  <c r="F2034" i="24"/>
  <c r="B2034" i="24"/>
  <c r="J2033" i="24"/>
  <c r="F2033" i="24"/>
  <c r="B2033" i="24"/>
  <c r="J2032" i="24"/>
  <c r="F2032" i="24"/>
  <c r="B2032" i="24"/>
  <c r="J2031" i="24"/>
  <c r="F2031" i="24"/>
  <c r="B2031" i="24"/>
  <c r="J2030" i="24"/>
  <c r="F2030" i="24"/>
  <c r="B2030" i="24"/>
  <c r="J2029" i="24"/>
  <c r="F2029" i="24"/>
  <c r="B2029" i="24"/>
  <c r="J2028" i="24"/>
  <c r="F2028" i="24"/>
  <c r="B2028" i="24"/>
  <c r="J2027" i="24"/>
  <c r="F2027" i="24"/>
  <c r="B2027" i="24"/>
  <c r="J2026" i="24"/>
  <c r="F2026" i="24"/>
  <c r="B2026" i="24"/>
  <c r="J2025" i="24"/>
  <c r="F2025" i="24"/>
  <c r="B2025" i="24"/>
  <c r="I2024" i="24"/>
  <c r="B2024" i="24"/>
  <c r="J2023" i="24"/>
  <c r="F2023" i="24"/>
  <c r="B2023" i="24"/>
  <c r="J2022" i="24"/>
  <c r="F2022" i="24"/>
  <c r="B2022" i="24"/>
  <c r="I2021" i="24"/>
  <c r="B2021" i="24"/>
  <c r="J2020" i="24"/>
  <c r="F2020" i="24"/>
  <c r="B2020" i="24"/>
  <c r="J2019" i="24"/>
  <c r="F2019" i="24"/>
  <c r="B2019" i="24"/>
  <c r="J2018" i="24"/>
  <c r="F2018" i="24"/>
  <c r="B2018" i="24"/>
  <c r="J2017" i="24"/>
  <c r="F2017" i="24"/>
  <c r="B2017" i="24"/>
  <c r="J2016" i="24"/>
  <c r="F2016" i="24"/>
  <c r="B2016" i="24"/>
  <c r="J2015" i="24"/>
  <c r="F2015" i="24"/>
  <c r="B2015" i="24"/>
  <c r="J2014" i="24"/>
  <c r="F2014" i="24"/>
  <c r="B2014" i="24"/>
  <c r="I2013" i="24"/>
  <c r="B2013" i="24"/>
  <c r="I2012" i="24"/>
  <c r="B2012" i="24"/>
  <c r="J2011" i="24"/>
  <c r="F2011" i="24"/>
  <c r="B2011" i="24"/>
  <c r="J2010" i="24"/>
  <c r="F2010" i="24"/>
  <c r="B2010" i="24"/>
  <c r="J2009" i="24"/>
  <c r="F2009" i="24"/>
  <c r="B2009" i="24"/>
  <c r="I2008" i="24"/>
  <c r="B2008" i="24"/>
  <c r="J2007" i="24"/>
  <c r="F2007" i="24"/>
  <c r="B2007" i="24"/>
  <c r="J2006" i="24"/>
  <c r="F2006" i="24"/>
  <c r="B2006" i="24"/>
  <c r="I2005" i="24"/>
  <c r="B2005" i="24"/>
  <c r="J2004" i="24"/>
  <c r="F2004" i="24"/>
  <c r="B2004" i="24"/>
  <c r="J2003" i="24"/>
  <c r="F2003" i="24"/>
  <c r="B2003" i="24"/>
  <c r="J2002" i="24"/>
  <c r="F2002" i="24"/>
  <c r="B2002" i="24"/>
  <c r="I2001" i="24"/>
  <c r="B2001" i="24"/>
  <c r="J2000" i="24"/>
  <c r="F2000" i="24"/>
  <c r="B2000" i="24"/>
  <c r="I1999" i="24"/>
  <c r="B1999" i="24"/>
  <c r="J1998" i="24"/>
  <c r="F1998" i="24"/>
  <c r="B1998" i="24"/>
  <c r="J1997" i="24"/>
  <c r="F1997" i="24"/>
  <c r="B1997" i="24"/>
  <c r="J1996" i="24"/>
  <c r="F1996" i="24"/>
  <c r="B1996" i="24"/>
  <c r="J1995" i="24"/>
  <c r="F1995" i="24"/>
  <c r="B1995" i="24"/>
  <c r="J1994" i="24"/>
  <c r="F1994" i="24"/>
  <c r="B1994" i="24"/>
  <c r="J1993" i="24"/>
  <c r="F1993" i="24"/>
  <c r="B1993" i="24"/>
  <c r="J1992" i="24"/>
  <c r="F1992" i="24"/>
  <c r="B1992" i="24"/>
  <c r="J1991" i="24"/>
  <c r="F1991" i="24"/>
  <c r="B1991" i="24"/>
  <c r="J1990" i="24"/>
  <c r="F1990" i="24"/>
  <c r="B1990" i="24"/>
  <c r="I1989" i="24"/>
  <c r="B1989" i="24"/>
  <c r="J1988" i="24"/>
  <c r="F1988" i="24"/>
  <c r="B1988" i="24"/>
  <c r="J1987" i="24"/>
  <c r="F1987" i="24"/>
  <c r="B1987" i="24"/>
  <c r="I1986" i="24"/>
  <c r="B1986" i="24"/>
  <c r="J1985" i="24"/>
  <c r="F1985" i="24"/>
  <c r="B1985" i="24"/>
  <c r="J1984" i="24"/>
  <c r="F1984" i="24"/>
  <c r="B1984" i="24"/>
  <c r="J1983" i="24"/>
  <c r="F1983" i="24"/>
  <c r="B1983" i="24"/>
  <c r="J1982" i="24"/>
  <c r="F1982" i="24"/>
  <c r="B1982" i="24"/>
  <c r="J1981" i="24"/>
  <c r="F1981" i="24"/>
  <c r="B1981" i="24"/>
  <c r="J1980" i="24"/>
  <c r="F1980" i="24"/>
  <c r="B1980" i="24"/>
  <c r="I1979" i="24"/>
  <c r="B1979" i="24"/>
  <c r="I1978" i="24"/>
  <c r="B1978" i="24"/>
  <c r="I1977" i="24"/>
  <c r="B1977" i="24"/>
  <c r="J1976" i="24"/>
  <c r="F1976" i="24"/>
  <c r="B1976" i="24"/>
  <c r="J1975" i="24"/>
  <c r="F1975" i="24"/>
  <c r="B1975" i="24"/>
  <c r="J1974" i="24"/>
  <c r="F1974" i="24"/>
  <c r="B1974" i="24"/>
  <c r="I1973" i="24"/>
  <c r="B1973" i="24"/>
  <c r="J1972" i="24"/>
  <c r="F1972" i="24"/>
  <c r="B1972" i="24"/>
  <c r="J1971" i="24"/>
  <c r="F1971" i="24"/>
  <c r="B1971" i="24"/>
  <c r="I1970" i="24"/>
  <c r="B1970" i="24"/>
  <c r="J1969" i="24"/>
  <c r="F1969" i="24"/>
  <c r="B1969" i="24"/>
  <c r="J1968" i="24"/>
  <c r="F1968" i="24"/>
  <c r="B1968" i="24"/>
  <c r="J1967" i="24"/>
  <c r="F1967" i="24"/>
  <c r="B1967" i="24"/>
  <c r="I1966" i="24"/>
  <c r="B1966" i="24"/>
  <c r="J1965" i="24"/>
  <c r="F1965" i="24"/>
  <c r="B1965" i="24"/>
  <c r="I1964" i="24"/>
  <c r="B1964" i="24"/>
  <c r="J1963" i="24"/>
  <c r="F1963" i="24"/>
  <c r="B1963" i="24"/>
  <c r="J1962" i="24"/>
  <c r="F1962" i="24"/>
  <c r="B1962" i="24"/>
  <c r="J1961" i="24"/>
  <c r="F1961" i="24"/>
  <c r="B1961" i="24"/>
  <c r="J1960" i="24"/>
  <c r="F1960" i="24"/>
  <c r="B1960" i="24"/>
  <c r="J1959" i="24"/>
  <c r="F1959" i="24"/>
  <c r="B1959" i="24"/>
  <c r="J1958" i="24"/>
  <c r="F1958" i="24"/>
  <c r="B1958" i="24"/>
  <c r="J1957" i="24"/>
  <c r="F1957" i="24"/>
  <c r="B1957" i="24"/>
  <c r="J1956" i="24"/>
  <c r="F1956" i="24"/>
  <c r="B1956" i="24"/>
  <c r="J1955" i="24"/>
  <c r="F1955" i="24"/>
  <c r="B1955" i="24"/>
  <c r="I1954" i="24"/>
  <c r="B1954" i="24"/>
  <c r="J1953" i="24"/>
  <c r="F1953" i="24"/>
  <c r="B1953" i="24"/>
  <c r="J1952" i="24"/>
  <c r="F1952" i="24"/>
  <c r="B1952" i="24"/>
  <c r="I1951" i="24"/>
  <c r="B1951" i="24"/>
  <c r="J1950" i="24"/>
  <c r="F1950" i="24"/>
  <c r="B1950" i="24"/>
  <c r="J1949" i="24"/>
  <c r="F1949" i="24"/>
  <c r="B1949" i="24"/>
  <c r="J1948" i="24"/>
  <c r="F1948" i="24"/>
  <c r="B1948" i="24"/>
  <c r="J1947" i="24"/>
  <c r="F1947" i="24"/>
  <c r="B1947" i="24"/>
  <c r="I1946" i="24"/>
  <c r="B1946" i="24"/>
  <c r="I1945" i="24"/>
  <c r="B1945" i="24"/>
  <c r="I1944" i="24"/>
  <c r="B1944" i="24"/>
  <c r="I1943" i="24"/>
  <c r="B1943" i="24"/>
  <c r="I1942" i="24"/>
  <c r="B1942" i="24"/>
  <c r="J1941" i="24"/>
  <c r="F1941" i="24"/>
  <c r="B1941" i="24"/>
  <c r="J1940" i="24"/>
  <c r="F1940" i="24"/>
  <c r="B1940" i="24"/>
  <c r="J1939" i="24"/>
  <c r="F1939" i="24"/>
  <c r="B1939" i="24"/>
  <c r="I1938" i="24"/>
  <c r="B1938" i="24"/>
  <c r="J1937" i="24"/>
  <c r="F1937" i="24"/>
  <c r="B1937" i="24"/>
  <c r="J1936" i="24"/>
  <c r="F1936" i="24"/>
  <c r="B1936" i="24"/>
  <c r="I1935" i="24"/>
  <c r="B1935" i="24"/>
  <c r="J1934" i="24"/>
  <c r="F1934" i="24"/>
  <c r="B1934" i="24"/>
  <c r="J1933" i="24"/>
  <c r="F1933" i="24"/>
  <c r="B1933" i="24"/>
  <c r="J1932" i="24"/>
  <c r="F1932" i="24"/>
  <c r="B1932" i="24"/>
  <c r="I1931" i="24"/>
  <c r="B1931" i="24"/>
  <c r="J1930" i="24"/>
  <c r="F1930" i="24"/>
  <c r="B1930" i="24"/>
  <c r="I1929" i="24"/>
  <c r="B1929" i="24"/>
  <c r="J1928" i="24"/>
  <c r="F1928" i="24"/>
  <c r="B1928" i="24"/>
  <c r="J1927" i="24"/>
  <c r="F1927" i="24"/>
  <c r="B1927" i="24"/>
  <c r="J1926" i="24"/>
  <c r="F1926" i="24"/>
  <c r="B1926" i="24"/>
  <c r="J1925" i="24"/>
  <c r="F1925" i="24"/>
  <c r="B1925" i="24"/>
  <c r="J1924" i="24"/>
  <c r="F1924" i="24"/>
  <c r="B1924" i="24"/>
  <c r="J1923" i="24"/>
  <c r="F1923" i="24"/>
  <c r="B1923" i="24"/>
  <c r="J1922" i="24"/>
  <c r="F1922" i="24"/>
  <c r="B1922" i="24"/>
  <c r="J1921" i="24"/>
  <c r="F1921" i="24"/>
  <c r="B1921" i="24"/>
  <c r="J1920" i="24"/>
  <c r="F1920" i="24"/>
  <c r="B1920" i="24"/>
  <c r="I1919" i="24"/>
  <c r="B1919" i="24"/>
  <c r="J1918" i="24"/>
  <c r="F1918" i="24"/>
  <c r="B1918" i="24"/>
  <c r="J1917" i="24"/>
  <c r="F1917" i="24"/>
  <c r="B1917" i="24"/>
  <c r="I1916" i="24"/>
  <c r="B1916" i="24"/>
  <c r="J1915" i="24"/>
  <c r="F1915" i="24"/>
  <c r="B1915" i="24"/>
  <c r="J1914" i="24"/>
  <c r="F1914" i="24"/>
  <c r="B1914" i="24"/>
  <c r="J1913" i="24"/>
  <c r="F1913" i="24"/>
  <c r="B1913" i="24"/>
  <c r="J1912" i="24"/>
  <c r="F1912" i="24"/>
  <c r="B1912" i="24"/>
  <c r="I1911" i="24"/>
  <c r="B1911" i="24"/>
  <c r="I1910" i="24"/>
  <c r="B1910" i="24"/>
  <c r="I1909" i="24"/>
  <c r="B1909" i="24"/>
  <c r="I1908" i="24"/>
  <c r="B1908" i="24"/>
  <c r="I1907" i="24"/>
  <c r="B1907" i="24"/>
  <c r="J1906" i="24"/>
  <c r="F1906" i="24"/>
  <c r="B1906" i="24"/>
  <c r="J1905" i="24"/>
  <c r="F1905" i="24"/>
  <c r="B1905" i="24"/>
  <c r="I1904" i="24"/>
  <c r="B1904" i="24"/>
  <c r="I1903" i="24"/>
  <c r="B1903" i="24"/>
  <c r="J1902" i="24"/>
  <c r="F1902" i="24"/>
  <c r="B1902" i="24"/>
  <c r="J1901" i="24"/>
  <c r="F1901" i="24"/>
  <c r="B1901" i="24"/>
  <c r="I1900" i="24"/>
  <c r="B1900" i="24"/>
  <c r="J1899" i="24"/>
  <c r="F1899" i="24"/>
  <c r="B1899" i="24"/>
  <c r="J1898" i="24"/>
  <c r="F1898" i="24"/>
  <c r="B1898" i="24"/>
  <c r="J1897" i="24"/>
  <c r="F1897" i="24"/>
  <c r="B1897" i="24"/>
  <c r="I1896" i="24"/>
  <c r="B1896" i="24"/>
  <c r="J1895" i="24"/>
  <c r="F1895" i="24"/>
  <c r="B1895" i="24"/>
  <c r="I1894" i="24"/>
  <c r="B1894" i="24"/>
  <c r="J1893" i="24"/>
  <c r="F1893" i="24"/>
  <c r="B1893" i="24"/>
  <c r="J1892" i="24"/>
  <c r="F1892" i="24"/>
  <c r="B1892" i="24"/>
  <c r="J1891" i="24"/>
  <c r="F1891" i="24"/>
  <c r="B1891" i="24"/>
  <c r="J1890" i="24"/>
  <c r="F1890" i="24"/>
  <c r="B1890" i="24"/>
  <c r="I1889" i="24"/>
  <c r="B1889" i="24"/>
  <c r="J1888" i="24"/>
  <c r="F1888" i="24"/>
  <c r="B1888" i="24"/>
  <c r="J1887" i="24"/>
  <c r="F1887" i="24"/>
  <c r="B1887" i="24"/>
  <c r="J1886" i="24"/>
  <c r="F1886" i="24"/>
  <c r="B1886" i="24"/>
  <c r="J1885" i="24"/>
  <c r="F1885" i="24"/>
  <c r="B1885" i="24"/>
  <c r="I1884" i="24"/>
  <c r="B1884" i="24"/>
  <c r="J1883" i="24"/>
  <c r="F1883" i="24"/>
  <c r="B1883" i="24"/>
  <c r="J1882" i="24"/>
  <c r="F1882" i="24"/>
  <c r="B1882" i="24"/>
  <c r="I1881" i="24"/>
  <c r="B1881" i="24"/>
  <c r="J1880" i="24"/>
  <c r="F1880" i="24"/>
  <c r="B1880" i="24"/>
  <c r="J1879" i="24"/>
  <c r="F1879" i="24"/>
  <c r="B1879" i="24"/>
  <c r="J1878" i="24"/>
  <c r="F1878" i="24"/>
  <c r="B1878" i="24"/>
  <c r="J1877" i="24"/>
  <c r="F1877" i="24"/>
  <c r="B1877" i="24"/>
  <c r="I1876" i="24"/>
  <c r="B1876" i="24"/>
  <c r="I1875" i="24"/>
  <c r="B1875" i="24"/>
  <c r="I1874" i="24"/>
  <c r="B1874" i="24"/>
  <c r="I1873" i="24"/>
  <c r="B1873" i="24"/>
  <c r="I1872" i="24"/>
  <c r="B1872" i="24"/>
  <c r="J1871" i="24"/>
  <c r="F1871" i="24"/>
  <c r="B1871" i="24"/>
  <c r="J1870" i="24"/>
  <c r="F1870" i="24"/>
  <c r="B1870" i="24"/>
  <c r="I1869" i="24"/>
  <c r="B1869" i="24"/>
  <c r="I1868" i="24"/>
  <c r="B1868" i="24"/>
  <c r="J1867" i="24"/>
  <c r="F1867" i="24"/>
  <c r="B1867" i="24"/>
  <c r="J1866" i="24"/>
  <c r="F1866" i="24"/>
  <c r="B1866" i="24"/>
  <c r="I1865" i="24"/>
  <c r="B1865" i="24"/>
  <c r="J1864" i="24"/>
  <c r="F1864" i="24"/>
  <c r="B1864" i="24"/>
  <c r="J1863" i="24"/>
  <c r="F1863" i="24"/>
  <c r="B1863" i="24"/>
  <c r="J1862" i="24"/>
  <c r="F1862" i="24"/>
  <c r="B1862" i="24"/>
  <c r="I1861" i="24"/>
  <c r="B1861" i="24"/>
  <c r="J1860" i="24"/>
  <c r="F1860" i="24"/>
  <c r="B1860" i="24"/>
  <c r="I1859" i="24"/>
  <c r="B1859" i="24"/>
  <c r="J1858" i="24"/>
  <c r="F1858" i="24"/>
  <c r="B1858" i="24"/>
  <c r="J1857" i="24"/>
  <c r="F1857" i="24"/>
  <c r="B1857" i="24"/>
  <c r="J1856" i="24"/>
  <c r="F1856" i="24"/>
  <c r="B1856" i="24"/>
  <c r="J1855" i="24"/>
  <c r="F1855" i="24"/>
  <c r="B1855" i="24"/>
  <c r="I1854" i="24"/>
  <c r="B1854" i="24"/>
  <c r="J1853" i="24"/>
  <c r="F1853" i="24"/>
  <c r="B1853" i="24"/>
  <c r="J1852" i="24"/>
  <c r="F1852" i="24"/>
  <c r="B1852" i="24"/>
  <c r="J1851" i="24"/>
  <c r="F1851" i="24"/>
  <c r="B1851" i="24"/>
  <c r="J1850" i="24"/>
  <c r="F1850" i="24"/>
  <c r="B1850" i="24"/>
  <c r="I1849" i="24"/>
  <c r="B1849" i="24"/>
  <c r="J1848" i="24"/>
  <c r="F1848" i="24"/>
  <c r="B1848" i="24"/>
  <c r="J1847" i="24"/>
  <c r="F1847" i="24"/>
  <c r="B1847" i="24"/>
  <c r="I1846" i="24"/>
  <c r="B1846" i="24"/>
  <c r="J1845" i="24"/>
  <c r="F1845" i="24"/>
  <c r="B1845" i="24"/>
  <c r="J1844" i="24"/>
  <c r="F1844" i="24"/>
  <c r="B1844" i="24"/>
  <c r="J1843" i="24"/>
  <c r="F1843" i="24"/>
  <c r="B1843" i="24"/>
  <c r="J1842" i="24"/>
  <c r="F1842" i="24"/>
  <c r="B1842" i="24"/>
  <c r="I1841" i="24"/>
  <c r="B1841" i="24"/>
  <c r="I1840" i="24"/>
  <c r="B1840" i="24"/>
  <c r="I1839" i="24"/>
  <c r="B1839" i="24"/>
  <c r="I1838" i="24"/>
  <c r="B1838" i="24"/>
  <c r="I1837" i="24"/>
  <c r="B1837" i="24"/>
  <c r="J1836" i="24"/>
  <c r="F1836" i="24"/>
  <c r="B1836" i="24"/>
  <c r="J1835" i="24"/>
  <c r="F1835" i="24"/>
  <c r="B1835" i="24"/>
  <c r="I1834" i="24"/>
  <c r="B1834" i="24"/>
  <c r="I1833" i="24"/>
  <c r="B1833" i="24"/>
  <c r="J1832" i="24"/>
  <c r="F1832" i="24"/>
  <c r="B1832" i="24"/>
  <c r="J1831" i="24"/>
  <c r="F1831" i="24"/>
  <c r="B1831" i="24"/>
  <c r="I1830" i="24"/>
  <c r="B1830" i="24"/>
  <c r="J1829" i="24"/>
  <c r="F1829" i="24"/>
  <c r="B1829" i="24"/>
  <c r="J1828" i="24"/>
  <c r="F1828" i="24"/>
  <c r="B1828" i="24"/>
  <c r="J1827" i="24"/>
  <c r="F1827" i="24"/>
  <c r="B1827" i="24"/>
  <c r="I1826" i="24"/>
  <c r="B1826" i="24"/>
  <c r="J1825" i="24"/>
  <c r="F1825" i="24"/>
  <c r="B1825" i="24"/>
  <c r="I1824" i="24"/>
  <c r="B1824" i="24"/>
  <c r="J1823" i="24"/>
  <c r="F1823" i="24"/>
  <c r="B1823" i="24"/>
  <c r="J1822" i="24"/>
  <c r="F1822" i="24"/>
  <c r="B1822" i="24"/>
  <c r="J1821" i="24"/>
  <c r="F1821" i="24"/>
  <c r="B1821" i="24"/>
  <c r="J1820" i="24"/>
  <c r="F1820" i="24"/>
  <c r="B1820" i="24"/>
  <c r="I1819" i="24"/>
  <c r="B1819" i="24"/>
  <c r="J1818" i="24"/>
  <c r="F1818" i="24"/>
  <c r="B1818" i="24"/>
  <c r="J1817" i="24"/>
  <c r="F1817" i="24"/>
  <c r="B1817" i="24"/>
  <c r="J1816" i="24"/>
  <c r="F1816" i="24"/>
  <c r="B1816" i="24"/>
  <c r="J1815" i="24"/>
  <c r="F1815" i="24"/>
  <c r="B1815" i="24"/>
  <c r="I1814" i="24"/>
  <c r="B1814" i="24"/>
  <c r="J1813" i="24"/>
  <c r="F1813" i="24"/>
  <c r="B1813" i="24"/>
  <c r="J1812" i="24"/>
  <c r="F1812" i="24"/>
  <c r="B1812" i="24"/>
  <c r="I1811" i="24"/>
  <c r="B1811" i="24"/>
  <c r="J1810" i="24"/>
  <c r="F1810" i="24"/>
  <c r="B1810" i="24"/>
  <c r="J1809" i="24"/>
  <c r="F1809" i="24"/>
  <c r="B1809" i="24"/>
  <c r="J1808" i="24"/>
  <c r="F1808" i="24"/>
  <c r="B1808" i="24"/>
  <c r="J1807" i="24"/>
  <c r="F1807" i="24"/>
  <c r="B1807" i="24"/>
  <c r="I1806" i="24"/>
  <c r="B1806" i="24"/>
  <c r="I1805" i="24"/>
  <c r="B1805" i="24"/>
  <c r="I1804" i="24"/>
  <c r="B1804" i="24"/>
  <c r="I1803" i="24"/>
  <c r="B1803" i="24"/>
  <c r="I1802" i="24"/>
  <c r="B1802" i="24"/>
  <c r="J1801" i="24"/>
  <c r="F1801" i="24"/>
  <c r="B1801" i="24"/>
  <c r="J1800" i="24"/>
  <c r="F1800" i="24"/>
  <c r="B1800" i="24"/>
  <c r="I1799" i="24"/>
  <c r="B1799" i="24"/>
  <c r="I1798" i="24"/>
  <c r="B1798" i="24"/>
  <c r="J1797" i="24"/>
  <c r="F1797" i="24"/>
  <c r="B1797" i="24"/>
  <c r="J1796" i="24"/>
  <c r="F1796" i="24"/>
  <c r="B1796" i="24"/>
  <c r="I1795" i="24"/>
  <c r="B1795" i="24"/>
  <c r="J1794" i="24"/>
  <c r="F1794" i="24"/>
  <c r="B1794" i="24"/>
  <c r="J1793" i="24"/>
  <c r="F1793" i="24"/>
  <c r="B1793" i="24"/>
  <c r="J1792" i="24"/>
  <c r="F1792" i="24"/>
  <c r="B1792" i="24"/>
  <c r="I1791" i="24"/>
  <c r="B1791" i="24"/>
  <c r="J1790" i="24"/>
  <c r="F1790" i="24"/>
  <c r="B1790" i="24"/>
  <c r="I1789" i="24"/>
  <c r="B1789" i="24"/>
  <c r="J1788" i="24"/>
  <c r="F1788" i="24"/>
  <c r="B1788" i="24"/>
  <c r="J1787" i="24"/>
  <c r="F1787" i="24"/>
  <c r="B1787" i="24"/>
  <c r="J1786" i="24"/>
  <c r="F1786" i="24"/>
  <c r="B1786" i="24"/>
  <c r="J1785" i="24"/>
  <c r="F1785" i="24"/>
  <c r="B1785" i="24"/>
  <c r="I1784" i="24"/>
  <c r="B1784" i="24"/>
  <c r="J1783" i="24"/>
  <c r="F1783" i="24"/>
  <c r="B1783" i="24"/>
  <c r="J1782" i="24"/>
  <c r="F1782" i="24"/>
  <c r="B1782" i="24"/>
  <c r="J1781" i="24"/>
  <c r="F1781" i="24"/>
  <c r="B1781" i="24"/>
  <c r="J1780" i="24"/>
  <c r="F1780" i="24"/>
  <c r="B1780" i="24"/>
  <c r="I1779" i="24"/>
  <c r="B1779" i="24"/>
  <c r="J1778" i="24"/>
  <c r="F1778" i="24"/>
  <c r="B1778" i="24"/>
  <c r="J1777" i="24"/>
  <c r="F1777" i="24"/>
  <c r="B1777" i="24"/>
  <c r="I1776" i="24"/>
  <c r="B1776" i="24"/>
  <c r="J1775" i="24"/>
  <c r="F1775" i="24"/>
  <c r="B1775" i="24"/>
  <c r="J1774" i="24"/>
  <c r="F1774" i="24"/>
  <c r="B1774" i="24"/>
  <c r="J1773" i="24"/>
  <c r="F1773" i="24"/>
  <c r="B1773" i="24"/>
  <c r="J1772" i="24"/>
  <c r="F1772" i="24"/>
  <c r="B1772" i="24"/>
  <c r="I1771" i="24"/>
  <c r="B1771" i="24"/>
  <c r="I1770" i="24"/>
  <c r="B1770" i="24"/>
  <c r="I1769" i="24"/>
  <c r="B1769" i="24"/>
  <c r="I1768" i="24"/>
  <c r="B1768" i="24"/>
  <c r="I1767" i="24"/>
  <c r="B1767" i="24"/>
  <c r="J1766" i="24"/>
  <c r="F1766" i="24"/>
  <c r="B1766" i="24"/>
  <c r="J1765" i="24"/>
  <c r="F1765" i="24"/>
  <c r="B1765" i="24"/>
  <c r="I1764" i="24"/>
  <c r="B1764" i="24"/>
  <c r="I1763" i="24"/>
  <c r="B1763" i="24"/>
  <c r="J1762" i="24"/>
  <c r="F1762" i="24"/>
  <c r="B1762" i="24"/>
  <c r="J1761" i="24"/>
  <c r="F1761" i="24"/>
  <c r="B1761" i="24"/>
  <c r="I1760" i="24"/>
  <c r="B1760" i="24"/>
  <c r="J1759" i="24"/>
  <c r="F1759" i="24"/>
  <c r="B1759" i="24"/>
  <c r="J1758" i="24"/>
  <c r="F1758" i="24"/>
  <c r="B1758" i="24"/>
  <c r="J1757" i="24"/>
  <c r="F1757" i="24"/>
  <c r="B1757" i="24"/>
  <c r="I1756" i="24"/>
  <c r="B1756" i="24"/>
  <c r="J1755" i="24"/>
  <c r="F1755" i="24"/>
  <c r="B1755" i="24"/>
  <c r="I1754" i="24"/>
  <c r="B1754" i="24"/>
  <c r="J1753" i="24"/>
  <c r="F1753" i="24"/>
  <c r="B1753" i="24"/>
  <c r="J1752" i="24"/>
  <c r="F1752" i="24"/>
  <c r="B1752" i="24"/>
  <c r="J1751" i="24"/>
  <c r="F1751" i="24"/>
  <c r="B1751" i="24"/>
  <c r="J1750" i="24"/>
  <c r="F1750" i="24"/>
  <c r="B1750" i="24"/>
  <c r="I1749" i="24"/>
  <c r="B1749" i="24"/>
  <c r="J1748" i="24"/>
  <c r="F1748" i="24"/>
  <c r="B1748" i="24"/>
  <c r="J1747" i="24"/>
  <c r="F1747" i="24"/>
  <c r="B1747" i="24"/>
  <c r="J1746" i="24"/>
  <c r="F1746" i="24"/>
  <c r="B1746" i="24"/>
  <c r="J1745" i="24"/>
  <c r="F1745" i="24"/>
  <c r="B1745" i="24"/>
  <c r="I1744" i="24"/>
  <c r="B1744" i="24"/>
  <c r="J1743" i="24"/>
  <c r="F1743" i="24"/>
  <c r="B1743" i="24"/>
  <c r="J1742" i="24"/>
  <c r="F1742" i="24"/>
  <c r="B1742" i="24"/>
  <c r="I1741" i="24"/>
  <c r="B1741" i="24"/>
  <c r="J1740" i="24"/>
  <c r="F1740" i="24"/>
  <c r="B1740" i="24"/>
  <c r="J1739" i="24"/>
  <c r="F1739" i="24"/>
  <c r="B1739" i="24"/>
  <c r="J1738" i="24"/>
  <c r="F1738" i="24"/>
  <c r="B1738" i="24"/>
  <c r="J1737" i="24"/>
  <c r="F1737" i="24"/>
  <c r="B1737" i="24"/>
  <c r="I1736" i="24"/>
  <c r="B1736" i="24"/>
  <c r="I1735" i="24"/>
  <c r="B1735" i="24"/>
  <c r="I1734" i="24"/>
  <c r="B1734" i="24"/>
  <c r="I1733" i="24"/>
  <c r="B1733" i="24"/>
  <c r="I1732" i="24"/>
  <c r="B1732" i="24"/>
  <c r="J1731" i="24"/>
  <c r="F1731" i="24"/>
  <c r="B1731" i="24"/>
  <c r="J1730" i="24"/>
  <c r="F1730" i="24"/>
  <c r="B1730" i="24"/>
  <c r="I1729" i="24"/>
  <c r="B1729" i="24"/>
  <c r="I1728" i="24"/>
  <c r="B1728" i="24"/>
  <c r="J1727" i="24"/>
  <c r="F1727" i="24"/>
  <c r="B1727" i="24"/>
  <c r="J1726" i="24"/>
  <c r="F1726" i="24"/>
  <c r="B1726" i="24"/>
  <c r="I1725" i="24"/>
  <c r="B1725" i="24"/>
  <c r="J1724" i="24"/>
  <c r="F1724" i="24"/>
  <c r="B1724" i="24"/>
  <c r="J1723" i="24"/>
  <c r="F1723" i="24"/>
  <c r="B1723" i="24"/>
  <c r="J1722" i="24"/>
  <c r="F1722" i="24"/>
  <c r="B1722" i="24"/>
  <c r="I1721" i="24"/>
  <c r="B1721" i="24"/>
  <c r="J1720" i="24"/>
  <c r="F1720" i="24"/>
  <c r="B1720" i="24"/>
  <c r="I1719" i="24"/>
  <c r="B1719" i="24"/>
  <c r="J1718" i="24"/>
  <c r="F1718" i="24"/>
  <c r="B1718" i="24"/>
  <c r="J1717" i="24"/>
  <c r="F1717" i="24"/>
  <c r="B1717" i="24"/>
  <c r="J1716" i="24"/>
  <c r="F1716" i="24"/>
  <c r="B1716" i="24"/>
  <c r="J1715" i="24"/>
  <c r="F1715" i="24"/>
  <c r="B1715" i="24"/>
  <c r="I1714" i="24"/>
  <c r="B1714" i="24"/>
  <c r="J1713" i="24"/>
  <c r="F1713" i="24"/>
  <c r="B1713" i="24"/>
  <c r="I1712" i="24"/>
  <c r="B1712" i="24"/>
  <c r="J1711" i="24"/>
  <c r="F1711" i="24"/>
  <c r="B1711" i="24"/>
  <c r="J1710" i="24"/>
  <c r="F1710" i="24"/>
  <c r="B1710" i="24"/>
  <c r="I1709" i="24"/>
  <c r="B1709" i="24"/>
  <c r="J1708" i="24"/>
  <c r="F1708" i="24"/>
  <c r="B1708" i="24"/>
  <c r="J1707" i="24"/>
  <c r="F1707" i="24"/>
  <c r="B1707" i="24"/>
  <c r="I1706" i="24"/>
  <c r="B1706" i="24"/>
  <c r="J1705" i="24"/>
  <c r="F1705" i="24"/>
  <c r="B1705" i="24"/>
  <c r="J1704" i="24"/>
  <c r="F1704" i="24"/>
  <c r="B1704" i="24"/>
  <c r="J1703" i="24"/>
  <c r="F1703" i="24"/>
  <c r="B1703" i="24"/>
  <c r="J1702" i="24"/>
  <c r="F1702" i="24"/>
  <c r="B1702" i="24"/>
  <c r="I1701" i="24"/>
  <c r="B1701" i="24"/>
  <c r="I1700" i="24"/>
  <c r="B1700" i="24"/>
  <c r="I1699" i="24"/>
  <c r="B1699" i="24"/>
  <c r="I1698" i="24"/>
  <c r="B1698" i="24"/>
  <c r="I1697" i="24"/>
  <c r="B1697" i="24"/>
  <c r="J1696" i="24"/>
  <c r="F1696" i="24"/>
  <c r="B1696" i="24"/>
  <c r="J1695" i="24"/>
  <c r="F1695" i="24"/>
  <c r="B1695" i="24"/>
  <c r="I1694" i="24"/>
  <c r="B1694" i="24"/>
  <c r="I1693" i="24"/>
  <c r="B1693" i="24"/>
  <c r="J1692" i="24"/>
  <c r="F1692" i="24"/>
  <c r="B1692" i="24"/>
  <c r="J1691" i="24"/>
  <c r="F1691" i="24"/>
  <c r="B1691" i="24"/>
  <c r="I1690" i="24"/>
  <c r="B1690" i="24"/>
  <c r="J1689" i="24"/>
  <c r="F1689" i="24"/>
  <c r="B1689" i="24"/>
  <c r="J1688" i="24"/>
  <c r="F1688" i="24"/>
  <c r="B1688" i="24"/>
  <c r="J1687" i="24"/>
  <c r="F1687" i="24"/>
  <c r="B1687" i="24"/>
  <c r="I1686" i="24"/>
  <c r="B1686" i="24"/>
  <c r="J1685" i="24"/>
  <c r="F1685" i="24"/>
  <c r="B1685" i="24"/>
  <c r="I1684" i="24"/>
  <c r="B1684" i="24"/>
  <c r="J1683" i="24"/>
  <c r="F1683" i="24"/>
  <c r="B1683" i="24"/>
  <c r="J1682" i="24"/>
  <c r="F1682" i="24"/>
  <c r="B1682" i="24"/>
  <c r="J1681" i="24"/>
  <c r="F1681" i="24"/>
  <c r="B1681" i="24"/>
  <c r="J1680" i="24"/>
  <c r="F1680" i="24"/>
  <c r="B1680" i="24"/>
  <c r="I1679" i="24"/>
  <c r="B1679" i="24"/>
  <c r="J1678" i="24"/>
  <c r="F1678" i="24"/>
  <c r="B1678" i="24"/>
  <c r="I1677" i="24"/>
  <c r="B1677" i="24"/>
  <c r="J1676" i="24"/>
  <c r="F1676" i="24"/>
  <c r="B1676" i="24"/>
  <c r="J1675" i="24"/>
  <c r="F1675" i="24"/>
  <c r="B1675" i="24"/>
  <c r="I1674" i="24"/>
  <c r="B1674" i="24"/>
  <c r="J1673" i="24"/>
  <c r="F1673" i="24"/>
  <c r="B1673" i="24"/>
  <c r="J1672" i="24"/>
  <c r="F1672" i="24"/>
  <c r="B1672" i="24"/>
  <c r="I1671" i="24"/>
  <c r="B1671" i="24"/>
  <c r="J1670" i="24"/>
  <c r="F1670" i="24"/>
  <c r="B1670" i="24"/>
  <c r="J1669" i="24"/>
  <c r="F1669" i="24"/>
  <c r="B1669" i="24"/>
  <c r="J1668" i="24"/>
  <c r="F1668" i="24"/>
  <c r="B1668" i="24"/>
  <c r="J1667" i="24"/>
  <c r="F1667" i="24"/>
  <c r="B1667" i="24"/>
  <c r="I1666" i="24"/>
  <c r="B1666" i="24"/>
  <c r="I1665" i="24"/>
  <c r="B1665" i="24"/>
  <c r="I1664" i="24"/>
  <c r="B1664" i="24"/>
  <c r="I1663" i="24"/>
  <c r="B1663" i="24"/>
  <c r="I1662" i="24"/>
  <c r="B1662" i="24"/>
  <c r="J1661" i="24"/>
  <c r="F1661" i="24"/>
  <c r="B1661" i="24"/>
  <c r="J1660" i="24"/>
  <c r="F1660" i="24"/>
  <c r="B1660" i="24"/>
  <c r="I1659" i="24"/>
  <c r="B1659" i="24"/>
  <c r="I1658" i="24"/>
  <c r="B1658" i="24"/>
  <c r="J1657" i="24"/>
  <c r="F1657" i="24"/>
  <c r="B1657" i="24"/>
  <c r="J1656" i="24"/>
  <c r="F1656" i="24"/>
  <c r="B1656" i="24"/>
  <c r="I1655" i="24"/>
  <c r="B1655" i="24"/>
  <c r="J1654" i="24"/>
  <c r="F1654" i="24"/>
  <c r="B1654" i="24"/>
  <c r="J1653" i="24"/>
  <c r="F1653" i="24"/>
  <c r="B1653" i="24"/>
  <c r="J1652" i="24"/>
  <c r="F1652" i="24"/>
  <c r="B1652" i="24"/>
  <c r="I1651" i="24"/>
  <c r="B1651" i="24"/>
  <c r="J1650" i="24"/>
  <c r="F1650" i="24"/>
  <c r="B1650" i="24"/>
  <c r="I1649" i="24"/>
  <c r="B1649" i="24"/>
  <c r="I1648" i="24"/>
  <c r="B1648" i="24"/>
  <c r="J1647" i="24"/>
  <c r="F1647" i="24"/>
  <c r="B1647" i="24"/>
  <c r="J1646" i="24"/>
  <c r="F1646" i="24"/>
  <c r="B1646" i="24"/>
  <c r="J1645" i="24"/>
  <c r="F1645" i="24"/>
  <c r="B1645" i="24"/>
  <c r="I1644" i="24"/>
  <c r="B1644" i="24"/>
  <c r="J1643" i="24"/>
  <c r="F1643" i="24"/>
  <c r="B1643" i="24"/>
  <c r="I1642" i="24"/>
  <c r="B1642" i="24"/>
  <c r="J1641" i="24"/>
  <c r="F1641" i="24"/>
  <c r="B1641" i="24"/>
  <c r="J1640" i="24"/>
  <c r="F1640" i="24"/>
  <c r="B1640" i="24"/>
  <c r="I1639" i="24"/>
  <c r="B1639" i="24"/>
  <c r="J1638" i="24"/>
  <c r="F1638" i="24"/>
  <c r="B1638" i="24"/>
  <c r="J1637" i="24"/>
  <c r="F1637" i="24"/>
  <c r="B1637" i="24"/>
  <c r="I1636" i="24"/>
  <c r="B1636" i="24"/>
  <c r="J1635" i="24"/>
  <c r="F1635" i="24"/>
  <c r="B1635" i="24"/>
  <c r="J1634" i="24"/>
  <c r="F1634" i="24"/>
  <c r="B1634" i="24"/>
  <c r="J1633" i="24"/>
  <c r="F1633" i="24"/>
  <c r="B1633" i="24"/>
  <c r="J1632" i="24"/>
  <c r="F1632" i="24"/>
  <c r="B1632" i="24"/>
  <c r="I1631" i="24"/>
  <c r="B1631" i="24"/>
  <c r="I1630" i="24"/>
  <c r="B1630" i="24"/>
  <c r="I1629" i="24"/>
  <c r="B1629" i="24"/>
  <c r="I1628" i="24"/>
  <c r="B1628" i="24"/>
  <c r="I1627" i="24"/>
  <c r="B1627" i="24"/>
  <c r="J1626" i="24"/>
  <c r="F1626" i="24"/>
  <c r="B1626" i="24"/>
  <c r="J1625" i="24"/>
  <c r="F1625" i="24"/>
  <c r="B1625" i="24"/>
  <c r="I1624" i="24"/>
  <c r="B1624" i="24"/>
  <c r="I1623" i="24"/>
  <c r="B1623" i="24"/>
  <c r="J1622" i="24"/>
  <c r="F1622" i="24"/>
  <c r="B1622" i="24"/>
  <c r="J1621" i="24"/>
  <c r="F1621" i="24"/>
  <c r="B1621" i="24"/>
  <c r="I1620" i="24"/>
  <c r="B1620" i="24"/>
  <c r="J1619" i="24"/>
  <c r="F1619" i="24"/>
  <c r="B1619" i="24"/>
  <c r="J1618" i="24"/>
  <c r="F1618" i="24"/>
  <c r="B1618" i="24"/>
  <c r="J1617" i="24"/>
  <c r="F1617" i="24"/>
  <c r="B1617" i="24"/>
  <c r="I1616" i="24"/>
  <c r="B1616" i="24"/>
  <c r="J1615" i="24"/>
  <c r="F1615" i="24"/>
  <c r="B1615" i="24"/>
  <c r="I1614" i="24"/>
  <c r="B1614" i="24"/>
  <c r="I1613" i="24"/>
  <c r="B1613" i="24"/>
  <c r="J1612" i="24"/>
  <c r="F1612" i="24"/>
  <c r="B1612" i="24"/>
  <c r="J1611" i="24"/>
  <c r="F1611" i="24"/>
  <c r="B1611" i="24"/>
  <c r="J1610" i="24"/>
  <c r="F1610" i="24"/>
  <c r="B1610" i="24"/>
  <c r="I1609" i="24"/>
  <c r="B1609" i="24"/>
  <c r="J1608" i="24"/>
  <c r="F1608" i="24"/>
  <c r="B1608" i="24"/>
  <c r="I1607" i="24"/>
  <c r="B1607" i="24"/>
  <c r="J1606" i="24"/>
  <c r="F1606" i="24"/>
  <c r="B1606" i="24"/>
  <c r="J1605" i="24"/>
  <c r="F1605" i="24"/>
  <c r="B1605" i="24"/>
  <c r="I1604" i="24"/>
  <c r="B1604" i="24"/>
  <c r="J1603" i="24"/>
  <c r="F1603" i="24"/>
  <c r="B1603" i="24"/>
  <c r="J1602" i="24"/>
  <c r="F1602" i="24"/>
  <c r="B1602" i="24"/>
  <c r="I1601" i="24"/>
  <c r="B1601" i="24"/>
  <c r="J1600" i="24"/>
  <c r="F1600" i="24"/>
  <c r="B1600" i="24"/>
  <c r="J1599" i="24"/>
  <c r="F1599" i="24"/>
  <c r="B1599" i="24"/>
  <c r="J1598" i="24"/>
  <c r="F1598" i="24"/>
  <c r="B1598" i="24"/>
  <c r="J1597" i="24"/>
  <c r="F1597" i="24"/>
  <c r="B1597" i="24"/>
  <c r="I1596" i="24"/>
  <c r="B1596" i="24"/>
  <c r="I1595" i="24"/>
  <c r="B1595" i="24"/>
  <c r="I1594" i="24"/>
  <c r="B1594" i="24"/>
  <c r="I1593" i="24"/>
  <c r="B1593" i="24"/>
  <c r="I1592" i="24"/>
  <c r="B1592" i="24"/>
  <c r="J1591" i="24"/>
  <c r="F1591" i="24"/>
  <c r="B1591" i="24"/>
  <c r="J1590" i="24"/>
  <c r="F1590" i="24"/>
  <c r="B1590" i="24"/>
  <c r="I1589" i="24"/>
  <c r="B1589" i="24"/>
  <c r="I1588" i="24"/>
  <c r="B1588" i="24"/>
  <c r="J1587" i="24"/>
  <c r="F1587" i="24"/>
  <c r="B1587" i="24"/>
  <c r="J1586" i="24"/>
  <c r="F1586" i="24"/>
  <c r="B1586" i="24"/>
  <c r="I1585" i="24"/>
  <c r="B1585" i="24"/>
  <c r="J1584" i="24"/>
  <c r="F1584" i="24"/>
  <c r="B1584" i="24"/>
  <c r="J1583" i="24"/>
  <c r="F1583" i="24"/>
  <c r="B1583" i="24"/>
  <c r="J1582" i="24"/>
  <c r="F1582" i="24"/>
  <c r="B1582" i="24"/>
  <c r="I1581" i="24"/>
  <c r="B1581" i="24"/>
  <c r="J1580" i="24"/>
  <c r="F1580" i="24"/>
  <c r="B1580" i="24"/>
  <c r="I1579" i="24"/>
  <c r="B1579" i="24"/>
  <c r="I1578" i="24"/>
  <c r="B1578" i="24"/>
  <c r="J1577" i="24"/>
  <c r="F1577" i="24"/>
  <c r="B1577" i="24"/>
  <c r="J1576" i="24"/>
  <c r="F1576" i="24"/>
  <c r="B1576" i="24"/>
  <c r="J1575" i="24"/>
  <c r="F1575" i="24"/>
  <c r="B1575" i="24"/>
  <c r="I1574" i="24"/>
  <c r="B1574" i="24"/>
  <c r="J1573" i="24"/>
  <c r="F1573" i="24"/>
  <c r="B1573" i="24"/>
  <c r="I1572" i="24"/>
  <c r="B1572" i="24"/>
  <c r="J1571" i="24"/>
  <c r="F1571" i="24"/>
  <c r="B1571" i="24"/>
  <c r="J1570" i="24"/>
  <c r="F1570" i="24"/>
  <c r="B1570" i="24"/>
  <c r="I1569" i="24"/>
  <c r="B1569" i="24"/>
  <c r="J1568" i="24"/>
  <c r="F1568" i="24"/>
  <c r="B1568" i="24"/>
  <c r="J1567" i="24"/>
  <c r="F1567" i="24"/>
  <c r="B1567" i="24"/>
  <c r="I1566" i="24"/>
  <c r="B1566" i="24"/>
  <c r="J1565" i="24"/>
  <c r="F1565" i="24"/>
  <c r="B1565" i="24"/>
  <c r="J1564" i="24"/>
  <c r="F1564" i="24"/>
  <c r="B1564" i="24"/>
  <c r="J1563" i="24"/>
  <c r="F1563" i="24"/>
  <c r="B1563" i="24"/>
  <c r="J1562" i="24"/>
  <c r="F1562" i="24"/>
  <c r="B1562" i="24"/>
  <c r="I1561" i="24"/>
  <c r="B1561" i="24"/>
  <c r="I1560" i="24"/>
  <c r="B1560" i="24"/>
  <c r="I1559" i="24"/>
  <c r="B1559" i="24"/>
  <c r="I1558" i="24"/>
  <c r="B1558" i="24"/>
  <c r="I1557" i="24"/>
  <c r="B1557" i="24"/>
  <c r="J1556" i="24"/>
  <c r="F1556" i="24"/>
  <c r="B1556" i="24"/>
  <c r="J1555" i="24"/>
  <c r="F1555" i="24"/>
  <c r="B1555" i="24"/>
  <c r="I1554" i="24"/>
  <c r="B1554" i="24"/>
  <c r="I1553" i="24"/>
  <c r="B1553" i="24"/>
  <c r="J1552" i="24"/>
  <c r="F1552" i="24"/>
  <c r="B1552" i="24"/>
  <c r="J1551" i="24"/>
  <c r="F1551" i="24"/>
  <c r="B1551" i="24"/>
  <c r="I1550" i="24"/>
  <c r="B1550" i="24"/>
  <c r="J1549" i="24"/>
  <c r="F1549" i="24"/>
  <c r="B1549" i="24"/>
  <c r="J1548" i="24"/>
  <c r="F1548" i="24"/>
  <c r="B1548" i="24"/>
  <c r="J1547" i="24"/>
  <c r="F1547" i="24"/>
  <c r="B1547" i="24"/>
  <c r="I1546" i="24"/>
  <c r="B1546" i="24"/>
  <c r="J1545" i="24"/>
  <c r="F1545" i="24"/>
  <c r="B1545" i="24"/>
  <c r="I1544" i="24"/>
  <c r="B1544" i="24"/>
  <c r="I1543" i="24"/>
  <c r="B1543" i="24"/>
  <c r="J1542" i="24"/>
  <c r="F1542" i="24"/>
  <c r="B1542" i="24"/>
  <c r="J1541" i="24"/>
  <c r="F1541" i="24"/>
  <c r="B1541" i="24"/>
  <c r="J1540" i="24"/>
  <c r="F1540" i="24"/>
  <c r="B1540" i="24"/>
  <c r="I1539" i="24"/>
  <c r="B1539" i="24"/>
  <c r="J1538" i="24"/>
  <c r="F1538" i="24"/>
  <c r="B1538" i="24"/>
  <c r="I1537" i="24"/>
  <c r="B1537" i="24"/>
  <c r="J1536" i="24"/>
  <c r="F1536" i="24"/>
  <c r="B1536" i="24"/>
  <c r="J1535" i="24"/>
  <c r="F1535" i="24"/>
  <c r="B1535" i="24"/>
  <c r="I1534" i="24"/>
  <c r="B1534" i="24"/>
  <c r="J1533" i="24"/>
  <c r="F1533" i="24"/>
  <c r="B1533" i="24"/>
  <c r="J1532" i="24"/>
  <c r="F1532" i="24"/>
  <c r="B1532" i="24"/>
  <c r="I1531" i="24"/>
  <c r="B1531" i="24"/>
  <c r="J1530" i="24"/>
  <c r="F1530" i="24"/>
  <c r="B1530" i="24"/>
  <c r="J1529" i="24"/>
  <c r="F1529" i="24"/>
  <c r="B1529" i="24"/>
  <c r="J1528" i="24"/>
  <c r="F1528" i="24"/>
  <c r="B1528" i="24"/>
  <c r="J1527" i="24"/>
  <c r="F1527" i="24"/>
  <c r="B1527" i="24"/>
  <c r="I1526" i="24"/>
  <c r="B1526" i="24"/>
  <c r="I1525" i="24"/>
  <c r="B1525" i="24"/>
  <c r="I1524" i="24"/>
  <c r="B1524" i="24"/>
  <c r="I1523" i="24"/>
  <c r="B1523" i="24"/>
  <c r="I1522" i="24"/>
  <c r="B1522" i="24"/>
  <c r="J1521" i="24"/>
  <c r="F1521" i="24"/>
  <c r="B1521" i="24"/>
  <c r="J1520" i="24"/>
  <c r="F1520" i="24"/>
  <c r="B1520" i="24"/>
  <c r="I1519" i="24"/>
  <c r="B1519" i="24"/>
  <c r="I1518" i="24"/>
  <c r="B1518" i="24"/>
  <c r="J1517" i="24"/>
  <c r="F1517" i="24"/>
  <c r="B1517" i="24"/>
  <c r="J1516" i="24"/>
  <c r="F1516" i="24"/>
  <c r="B1516" i="24"/>
  <c r="I1515" i="24"/>
  <c r="B1515" i="24"/>
  <c r="J1514" i="24"/>
  <c r="F1514" i="24"/>
  <c r="B1514" i="24"/>
  <c r="J1513" i="24"/>
  <c r="F1513" i="24"/>
  <c r="B1513" i="24"/>
  <c r="J1512" i="24"/>
  <c r="F1512" i="24"/>
  <c r="B1512" i="24"/>
  <c r="I1511" i="24"/>
  <c r="B1511" i="24"/>
  <c r="J1510" i="24"/>
  <c r="F1510" i="24"/>
  <c r="B1510" i="24"/>
  <c r="I1509" i="24"/>
  <c r="B1509" i="24"/>
  <c r="I1508" i="24"/>
  <c r="B1508" i="24"/>
  <c r="J1507" i="24"/>
  <c r="F1507" i="24"/>
  <c r="B1507" i="24"/>
  <c r="J1506" i="24"/>
  <c r="F1506" i="24"/>
  <c r="B1506" i="24"/>
  <c r="J1505" i="24"/>
  <c r="F1505" i="24"/>
  <c r="B1505" i="24"/>
  <c r="I1504" i="24"/>
  <c r="B1504" i="24"/>
  <c r="J1503" i="24"/>
  <c r="F1503" i="24"/>
  <c r="B1503" i="24"/>
  <c r="I1502" i="24"/>
  <c r="B1502" i="24"/>
  <c r="J1501" i="24"/>
  <c r="F1501" i="24"/>
  <c r="B1501" i="24"/>
  <c r="J1500" i="24"/>
  <c r="F1500" i="24"/>
  <c r="B1500" i="24"/>
  <c r="I1499" i="24"/>
  <c r="B1499" i="24"/>
  <c r="J1498" i="24"/>
  <c r="F1498" i="24"/>
  <c r="B1498" i="24"/>
  <c r="J1497" i="24"/>
  <c r="F1497" i="24"/>
  <c r="B1497" i="24"/>
  <c r="I1496" i="24"/>
  <c r="B1496" i="24"/>
  <c r="J1495" i="24"/>
  <c r="F1495" i="24"/>
  <c r="B1495" i="24"/>
  <c r="J1494" i="24"/>
  <c r="F1494" i="24"/>
  <c r="B1494" i="24"/>
  <c r="J1493" i="24"/>
  <c r="F1493" i="24"/>
  <c r="B1493" i="24"/>
  <c r="J1492" i="24"/>
  <c r="F1492" i="24"/>
  <c r="B1492" i="24"/>
  <c r="I1491" i="24"/>
  <c r="B1491" i="24"/>
  <c r="I1490" i="24"/>
  <c r="B1490" i="24"/>
  <c r="I1489" i="24"/>
  <c r="B1489" i="24"/>
  <c r="I1488" i="24"/>
  <c r="B1488" i="24"/>
  <c r="I1487" i="24"/>
  <c r="B1487" i="24"/>
  <c r="J1486" i="24"/>
  <c r="F1486" i="24"/>
  <c r="B1486" i="24"/>
  <c r="J1485" i="24"/>
  <c r="F1485" i="24"/>
  <c r="B1485" i="24"/>
  <c r="I1484" i="24"/>
  <c r="B1484" i="24"/>
  <c r="I1483" i="24"/>
  <c r="B1483" i="24"/>
  <c r="J1482" i="24"/>
  <c r="F1482" i="24"/>
  <c r="B1482" i="24"/>
  <c r="J1481" i="24"/>
  <c r="F1481" i="24"/>
  <c r="B1481" i="24"/>
  <c r="I1480" i="24"/>
  <c r="B1480" i="24"/>
  <c r="J1479" i="24"/>
  <c r="F1479" i="24"/>
  <c r="B1479" i="24"/>
  <c r="J1478" i="24"/>
  <c r="F1478" i="24"/>
  <c r="B1478" i="24"/>
  <c r="J1477" i="24"/>
  <c r="F1477" i="24"/>
  <c r="B1477" i="24"/>
  <c r="I1476" i="24"/>
  <c r="B1476" i="24"/>
  <c r="J1475" i="24"/>
  <c r="F1475" i="24"/>
  <c r="B1475" i="24"/>
  <c r="I1474" i="24"/>
  <c r="B1474" i="24"/>
  <c r="I1473" i="24"/>
  <c r="B1473" i="24"/>
  <c r="J1472" i="24"/>
  <c r="F1472" i="24"/>
  <c r="B1472" i="24"/>
  <c r="J1471" i="24"/>
  <c r="F1471" i="24"/>
  <c r="B1471" i="24"/>
  <c r="J1470" i="24"/>
  <c r="F1470" i="24"/>
  <c r="B1470" i="24"/>
  <c r="I1469" i="24"/>
  <c r="B1469" i="24"/>
  <c r="J1468" i="24"/>
  <c r="F1468" i="24"/>
  <c r="B1468" i="24"/>
  <c r="I1467" i="24"/>
  <c r="B1467" i="24"/>
  <c r="J1466" i="24"/>
  <c r="F1466" i="24"/>
  <c r="B1466" i="24"/>
  <c r="J1465" i="24"/>
  <c r="F1465" i="24"/>
  <c r="B1465" i="24"/>
  <c r="I1464" i="24"/>
  <c r="B1464" i="24"/>
  <c r="J1463" i="24"/>
  <c r="F1463" i="24"/>
  <c r="B1463" i="24"/>
  <c r="J1462" i="24"/>
  <c r="F1462" i="24"/>
  <c r="B1462" i="24"/>
  <c r="I1461" i="24"/>
  <c r="B1461" i="24"/>
  <c r="J1460" i="24"/>
  <c r="F1460" i="24"/>
  <c r="B1460" i="24"/>
  <c r="J1459" i="24"/>
  <c r="F1459" i="24"/>
  <c r="B1459" i="24"/>
  <c r="J1458" i="24"/>
  <c r="F1458" i="24"/>
  <c r="B1458" i="24"/>
  <c r="J1457" i="24"/>
  <c r="F1457" i="24"/>
  <c r="B1457" i="24"/>
  <c r="I1456" i="24"/>
  <c r="B1456" i="24"/>
  <c r="I1455" i="24"/>
  <c r="B1455" i="24"/>
  <c r="I1454" i="24"/>
  <c r="B1454" i="24"/>
  <c r="I1453" i="24"/>
  <c r="B1453" i="24"/>
  <c r="I1452" i="24"/>
  <c r="B1452" i="24"/>
  <c r="J1451" i="24"/>
  <c r="F1451" i="24"/>
  <c r="B1451" i="24"/>
  <c r="J1450" i="24"/>
  <c r="F1450" i="24"/>
  <c r="B1450" i="24"/>
  <c r="I1449" i="24"/>
  <c r="B1449" i="24"/>
  <c r="I1448" i="24"/>
  <c r="B1448" i="24"/>
  <c r="J1447" i="24"/>
  <c r="F1447" i="24"/>
  <c r="B1447" i="24"/>
  <c r="J1446" i="24"/>
  <c r="F1446" i="24"/>
  <c r="B1446" i="24"/>
  <c r="I1445" i="24"/>
  <c r="B1445" i="24"/>
  <c r="J1444" i="24"/>
  <c r="F1444" i="24"/>
  <c r="B1444" i="24"/>
  <c r="J1443" i="24"/>
  <c r="F1443" i="24"/>
  <c r="B1443" i="24"/>
  <c r="J1442" i="24"/>
  <c r="F1442" i="24"/>
  <c r="B1442" i="24"/>
  <c r="I1441" i="24"/>
  <c r="B1441" i="24"/>
  <c r="J1440" i="24"/>
  <c r="F1440" i="24"/>
  <c r="B1440" i="24"/>
  <c r="I1439" i="24"/>
  <c r="B1439" i="24"/>
  <c r="I1438" i="24"/>
  <c r="B1438" i="24"/>
  <c r="J1437" i="24"/>
  <c r="F1437" i="24"/>
  <c r="B1437" i="24"/>
  <c r="J1436" i="24"/>
  <c r="F1436" i="24"/>
  <c r="B1436" i="24"/>
  <c r="J1435" i="24"/>
  <c r="F1435" i="24"/>
  <c r="B1435" i="24"/>
  <c r="I1434" i="24"/>
  <c r="B1434" i="24"/>
  <c r="J1433" i="24"/>
  <c r="F1433" i="24"/>
  <c r="B1433" i="24"/>
  <c r="I1432" i="24"/>
  <c r="B1432" i="24"/>
  <c r="J1431" i="24"/>
  <c r="F1431" i="24"/>
  <c r="B1431" i="24"/>
  <c r="J1430" i="24"/>
  <c r="F1430" i="24"/>
  <c r="B1430" i="24"/>
  <c r="I1429" i="24"/>
  <c r="B1429" i="24"/>
  <c r="J1428" i="24"/>
  <c r="F1428" i="24"/>
  <c r="B1428" i="24"/>
  <c r="J1427" i="24"/>
  <c r="F1427" i="24"/>
  <c r="B1427" i="24"/>
  <c r="I1426" i="24"/>
  <c r="B1426" i="24"/>
  <c r="J1425" i="24"/>
  <c r="F1425" i="24"/>
  <c r="B1425" i="24"/>
  <c r="J1424" i="24"/>
  <c r="F1424" i="24"/>
  <c r="B1424" i="24"/>
  <c r="J1423" i="24"/>
  <c r="F1423" i="24"/>
  <c r="B1423" i="24"/>
  <c r="J1422" i="24"/>
  <c r="F1422" i="24"/>
  <c r="B1422" i="24"/>
  <c r="I1421" i="24"/>
  <c r="B1421" i="24"/>
  <c r="I1420" i="24"/>
  <c r="B1420" i="24"/>
  <c r="I1419" i="24"/>
  <c r="B1419" i="24"/>
  <c r="I1418" i="24"/>
  <c r="B1418" i="24"/>
  <c r="I1417" i="24"/>
  <c r="B1417" i="24"/>
  <c r="J1416" i="24"/>
  <c r="F1416" i="24"/>
  <c r="B1416" i="24"/>
  <c r="J1415" i="24"/>
  <c r="F1415" i="24"/>
  <c r="B1415" i="24"/>
  <c r="I1414" i="24"/>
  <c r="B1414" i="24"/>
  <c r="I1413" i="24"/>
  <c r="B1413" i="24"/>
  <c r="J1412" i="24"/>
  <c r="F1412" i="24"/>
  <c r="B1412" i="24"/>
  <c r="I1411" i="24"/>
  <c r="B1411" i="24"/>
  <c r="I1410" i="24"/>
  <c r="B1410" i="24"/>
  <c r="J1409" i="24"/>
  <c r="F1409" i="24"/>
  <c r="B1409" i="24"/>
  <c r="J1408" i="24"/>
  <c r="F1408" i="24"/>
  <c r="B1408" i="24"/>
  <c r="J1407" i="24"/>
  <c r="F1407" i="24"/>
  <c r="B1407" i="24"/>
  <c r="I1406" i="24"/>
  <c r="B1406" i="24"/>
  <c r="J1405" i="24"/>
  <c r="F1405" i="24"/>
  <c r="B1405" i="24"/>
  <c r="I1404" i="24"/>
  <c r="B1404" i="24"/>
  <c r="I1403" i="24"/>
  <c r="B1403" i="24"/>
  <c r="J1402" i="24"/>
  <c r="F1402" i="24"/>
  <c r="B1402" i="24"/>
  <c r="J1401" i="24"/>
  <c r="F1401" i="24"/>
  <c r="B1401" i="24"/>
  <c r="J1400" i="24"/>
  <c r="F1400" i="24"/>
  <c r="B1400" i="24"/>
  <c r="I1399" i="24"/>
  <c r="B1399" i="24"/>
  <c r="J1398" i="24"/>
  <c r="F1398" i="24"/>
  <c r="B1398" i="24"/>
  <c r="J1397" i="24"/>
  <c r="F1397" i="24"/>
  <c r="B1397" i="24"/>
  <c r="J1396" i="24"/>
  <c r="B1396" i="24"/>
  <c r="J1395" i="24"/>
  <c r="F1395" i="24"/>
  <c r="B1395" i="24"/>
  <c r="I1394" i="24"/>
  <c r="B1394" i="24"/>
  <c r="J1393" i="24"/>
  <c r="F1393" i="24"/>
  <c r="B1393" i="24"/>
  <c r="J1392" i="24"/>
  <c r="F1392" i="24"/>
  <c r="B1392" i="24"/>
  <c r="I1391" i="24"/>
  <c r="B1391" i="24"/>
  <c r="J1390" i="24"/>
  <c r="F1390" i="24"/>
  <c r="B1390" i="24"/>
  <c r="J1389" i="24"/>
  <c r="F1389" i="24"/>
  <c r="B1389" i="24"/>
  <c r="J1388" i="24"/>
  <c r="F1388" i="24"/>
  <c r="B1388" i="24"/>
  <c r="J1387" i="24"/>
  <c r="F1387" i="24"/>
  <c r="B1387" i="24"/>
  <c r="I1386" i="24"/>
  <c r="B1386" i="24"/>
  <c r="I1385" i="24"/>
  <c r="B1385" i="24"/>
  <c r="I1384" i="24"/>
  <c r="B1384" i="24"/>
  <c r="I1383" i="24"/>
  <c r="B1383" i="24"/>
  <c r="I1382" i="24"/>
  <c r="B1382" i="24"/>
  <c r="J1381" i="24"/>
  <c r="F1381" i="24"/>
  <c r="B1381" i="24"/>
  <c r="J1380" i="24"/>
  <c r="F1380" i="24"/>
  <c r="B1380" i="24"/>
  <c r="I1379" i="24"/>
  <c r="B1379" i="24"/>
  <c r="I1378" i="24"/>
  <c r="B1378" i="24"/>
  <c r="J1377" i="24"/>
  <c r="F1377" i="24"/>
  <c r="B1377" i="24"/>
  <c r="I1376" i="24"/>
  <c r="B1376" i="24"/>
  <c r="I1375" i="24"/>
  <c r="B1375" i="24"/>
  <c r="J1374" i="24"/>
  <c r="F1374" i="24"/>
  <c r="B1374" i="24"/>
  <c r="J1373" i="24"/>
  <c r="F1373" i="24"/>
  <c r="B1373" i="24"/>
  <c r="J1372" i="24"/>
  <c r="F1372" i="24"/>
  <c r="B1372" i="24"/>
  <c r="I1371" i="24"/>
  <c r="B1371" i="24"/>
  <c r="J1370" i="24"/>
  <c r="F1370" i="24"/>
  <c r="B1370" i="24"/>
  <c r="I1369" i="24"/>
  <c r="B1369" i="24"/>
  <c r="I1368" i="24"/>
  <c r="B1368" i="24"/>
  <c r="J1367" i="24"/>
  <c r="F1367" i="24"/>
  <c r="B1367" i="24"/>
  <c r="J1366" i="24"/>
  <c r="F1366" i="24"/>
  <c r="B1366" i="24"/>
  <c r="J1365" i="24"/>
  <c r="F1365" i="24"/>
  <c r="B1365" i="24"/>
  <c r="I1364" i="24"/>
  <c r="B1364" i="24"/>
  <c r="I1363" i="24"/>
  <c r="B1363" i="24"/>
  <c r="I1362" i="24"/>
  <c r="B1362" i="24"/>
  <c r="I1361" i="24"/>
  <c r="B1361" i="24"/>
  <c r="J1360" i="24"/>
  <c r="F1360" i="24"/>
  <c r="B1360" i="24"/>
  <c r="I1359" i="24"/>
  <c r="B1359" i="24"/>
  <c r="J1358" i="24"/>
  <c r="F1358" i="24"/>
  <c r="B1358" i="24"/>
  <c r="J1357" i="24"/>
  <c r="F1357" i="24"/>
  <c r="B1357" i="24"/>
  <c r="I1356" i="24"/>
  <c r="B1356" i="24"/>
  <c r="J1355" i="24"/>
  <c r="F1355" i="24"/>
  <c r="B1355" i="24"/>
  <c r="J1354" i="24"/>
  <c r="F1354" i="24"/>
  <c r="B1354" i="24"/>
  <c r="J1353" i="24"/>
  <c r="F1353" i="24"/>
  <c r="B1353" i="24"/>
  <c r="J1352" i="24"/>
  <c r="F1352" i="24"/>
  <c r="B1352" i="24"/>
  <c r="I1351" i="24"/>
  <c r="B1351" i="24"/>
  <c r="I1350" i="24"/>
  <c r="B1350" i="24"/>
  <c r="I1349" i="24"/>
  <c r="B1349" i="24"/>
  <c r="I1348" i="24"/>
  <c r="B1348" i="24"/>
  <c r="I1347" i="24"/>
  <c r="B1347" i="24"/>
  <c r="J1346" i="24"/>
  <c r="F1346" i="24"/>
  <c r="B1346" i="24"/>
  <c r="J1345" i="24"/>
  <c r="F1345" i="24"/>
  <c r="B1345" i="24"/>
  <c r="I1344" i="24"/>
  <c r="B1344" i="24"/>
  <c r="I1343" i="24"/>
  <c r="B1343" i="24"/>
  <c r="J1342" i="24"/>
  <c r="F1342" i="24"/>
  <c r="B1342" i="24"/>
  <c r="I1341" i="24"/>
  <c r="B1341" i="24"/>
  <c r="I1340" i="24"/>
  <c r="B1340" i="24"/>
  <c r="J1339" i="24"/>
  <c r="F1339" i="24"/>
  <c r="B1339" i="24"/>
  <c r="J1338" i="24"/>
  <c r="F1338" i="24"/>
  <c r="B1338" i="24"/>
  <c r="J1337" i="24"/>
  <c r="F1337" i="24"/>
  <c r="B1337" i="24"/>
  <c r="I1336" i="24"/>
  <c r="B1336" i="24"/>
  <c r="J1335" i="24"/>
  <c r="F1335" i="24"/>
  <c r="B1335" i="24"/>
  <c r="I1334" i="24"/>
  <c r="B1334" i="24"/>
  <c r="I1333" i="24"/>
  <c r="B1333" i="24"/>
  <c r="J1332" i="24"/>
  <c r="F1332" i="24"/>
  <c r="B1332" i="24"/>
  <c r="J1331" i="24"/>
  <c r="F1331" i="24"/>
  <c r="B1331" i="24"/>
  <c r="J1330" i="24"/>
  <c r="F1330" i="24"/>
  <c r="B1330" i="24"/>
  <c r="I1329" i="24"/>
  <c r="B1329" i="24"/>
  <c r="I1328" i="24"/>
  <c r="B1328" i="24"/>
  <c r="I1327" i="24"/>
  <c r="B1327" i="24"/>
  <c r="I1326" i="24"/>
  <c r="B1326" i="24"/>
  <c r="J1325" i="24"/>
  <c r="F1325" i="24"/>
  <c r="B1325" i="24"/>
  <c r="I1324" i="24"/>
  <c r="B1324" i="24"/>
  <c r="J1323" i="24"/>
  <c r="F1323" i="24"/>
  <c r="B1323" i="24"/>
  <c r="J1322" i="24"/>
  <c r="F1322" i="24"/>
  <c r="B1322" i="24"/>
  <c r="I1321" i="24"/>
  <c r="B1321" i="24"/>
  <c r="J1320" i="24"/>
  <c r="F1320" i="24"/>
  <c r="B1320" i="24"/>
  <c r="J1319" i="24"/>
  <c r="F1319" i="24"/>
  <c r="B1319" i="24"/>
  <c r="J1318" i="24"/>
  <c r="F1318" i="24"/>
  <c r="B1318" i="24"/>
  <c r="J1317" i="24"/>
  <c r="F1317" i="24"/>
  <c r="B1317" i="24"/>
  <c r="I1316" i="24"/>
  <c r="B1316" i="24"/>
  <c r="I1315" i="24"/>
  <c r="B1315" i="24"/>
  <c r="I1314" i="24"/>
  <c r="B1314" i="24"/>
  <c r="I1313" i="24"/>
  <c r="B1313" i="24"/>
  <c r="I1312" i="24"/>
  <c r="B1312" i="24"/>
  <c r="J1311" i="24"/>
  <c r="F1311" i="24"/>
  <c r="B1311" i="24"/>
  <c r="J1310" i="24"/>
  <c r="F1310" i="24"/>
  <c r="B1310" i="24"/>
  <c r="I1309" i="24"/>
  <c r="B1309" i="24"/>
  <c r="I1308" i="24"/>
  <c r="B1308" i="24"/>
  <c r="J1307" i="24"/>
  <c r="F1307" i="24"/>
  <c r="B1307" i="24"/>
  <c r="I1306" i="24"/>
  <c r="B1306" i="24"/>
  <c r="I1305" i="24"/>
  <c r="B1305" i="24"/>
  <c r="J1304" i="24"/>
  <c r="F1304" i="24"/>
  <c r="B1304" i="24"/>
  <c r="J1303" i="24"/>
  <c r="F1303" i="24"/>
  <c r="B1303" i="24"/>
  <c r="J1302" i="24"/>
  <c r="F1302" i="24"/>
  <c r="B1302" i="24"/>
  <c r="I1301" i="24"/>
  <c r="B1301" i="24"/>
  <c r="I1300" i="24"/>
  <c r="B1300" i="24"/>
  <c r="I1299" i="24"/>
  <c r="B1299" i="24"/>
  <c r="I1298" i="24"/>
  <c r="B1298" i="24"/>
  <c r="J1297" i="24"/>
  <c r="F1297" i="24"/>
  <c r="B1297" i="24"/>
  <c r="J1296" i="24"/>
  <c r="F1296" i="24"/>
  <c r="B1296" i="24"/>
  <c r="J1295" i="24"/>
  <c r="F1295" i="24"/>
  <c r="B1295" i="24"/>
  <c r="I1294" i="24"/>
  <c r="B1294" i="24"/>
  <c r="I1293" i="24"/>
  <c r="B1293" i="24"/>
  <c r="I1292" i="24"/>
  <c r="B1292" i="24"/>
  <c r="I1291" i="24"/>
  <c r="B1291" i="24"/>
  <c r="J1290" i="24"/>
  <c r="F1290" i="24"/>
  <c r="B1290" i="24"/>
  <c r="I1289" i="24"/>
  <c r="B1289" i="24"/>
  <c r="J1288" i="24"/>
  <c r="F1288" i="24"/>
  <c r="B1288" i="24"/>
  <c r="J1287" i="24"/>
  <c r="F1287" i="24"/>
  <c r="B1287" i="24"/>
  <c r="I1286" i="24"/>
  <c r="B1286" i="24"/>
  <c r="I1285" i="24"/>
  <c r="B1285" i="24"/>
  <c r="J1284" i="24"/>
  <c r="F1284" i="24"/>
  <c r="B1284" i="24"/>
  <c r="J1283" i="24"/>
  <c r="F1283" i="24"/>
  <c r="B1283" i="24"/>
  <c r="J1282" i="24"/>
  <c r="F1282" i="24"/>
  <c r="B1282" i="24"/>
  <c r="I1281" i="24"/>
  <c r="B1281" i="24"/>
  <c r="I1280" i="24"/>
  <c r="B1280" i="24"/>
  <c r="I1279" i="24"/>
  <c r="B1279" i="24"/>
  <c r="I1278" i="24"/>
  <c r="B1278" i="24"/>
  <c r="I1277" i="24"/>
  <c r="B1277" i="24"/>
  <c r="J1276" i="24"/>
  <c r="F1276" i="24"/>
  <c r="B1276" i="24"/>
  <c r="J1275" i="24"/>
  <c r="F1275" i="24"/>
  <c r="B1275" i="24"/>
  <c r="I1274" i="24"/>
  <c r="B1274" i="24"/>
  <c r="I1273" i="24"/>
  <c r="B1273" i="24"/>
  <c r="J1272" i="24"/>
  <c r="F1272" i="24"/>
  <c r="B1272" i="24"/>
  <c r="I1271" i="24"/>
  <c r="B1271" i="24"/>
  <c r="I1270" i="24"/>
  <c r="B1270" i="24"/>
  <c r="J1269" i="24"/>
  <c r="F1269" i="24"/>
  <c r="B1269" i="24"/>
  <c r="J1268" i="24"/>
  <c r="F1268" i="24"/>
  <c r="B1268" i="24"/>
  <c r="J1267" i="24"/>
  <c r="F1267" i="24"/>
  <c r="B1267" i="24"/>
  <c r="I1266" i="24"/>
  <c r="B1266" i="24"/>
  <c r="I1265" i="24"/>
  <c r="B1265" i="24"/>
  <c r="I1264" i="24"/>
  <c r="B1264" i="24"/>
  <c r="I1263" i="24"/>
  <c r="B1263" i="24"/>
  <c r="J1262" i="24"/>
  <c r="F1262" i="24"/>
  <c r="B1262" i="24"/>
  <c r="J1261" i="24"/>
  <c r="F1261" i="24"/>
  <c r="B1261" i="24"/>
  <c r="J1260" i="24"/>
  <c r="F1260" i="24"/>
  <c r="B1260" i="24"/>
  <c r="I1259" i="24"/>
  <c r="B1259" i="24"/>
  <c r="I1258" i="24"/>
  <c r="B1258" i="24"/>
  <c r="I1257" i="24"/>
  <c r="B1257" i="24"/>
  <c r="I1256" i="24"/>
  <c r="B1256" i="24"/>
  <c r="J1255" i="24"/>
  <c r="F1255" i="24"/>
  <c r="B1255" i="24"/>
  <c r="I1254" i="24"/>
  <c r="B1254" i="24"/>
  <c r="J1253" i="24"/>
  <c r="F1253" i="24"/>
  <c r="B1253" i="24"/>
  <c r="J1252" i="24"/>
  <c r="F1252" i="24"/>
  <c r="B1252" i="24"/>
  <c r="I1251" i="24"/>
  <c r="B1251" i="24"/>
  <c r="I1250" i="24"/>
  <c r="B1250" i="24"/>
  <c r="J1249" i="24"/>
  <c r="F1249" i="24"/>
  <c r="B1249" i="24"/>
  <c r="J1248" i="24"/>
  <c r="F1248" i="24"/>
  <c r="B1248" i="24"/>
  <c r="J1247" i="24"/>
  <c r="F1247" i="24"/>
  <c r="B1247" i="24"/>
  <c r="I1246" i="24"/>
  <c r="B1246" i="24"/>
  <c r="I1245" i="24"/>
  <c r="B1245" i="24"/>
  <c r="I1244" i="24"/>
  <c r="B1244" i="24"/>
  <c r="I1243" i="24"/>
  <c r="B1243" i="24"/>
  <c r="I1242" i="24"/>
  <c r="B1242" i="24"/>
  <c r="J1241" i="24"/>
  <c r="F1241" i="24"/>
  <c r="B1241" i="24"/>
  <c r="J1240" i="24"/>
  <c r="F1240" i="24"/>
  <c r="B1240" i="24"/>
  <c r="I1239" i="24"/>
  <c r="B1239" i="24"/>
  <c r="I1238" i="24"/>
  <c r="B1238" i="24"/>
  <c r="J1237" i="24"/>
  <c r="F1237" i="24"/>
  <c r="B1237" i="24"/>
  <c r="I1236" i="24"/>
  <c r="B1236" i="24"/>
  <c r="I1235" i="24"/>
  <c r="B1235" i="24"/>
  <c r="J1234" i="24"/>
  <c r="F1234" i="24"/>
  <c r="B1234" i="24"/>
  <c r="J1233" i="24"/>
  <c r="F1233" i="24"/>
  <c r="B1233" i="24"/>
  <c r="J1232" i="24"/>
  <c r="F1232" i="24"/>
  <c r="B1232" i="24"/>
  <c r="I1231" i="24"/>
  <c r="B1231" i="24"/>
  <c r="I1230" i="24"/>
  <c r="B1230" i="24"/>
  <c r="I1229" i="24"/>
  <c r="B1229" i="24"/>
  <c r="I1228" i="24"/>
  <c r="B1228" i="24"/>
  <c r="J1227" i="24"/>
  <c r="F1227" i="24"/>
  <c r="B1227" i="24"/>
  <c r="J1226" i="24"/>
  <c r="F1226" i="24"/>
  <c r="B1226" i="24"/>
  <c r="J1225" i="24"/>
  <c r="F1225" i="24"/>
  <c r="B1225" i="24"/>
  <c r="I1224" i="24"/>
  <c r="B1224" i="24"/>
  <c r="I1223" i="24"/>
  <c r="B1223" i="24"/>
  <c r="I1222" i="24"/>
  <c r="B1222" i="24"/>
  <c r="I1221" i="24"/>
  <c r="B1221" i="24"/>
  <c r="J1220" i="24"/>
  <c r="F1220" i="24"/>
  <c r="B1220" i="24"/>
  <c r="I1219" i="24"/>
  <c r="B1219" i="24"/>
  <c r="J1218" i="24"/>
  <c r="F1218" i="24"/>
  <c r="B1218" i="24"/>
  <c r="J1217" i="24"/>
  <c r="F1217" i="24"/>
  <c r="B1217" i="24"/>
  <c r="I1216" i="24"/>
  <c r="B1216" i="24"/>
  <c r="I1215" i="24"/>
  <c r="B1215" i="24"/>
  <c r="J1214" i="24"/>
  <c r="F1214" i="24"/>
  <c r="B1214" i="24"/>
  <c r="J1213" i="24"/>
  <c r="F1213" i="24"/>
  <c r="B1213" i="24"/>
  <c r="J1212" i="24"/>
  <c r="F1212" i="24"/>
  <c r="B1212" i="24"/>
  <c r="I1211" i="24"/>
  <c r="B1211" i="24"/>
  <c r="I1210" i="24"/>
  <c r="B1210" i="24"/>
  <c r="I1209" i="24"/>
  <c r="B1209" i="24"/>
  <c r="I1208" i="24"/>
  <c r="B1208" i="24"/>
  <c r="I1207" i="24"/>
  <c r="B1207" i="24"/>
  <c r="J1206" i="24"/>
  <c r="F1206" i="24"/>
  <c r="B1206" i="24"/>
  <c r="J1205" i="24"/>
  <c r="F1205" i="24"/>
  <c r="B1205" i="24"/>
  <c r="I1204" i="24"/>
  <c r="B1204" i="24"/>
  <c r="I1203" i="24"/>
  <c r="B1203" i="24"/>
  <c r="J1202" i="24"/>
  <c r="F1202" i="24"/>
  <c r="B1202" i="24"/>
  <c r="I1201" i="24"/>
  <c r="B1201" i="24"/>
  <c r="I1200" i="24"/>
  <c r="B1200" i="24"/>
  <c r="J1199" i="24"/>
  <c r="F1199" i="24"/>
  <c r="B1199" i="24"/>
  <c r="J1198" i="24"/>
  <c r="F1198" i="24"/>
  <c r="B1198" i="24"/>
  <c r="J1197" i="24"/>
  <c r="F1197" i="24"/>
  <c r="B1197" i="24"/>
  <c r="I1196" i="24"/>
  <c r="B1196" i="24"/>
  <c r="I1195" i="24"/>
  <c r="B1195" i="24"/>
  <c r="I1194" i="24"/>
  <c r="B1194" i="24"/>
  <c r="I1193" i="24"/>
  <c r="B1193" i="24"/>
  <c r="J1192" i="24"/>
  <c r="F1192" i="24"/>
  <c r="B1192" i="24"/>
  <c r="J1191" i="24"/>
  <c r="F1191" i="24"/>
  <c r="B1191" i="24"/>
  <c r="J1190" i="24"/>
  <c r="F1190" i="24"/>
  <c r="B1190" i="24"/>
  <c r="I1189" i="24"/>
  <c r="B1189" i="24"/>
  <c r="I1188" i="24"/>
  <c r="B1188" i="24"/>
  <c r="I1187" i="24"/>
  <c r="B1187" i="24"/>
  <c r="I1186" i="24"/>
  <c r="B1186" i="24"/>
  <c r="J1185" i="24"/>
  <c r="F1185" i="24"/>
  <c r="B1185" i="24"/>
  <c r="I1184" i="24"/>
  <c r="B1184" i="24"/>
  <c r="J1183" i="24"/>
  <c r="F1183" i="24"/>
  <c r="B1183" i="24"/>
  <c r="J1182" i="24"/>
  <c r="F1182" i="24"/>
  <c r="B1182" i="24"/>
  <c r="I1181" i="24"/>
  <c r="B1181" i="24"/>
  <c r="I1180" i="24"/>
  <c r="B1180" i="24"/>
  <c r="J1179" i="24"/>
  <c r="F1179" i="24"/>
  <c r="B1179" i="24"/>
  <c r="J1178" i="24"/>
  <c r="F1178" i="24"/>
  <c r="B1178" i="24"/>
  <c r="J1177" i="24"/>
  <c r="F1177" i="24"/>
  <c r="B1177" i="24"/>
  <c r="I1176" i="24"/>
  <c r="B1176" i="24"/>
  <c r="I1175" i="24"/>
  <c r="B1175" i="24"/>
  <c r="I1174" i="24"/>
  <c r="B1174" i="24"/>
  <c r="I1173" i="24"/>
  <c r="B1173" i="24"/>
  <c r="I1172" i="24"/>
  <c r="B1172" i="24"/>
  <c r="J1171" i="24"/>
  <c r="F1171" i="24"/>
  <c r="B1171" i="24"/>
  <c r="J1170" i="24"/>
  <c r="F1170" i="24"/>
  <c r="B1170" i="24"/>
  <c r="I1169" i="24"/>
  <c r="B1169" i="24"/>
  <c r="I1168" i="24"/>
  <c r="B1168" i="24"/>
  <c r="J1167" i="24"/>
  <c r="F1167" i="24"/>
  <c r="B1167" i="24"/>
  <c r="I1166" i="24"/>
  <c r="B1166" i="24"/>
  <c r="I1165" i="24"/>
  <c r="B1165" i="24"/>
  <c r="I1164" i="24"/>
  <c r="B1164" i="24"/>
  <c r="J1163" i="24"/>
  <c r="F1163" i="24"/>
  <c r="B1163" i="24"/>
  <c r="J1162" i="24"/>
  <c r="F1162" i="24"/>
  <c r="B1162" i="24"/>
  <c r="I1161" i="24"/>
  <c r="B1161" i="24"/>
  <c r="I1160" i="24"/>
  <c r="B1160" i="24"/>
  <c r="I1159" i="24"/>
  <c r="B1159" i="24"/>
  <c r="I1158" i="24"/>
  <c r="B1158" i="24"/>
  <c r="J1157" i="24"/>
  <c r="F1157" i="24"/>
  <c r="B1157" i="24"/>
  <c r="J1156" i="24"/>
  <c r="F1156" i="24"/>
  <c r="B1156" i="24"/>
  <c r="J1155" i="24"/>
  <c r="F1155" i="24"/>
  <c r="B1155" i="24"/>
  <c r="I1154" i="24"/>
  <c r="B1154" i="24"/>
  <c r="I1153" i="24"/>
  <c r="B1153" i="24"/>
  <c r="I1152" i="24"/>
  <c r="B1152" i="24"/>
  <c r="I1151" i="24"/>
  <c r="B1151" i="24"/>
  <c r="J1150" i="24"/>
  <c r="F1150" i="24"/>
  <c r="B1150" i="24"/>
  <c r="I1149" i="24"/>
  <c r="B1149" i="24"/>
  <c r="J1148" i="24"/>
  <c r="F1148" i="24"/>
  <c r="B1148" i="24"/>
  <c r="J1147" i="24"/>
  <c r="F1147" i="24"/>
  <c r="B1147" i="24"/>
  <c r="I1146" i="24"/>
  <c r="B1146" i="24"/>
  <c r="I1145" i="24"/>
  <c r="B1145" i="24"/>
  <c r="J1144" i="24"/>
  <c r="F1144" i="24"/>
  <c r="B1144" i="24"/>
  <c r="J1143" i="24"/>
  <c r="F1143" i="24"/>
  <c r="B1143" i="24"/>
  <c r="J1142" i="24"/>
  <c r="F1142" i="24"/>
  <c r="B1142" i="24"/>
  <c r="I1141" i="24"/>
  <c r="B1141" i="24"/>
  <c r="I1140" i="24"/>
  <c r="B1140" i="24"/>
  <c r="I1139" i="24"/>
  <c r="B1139" i="24"/>
  <c r="I1138" i="24"/>
  <c r="B1138" i="24"/>
  <c r="I1137" i="24"/>
  <c r="B1137" i="24"/>
  <c r="J1136" i="24"/>
  <c r="F1136" i="24"/>
  <c r="B1136" i="24"/>
  <c r="J1135" i="24"/>
  <c r="F1135" i="24"/>
  <c r="B1135" i="24"/>
  <c r="I1134" i="24"/>
  <c r="B1134" i="24"/>
  <c r="I1133" i="24"/>
  <c r="B1133" i="24"/>
  <c r="J1132" i="24"/>
  <c r="F1132" i="24"/>
  <c r="B1132" i="24"/>
  <c r="I1131" i="24"/>
  <c r="B1131" i="24"/>
  <c r="I1130" i="24"/>
  <c r="B1130" i="24"/>
  <c r="I1129" i="24"/>
  <c r="B1129" i="24"/>
  <c r="J1128" i="24"/>
  <c r="F1128" i="24"/>
  <c r="B1128" i="24"/>
  <c r="J1127" i="24"/>
  <c r="F1127" i="24"/>
  <c r="B1127" i="24"/>
  <c r="I1126" i="24"/>
  <c r="B1126" i="24"/>
  <c r="I1125" i="24"/>
  <c r="B1125" i="24"/>
  <c r="I1124" i="24"/>
  <c r="B1124" i="24"/>
  <c r="I1123" i="24"/>
  <c r="B1123" i="24"/>
  <c r="J1122" i="24"/>
  <c r="F1122" i="24"/>
  <c r="B1122" i="24"/>
  <c r="J1121" i="24"/>
  <c r="F1121" i="24"/>
  <c r="B1121" i="24"/>
  <c r="J1120" i="24"/>
  <c r="F1120" i="24"/>
  <c r="B1120" i="24"/>
  <c r="I1119" i="24"/>
  <c r="B1119" i="24"/>
  <c r="I1118" i="24"/>
  <c r="B1118" i="24"/>
  <c r="I1117" i="24"/>
  <c r="B1117" i="24"/>
  <c r="I1116" i="24"/>
  <c r="B1116" i="24"/>
  <c r="J1115" i="24"/>
  <c r="F1115" i="24"/>
  <c r="B1115" i="24"/>
  <c r="I1114" i="24"/>
  <c r="B1114" i="24"/>
  <c r="I1113" i="24"/>
  <c r="B1113" i="24"/>
  <c r="J1112" i="24"/>
  <c r="F1112" i="24"/>
  <c r="B1112" i="24"/>
  <c r="I1111" i="24"/>
  <c r="B1111" i="24"/>
  <c r="I1110" i="24"/>
  <c r="B1110" i="24"/>
  <c r="J1109" i="24"/>
  <c r="F1109" i="24"/>
  <c r="B1109" i="24"/>
  <c r="J1108" i="24"/>
  <c r="F1108" i="24"/>
  <c r="B1108" i="24"/>
  <c r="J1107" i="24"/>
  <c r="F1107" i="24"/>
  <c r="B1107" i="24"/>
  <c r="I1106" i="24"/>
  <c r="B1106" i="24"/>
  <c r="I1105" i="24"/>
  <c r="B1105" i="24"/>
  <c r="I1104" i="24"/>
  <c r="B1104" i="24"/>
  <c r="I1103" i="24"/>
  <c r="B1103" i="24"/>
  <c r="I1102" i="24"/>
  <c r="B1102" i="24"/>
  <c r="I1101" i="24"/>
  <c r="B1101" i="24"/>
  <c r="J1100" i="24"/>
  <c r="F1100" i="24"/>
  <c r="B1100" i="24"/>
  <c r="I1099" i="24"/>
  <c r="B1099" i="24"/>
  <c r="I1098" i="24"/>
  <c r="B1098" i="24"/>
  <c r="J1097" i="24"/>
  <c r="F1097" i="24"/>
  <c r="B1097" i="24"/>
  <c r="I1096" i="24"/>
  <c r="B1096" i="24"/>
  <c r="I1095" i="24"/>
  <c r="B1095" i="24"/>
  <c r="I1094" i="24"/>
  <c r="B1094" i="24"/>
  <c r="J1093" i="24"/>
  <c r="F1093" i="24"/>
  <c r="B1093" i="24"/>
  <c r="J1092" i="24"/>
  <c r="F1092" i="24"/>
  <c r="B1092" i="24"/>
  <c r="I1091" i="24"/>
  <c r="B1091" i="24"/>
  <c r="I1090" i="24"/>
  <c r="B1090" i="24"/>
  <c r="I1089" i="24"/>
  <c r="B1089" i="24"/>
  <c r="I1088" i="24"/>
  <c r="B1088" i="24"/>
  <c r="J1087" i="24"/>
  <c r="F1087" i="24"/>
  <c r="B1087" i="24"/>
  <c r="J1086" i="24"/>
  <c r="F1086" i="24"/>
  <c r="B1086" i="24"/>
  <c r="J1085" i="24"/>
  <c r="F1085" i="24"/>
  <c r="B1085" i="24"/>
  <c r="I1084" i="24"/>
  <c r="B1084" i="24"/>
  <c r="I1083" i="24"/>
  <c r="B1083" i="24"/>
  <c r="I1082" i="24"/>
  <c r="B1082" i="24"/>
  <c r="I1081" i="24"/>
  <c r="B1081" i="24"/>
  <c r="J1080" i="24"/>
  <c r="F1080" i="24"/>
  <c r="B1080" i="24"/>
  <c r="I1079" i="24"/>
  <c r="B1079" i="24"/>
  <c r="I1078" i="24"/>
  <c r="B1078" i="24"/>
  <c r="J1077" i="24"/>
  <c r="F1077" i="24"/>
  <c r="B1077" i="24"/>
  <c r="I1076" i="24"/>
  <c r="B1076" i="24"/>
  <c r="I1075" i="24"/>
  <c r="B1075" i="24"/>
  <c r="J1074" i="24"/>
  <c r="F1074" i="24"/>
  <c r="B1074" i="24"/>
  <c r="J1073" i="24"/>
  <c r="F1073" i="24"/>
  <c r="B1073" i="24"/>
  <c r="J1072" i="24"/>
  <c r="F1072" i="24"/>
  <c r="B1072" i="24"/>
  <c r="I1071" i="24"/>
  <c r="B1071" i="24"/>
  <c r="I1070" i="24"/>
  <c r="B1070" i="24"/>
  <c r="I1069" i="24"/>
  <c r="B1069" i="24"/>
  <c r="I1068" i="24"/>
  <c r="B1068" i="24"/>
  <c r="I1067" i="24"/>
  <c r="B1067" i="24"/>
  <c r="I1066" i="24"/>
  <c r="B1066" i="24"/>
  <c r="J1065" i="24"/>
  <c r="F1065" i="24"/>
  <c r="B1065" i="24"/>
  <c r="I1064" i="24"/>
  <c r="B1064" i="24"/>
  <c r="I1063" i="24"/>
  <c r="B1063" i="24"/>
  <c r="J1062" i="24"/>
  <c r="F1062" i="24"/>
  <c r="B1062" i="24"/>
  <c r="I1061" i="24"/>
  <c r="B1061" i="24"/>
  <c r="I1060" i="24"/>
  <c r="B1060" i="24"/>
  <c r="I1059" i="24"/>
  <c r="B1059" i="24"/>
  <c r="J1058" i="24"/>
  <c r="F1058" i="24"/>
  <c r="B1058" i="24"/>
  <c r="J1057" i="24"/>
  <c r="F1057" i="24"/>
  <c r="B1057" i="24"/>
  <c r="I1056" i="24"/>
  <c r="B1056" i="24"/>
  <c r="I1055" i="24"/>
  <c r="B1055" i="24"/>
  <c r="I1054" i="24"/>
  <c r="B1054" i="24"/>
  <c r="I1053" i="24"/>
  <c r="B1053" i="24"/>
  <c r="J1052" i="24"/>
  <c r="F1052" i="24"/>
  <c r="B1052" i="24"/>
  <c r="J1051" i="24"/>
  <c r="F1051" i="24"/>
  <c r="B1051" i="24"/>
  <c r="J1050" i="24"/>
  <c r="F1050" i="24"/>
  <c r="B1050" i="24"/>
  <c r="I1049" i="24"/>
  <c r="B1049" i="24"/>
  <c r="I1048" i="24"/>
  <c r="B1048" i="24"/>
  <c r="I1047" i="24"/>
  <c r="B1047" i="24"/>
  <c r="I1046" i="24"/>
  <c r="B1046" i="24"/>
  <c r="I1045" i="24"/>
  <c r="B1045" i="24"/>
  <c r="I1044" i="24"/>
  <c r="B1044" i="24"/>
  <c r="I1043" i="24"/>
  <c r="B1043" i="24"/>
  <c r="J1042" i="24"/>
  <c r="F1042" i="24"/>
  <c r="B1042" i="24"/>
  <c r="I1041" i="24"/>
  <c r="B1041" i="24"/>
  <c r="I1040" i="24"/>
  <c r="B1040" i="24"/>
  <c r="J1039" i="24"/>
  <c r="F1039" i="24"/>
  <c r="B1039" i="24"/>
  <c r="J1038" i="24"/>
  <c r="F1038" i="24"/>
  <c r="B1038" i="24"/>
  <c r="J1037" i="24"/>
  <c r="F1037" i="24"/>
  <c r="B1037" i="24"/>
  <c r="I1036" i="24"/>
  <c r="B1036" i="24"/>
  <c r="I1035" i="24"/>
  <c r="B1035" i="24"/>
  <c r="I1034" i="24"/>
  <c r="B1034" i="24"/>
  <c r="I1033" i="24"/>
  <c r="B1033" i="24"/>
  <c r="I1032" i="24"/>
  <c r="B1032" i="24"/>
  <c r="I1031" i="24"/>
  <c r="B1031" i="24"/>
  <c r="J1030" i="24"/>
  <c r="F1030" i="24"/>
  <c r="B1030" i="24"/>
  <c r="I1029" i="24"/>
  <c r="B1029" i="24"/>
  <c r="I1028" i="24"/>
  <c r="B1028" i="24"/>
  <c r="J1027" i="24"/>
  <c r="F1027" i="24"/>
  <c r="B1027" i="24"/>
  <c r="I1026" i="24"/>
  <c r="B1026" i="24"/>
  <c r="I1025" i="24"/>
  <c r="B1025" i="24"/>
  <c r="I1024" i="24"/>
  <c r="B1024" i="24"/>
  <c r="J1023" i="24"/>
  <c r="F1023" i="24"/>
  <c r="B1023" i="24"/>
  <c r="J1022" i="24"/>
  <c r="F1022" i="24"/>
  <c r="B1022" i="24"/>
  <c r="I1021" i="24"/>
  <c r="B1021" i="24"/>
  <c r="I1020" i="24"/>
  <c r="B1020" i="24"/>
  <c r="I1019" i="24"/>
  <c r="B1019" i="24"/>
  <c r="I1018" i="24"/>
  <c r="B1018" i="24"/>
  <c r="J1017" i="24"/>
  <c r="F1017" i="24"/>
  <c r="B1017" i="24"/>
  <c r="J1016" i="24"/>
  <c r="F1016" i="24"/>
  <c r="B1016" i="24"/>
  <c r="J1015" i="24"/>
  <c r="F1015" i="24"/>
  <c r="B1015" i="24"/>
  <c r="I1014" i="24"/>
  <c r="B1014" i="24"/>
  <c r="I1013" i="24"/>
  <c r="B1013" i="24"/>
  <c r="I1012" i="24"/>
  <c r="B1012" i="24"/>
  <c r="I1011" i="24"/>
  <c r="B1011" i="24"/>
  <c r="I1010" i="24"/>
  <c r="B1010" i="24"/>
  <c r="I1009" i="24"/>
  <c r="B1009" i="24"/>
  <c r="I1008" i="24"/>
  <c r="B1008" i="24"/>
  <c r="J1007" i="24"/>
  <c r="F1007" i="24"/>
  <c r="B1007" i="24"/>
  <c r="I1006" i="24"/>
  <c r="B1006" i="24"/>
  <c r="I1005" i="24"/>
  <c r="B1005" i="24"/>
  <c r="J1004" i="24"/>
  <c r="F1004" i="24"/>
  <c r="B1004" i="24"/>
  <c r="J1003" i="24"/>
  <c r="F1003" i="24"/>
  <c r="B1003" i="24"/>
  <c r="J1002" i="24"/>
  <c r="F1002" i="24"/>
  <c r="B1002" i="24"/>
  <c r="I1001" i="24"/>
  <c r="B1001" i="24"/>
  <c r="I1000" i="24"/>
  <c r="B1000" i="24"/>
  <c r="I999" i="24"/>
  <c r="B999" i="24"/>
  <c r="I998" i="24"/>
  <c r="B998" i="24"/>
  <c r="I997" i="24"/>
  <c r="B997" i="24"/>
  <c r="I996" i="24"/>
  <c r="B996" i="24"/>
  <c r="J995" i="24"/>
  <c r="F995" i="24"/>
  <c r="B995" i="24"/>
  <c r="I994" i="24"/>
  <c r="B994" i="24"/>
  <c r="I993" i="24"/>
  <c r="B993" i="24"/>
  <c r="J992" i="24"/>
  <c r="F992" i="24"/>
  <c r="B992" i="24"/>
  <c r="I991" i="24"/>
  <c r="B991" i="24"/>
  <c r="I990" i="24"/>
  <c r="B990" i="24"/>
  <c r="I989" i="24"/>
  <c r="B989" i="24"/>
  <c r="J988" i="24"/>
  <c r="F988" i="24"/>
  <c r="B988" i="24"/>
  <c r="J987" i="24"/>
  <c r="F987" i="24"/>
  <c r="B987" i="24"/>
  <c r="I986" i="24"/>
  <c r="B986" i="24"/>
  <c r="I985" i="24"/>
  <c r="B985" i="24"/>
  <c r="I984" i="24"/>
  <c r="B984" i="24"/>
  <c r="I983" i="24"/>
  <c r="B983" i="24"/>
  <c r="J982" i="24"/>
  <c r="F982" i="24"/>
  <c r="B982" i="24"/>
  <c r="J981" i="24"/>
  <c r="F981" i="24"/>
  <c r="B981" i="24"/>
  <c r="J980" i="24"/>
  <c r="F980" i="24"/>
  <c r="B980" i="24"/>
  <c r="I979" i="24"/>
  <c r="B979" i="24"/>
  <c r="I978" i="24"/>
  <c r="B978" i="24"/>
  <c r="I977" i="24"/>
  <c r="B977" i="24"/>
  <c r="I976" i="24"/>
  <c r="B976" i="24"/>
  <c r="I975" i="24"/>
  <c r="B975" i="24"/>
  <c r="I974" i="24"/>
  <c r="B974" i="24"/>
  <c r="I973" i="24"/>
  <c r="B973" i="24"/>
  <c r="J972" i="24"/>
  <c r="F972" i="24"/>
  <c r="B972" i="24"/>
  <c r="I971" i="24"/>
  <c r="B971" i="24"/>
  <c r="I970" i="24"/>
  <c r="B970" i="24"/>
  <c r="J969" i="24"/>
  <c r="F969" i="24"/>
  <c r="B969" i="24"/>
  <c r="J968" i="24"/>
  <c r="F968" i="24"/>
  <c r="B968" i="24"/>
  <c r="J967" i="24"/>
  <c r="F967" i="24"/>
  <c r="B967" i="24"/>
  <c r="I966" i="24"/>
  <c r="B966" i="24"/>
  <c r="I965" i="24"/>
  <c r="B965" i="24"/>
  <c r="I964" i="24"/>
  <c r="B964" i="24"/>
  <c r="I963" i="24"/>
  <c r="B963" i="24"/>
  <c r="I962" i="24"/>
  <c r="B962" i="24"/>
  <c r="I961" i="24"/>
  <c r="B961" i="24"/>
  <c r="J960" i="24"/>
  <c r="F960" i="24"/>
  <c r="B960" i="24"/>
  <c r="I959" i="24"/>
  <c r="B959" i="24"/>
  <c r="I958" i="24"/>
  <c r="B958" i="24"/>
  <c r="J957" i="24"/>
  <c r="F957" i="24"/>
  <c r="B957" i="24"/>
  <c r="I956" i="24"/>
  <c r="B956" i="24"/>
  <c r="I955" i="24"/>
  <c r="B955" i="24"/>
  <c r="I954" i="24"/>
  <c r="B954" i="24"/>
  <c r="J953" i="24"/>
  <c r="F953" i="24"/>
  <c r="B953" i="24"/>
  <c r="J952" i="24"/>
  <c r="F952" i="24"/>
  <c r="B952" i="24"/>
  <c r="I951" i="24"/>
  <c r="B951" i="24"/>
  <c r="I950" i="24"/>
  <c r="B950" i="24"/>
  <c r="I949" i="24"/>
  <c r="B949" i="24"/>
  <c r="I948" i="24"/>
  <c r="B948" i="24"/>
  <c r="J947" i="24"/>
  <c r="F947" i="24"/>
  <c r="B947" i="24"/>
  <c r="J946" i="24"/>
  <c r="F946" i="24"/>
  <c r="B946" i="24"/>
  <c r="J945" i="24"/>
  <c r="F945" i="24"/>
  <c r="B945" i="24"/>
  <c r="I944" i="24"/>
  <c r="B944" i="24"/>
  <c r="I943" i="24"/>
  <c r="B943" i="24"/>
  <c r="I942" i="24"/>
  <c r="B942" i="24"/>
  <c r="I941" i="24"/>
  <c r="B941" i="24"/>
  <c r="I940" i="24"/>
  <c r="B940" i="24"/>
  <c r="I939" i="24"/>
  <c r="B939" i="24"/>
  <c r="I938" i="24"/>
  <c r="B938" i="24"/>
  <c r="J937" i="24"/>
  <c r="F937" i="24"/>
  <c r="B937" i="24"/>
  <c r="I936" i="24"/>
  <c r="B936" i="24"/>
  <c r="I935" i="24"/>
  <c r="B935" i="24"/>
  <c r="J934" i="24"/>
  <c r="F934" i="24"/>
  <c r="B934" i="24"/>
  <c r="J933" i="24"/>
  <c r="F933" i="24"/>
  <c r="B933" i="24"/>
  <c r="J932" i="24"/>
  <c r="F932" i="24"/>
  <c r="B932" i="24"/>
  <c r="I931" i="24"/>
  <c r="B931" i="24"/>
  <c r="I930" i="24"/>
  <c r="B930" i="24"/>
  <c r="I929" i="24"/>
  <c r="B929" i="24"/>
  <c r="I928" i="24"/>
  <c r="B928" i="24"/>
  <c r="I927" i="24"/>
  <c r="B927" i="24"/>
  <c r="I926" i="24"/>
  <c r="B926" i="24"/>
  <c r="J925" i="24"/>
  <c r="F925" i="24"/>
  <c r="B925" i="24"/>
  <c r="I924" i="24"/>
  <c r="B924" i="24"/>
  <c r="I923" i="24"/>
  <c r="B923" i="24"/>
  <c r="J922" i="24"/>
  <c r="F922" i="24"/>
  <c r="B922" i="24"/>
  <c r="I921" i="24"/>
  <c r="B921" i="24"/>
  <c r="I920" i="24"/>
  <c r="B920" i="24"/>
  <c r="I919" i="24"/>
  <c r="B919" i="24"/>
  <c r="J918" i="24"/>
  <c r="F918" i="24"/>
  <c r="B918" i="24"/>
  <c r="J917" i="24"/>
  <c r="F917" i="24"/>
  <c r="B917" i="24"/>
  <c r="I916" i="24"/>
  <c r="B916" i="24"/>
  <c r="I915" i="24"/>
  <c r="B915" i="24"/>
  <c r="I914" i="24"/>
  <c r="B914" i="24"/>
  <c r="I913" i="24"/>
  <c r="B913" i="24"/>
  <c r="I912" i="24"/>
  <c r="B912" i="24"/>
  <c r="J911" i="24"/>
  <c r="F911" i="24"/>
  <c r="B911" i="24"/>
  <c r="J910" i="24"/>
  <c r="F910" i="24"/>
  <c r="B910" i="24"/>
  <c r="I909" i="24"/>
  <c r="B909" i="24"/>
  <c r="I908" i="24"/>
  <c r="B908" i="24"/>
  <c r="I907" i="24"/>
  <c r="B907" i="24"/>
  <c r="I906" i="24"/>
  <c r="B906" i="24"/>
  <c r="I905" i="24"/>
  <c r="B905" i="24"/>
  <c r="I904" i="24"/>
  <c r="B904" i="24"/>
  <c r="I903" i="24"/>
  <c r="B903" i="24"/>
  <c r="J902" i="24"/>
  <c r="F902" i="24"/>
  <c r="B902" i="24"/>
  <c r="I901" i="24"/>
  <c r="B901" i="24"/>
  <c r="I900" i="24"/>
  <c r="B900" i="24"/>
  <c r="J899" i="24"/>
  <c r="F899" i="24"/>
  <c r="B899" i="24"/>
  <c r="J898" i="24"/>
  <c r="F898" i="24"/>
  <c r="B898" i="24"/>
  <c r="J897" i="24"/>
  <c r="F897" i="24"/>
  <c r="B897" i="24"/>
  <c r="I896" i="24"/>
  <c r="B896" i="24"/>
  <c r="I895" i="24"/>
  <c r="B895" i="24"/>
  <c r="I894" i="24"/>
  <c r="B894" i="24"/>
  <c r="I893" i="24"/>
  <c r="B893" i="24"/>
  <c r="I892" i="24"/>
  <c r="B892" i="24"/>
  <c r="I891" i="24"/>
  <c r="B891" i="24"/>
  <c r="J890" i="24"/>
  <c r="F890" i="24"/>
  <c r="B890" i="24"/>
  <c r="I889" i="24"/>
  <c r="B889" i="24"/>
  <c r="I888" i="24"/>
  <c r="B888" i="24"/>
  <c r="J887" i="24"/>
  <c r="F887" i="24"/>
  <c r="B887" i="24"/>
  <c r="I886" i="24"/>
  <c r="B886" i="24"/>
  <c r="I885" i="24"/>
  <c r="B885" i="24"/>
  <c r="I884" i="24"/>
  <c r="B884" i="24"/>
  <c r="I883" i="24"/>
  <c r="B883" i="24"/>
  <c r="J882" i="24"/>
  <c r="F882" i="24"/>
  <c r="B882" i="24"/>
  <c r="I881" i="24"/>
  <c r="B881" i="24"/>
  <c r="I880" i="24"/>
  <c r="B880" i="24"/>
  <c r="I879" i="24"/>
  <c r="B879" i="24"/>
  <c r="I878" i="24"/>
  <c r="B878" i="24"/>
  <c r="I877" i="24"/>
  <c r="B877" i="24"/>
  <c r="J876" i="24"/>
  <c r="F876" i="24"/>
  <c r="B876" i="24"/>
  <c r="J875" i="24"/>
  <c r="F875" i="24"/>
  <c r="B875" i="24"/>
  <c r="I874" i="24"/>
  <c r="B874" i="24"/>
  <c r="I873" i="24"/>
  <c r="B873" i="24"/>
  <c r="I872" i="24"/>
  <c r="B872" i="24"/>
  <c r="I871" i="24"/>
  <c r="B871" i="24"/>
  <c r="I870" i="24"/>
  <c r="B870" i="24"/>
  <c r="I869" i="24"/>
  <c r="B869" i="24"/>
  <c r="I868" i="24"/>
  <c r="B868" i="24"/>
  <c r="J867" i="24"/>
  <c r="F867" i="24"/>
  <c r="B867" i="24"/>
  <c r="I866" i="24"/>
  <c r="B866" i="24"/>
  <c r="I865" i="24"/>
  <c r="B865" i="24"/>
  <c r="J864" i="24"/>
  <c r="F864" i="24"/>
  <c r="B864" i="24"/>
  <c r="J863" i="24"/>
  <c r="F863" i="24"/>
  <c r="B863" i="24"/>
  <c r="J862" i="24"/>
  <c r="F862" i="24"/>
  <c r="B862" i="24"/>
  <c r="I861" i="24"/>
  <c r="B861" i="24"/>
  <c r="I860" i="24"/>
  <c r="B860" i="24"/>
  <c r="I859" i="24"/>
  <c r="B859" i="24"/>
  <c r="I858" i="24"/>
  <c r="B858" i="24"/>
  <c r="I857" i="24"/>
  <c r="B857" i="24"/>
  <c r="I856" i="24"/>
  <c r="B856" i="24"/>
  <c r="J855" i="24"/>
  <c r="F855" i="24"/>
  <c r="B855" i="24"/>
  <c r="I854" i="24"/>
  <c r="B854" i="24"/>
  <c r="I853" i="24"/>
  <c r="B853" i="24"/>
  <c r="J852" i="24"/>
  <c r="F852" i="24"/>
  <c r="B852" i="24"/>
  <c r="I851" i="24"/>
  <c r="B851" i="24"/>
  <c r="I850" i="24"/>
  <c r="B850" i="24"/>
  <c r="I849" i="24"/>
  <c r="B849" i="24"/>
  <c r="I848" i="24"/>
  <c r="B848" i="24"/>
  <c r="J847" i="24"/>
  <c r="F847" i="24"/>
  <c r="B847" i="24"/>
  <c r="I846" i="24"/>
  <c r="B846" i="24"/>
  <c r="I845" i="24"/>
  <c r="B845" i="24"/>
  <c r="I844" i="24"/>
  <c r="B844" i="24"/>
  <c r="I843" i="24"/>
  <c r="B843" i="24"/>
  <c r="I842" i="24"/>
  <c r="B842" i="24"/>
  <c r="J841" i="24"/>
  <c r="F841" i="24"/>
  <c r="B841" i="24"/>
  <c r="J840" i="24"/>
  <c r="F840" i="24"/>
  <c r="B840" i="24"/>
  <c r="I839" i="24"/>
  <c r="B839" i="24"/>
  <c r="I838" i="24"/>
  <c r="B838" i="24"/>
  <c r="I837" i="24"/>
  <c r="B837" i="24"/>
  <c r="I836" i="24"/>
  <c r="B836" i="24"/>
  <c r="I835" i="24"/>
  <c r="B835" i="24"/>
  <c r="I834" i="24"/>
  <c r="B834" i="24"/>
  <c r="I833" i="24"/>
  <c r="B833" i="24"/>
  <c r="J832" i="24"/>
  <c r="F832" i="24"/>
  <c r="B832" i="24"/>
  <c r="I831" i="24"/>
  <c r="B831" i="24"/>
  <c r="I830" i="24"/>
  <c r="B830" i="24"/>
  <c r="J829" i="24"/>
  <c r="F829" i="24"/>
  <c r="B829" i="24"/>
  <c r="J828" i="24"/>
  <c r="F828" i="24"/>
  <c r="B828" i="24"/>
  <c r="J827" i="24"/>
  <c r="F827" i="24"/>
  <c r="B827" i="24"/>
  <c r="I826" i="24"/>
  <c r="B826" i="24"/>
  <c r="I825" i="24"/>
  <c r="B825" i="24"/>
  <c r="I824" i="24"/>
  <c r="B824" i="24"/>
  <c r="I823" i="24"/>
  <c r="B823" i="24"/>
  <c r="I822" i="24"/>
  <c r="B822" i="24"/>
  <c r="I821" i="24"/>
  <c r="B821" i="24"/>
  <c r="J820" i="24"/>
  <c r="F820" i="24"/>
  <c r="B820" i="24"/>
  <c r="I819" i="24"/>
  <c r="B819" i="24"/>
  <c r="I818" i="24"/>
  <c r="B818" i="24"/>
  <c r="J817" i="24"/>
  <c r="F817" i="24"/>
  <c r="B817" i="24"/>
  <c r="I816" i="24"/>
  <c r="B816" i="24"/>
  <c r="I815" i="24"/>
  <c r="B815" i="24"/>
  <c r="I814" i="24"/>
  <c r="B814" i="24"/>
  <c r="I813" i="24"/>
  <c r="B813" i="24"/>
  <c r="J812" i="24"/>
  <c r="F812" i="24"/>
  <c r="B812" i="24"/>
  <c r="I811" i="24"/>
  <c r="B811" i="24"/>
  <c r="I810" i="24"/>
  <c r="B810" i="24"/>
  <c r="I809" i="24"/>
  <c r="B809" i="24"/>
  <c r="I808" i="24"/>
  <c r="B808" i="24"/>
  <c r="I807" i="24"/>
  <c r="B807" i="24"/>
  <c r="J806" i="24"/>
  <c r="F806" i="24"/>
  <c r="B806" i="24"/>
  <c r="J805" i="24"/>
  <c r="F805" i="24"/>
  <c r="B805" i="24"/>
  <c r="I804" i="24"/>
  <c r="B804" i="24"/>
  <c r="I803" i="24"/>
  <c r="B803" i="24"/>
  <c r="I802" i="24"/>
  <c r="B802" i="24"/>
  <c r="I801" i="24"/>
  <c r="B801" i="24"/>
  <c r="I800" i="24"/>
  <c r="B800" i="24"/>
  <c r="I799" i="24"/>
  <c r="B799" i="24"/>
  <c r="I798" i="24"/>
  <c r="B798" i="24"/>
  <c r="I797" i="24"/>
  <c r="B797" i="24"/>
  <c r="I796" i="24"/>
  <c r="B796" i="24"/>
  <c r="I795" i="24"/>
  <c r="B795" i="24"/>
  <c r="J794" i="24"/>
  <c r="F794" i="24"/>
  <c r="B794" i="24"/>
  <c r="J793" i="24"/>
  <c r="F793" i="24"/>
  <c r="B793" i="24"/>
  <c r="J792" i="24"/>
  <c r="F792" i="24"/>
  <c r="B792" i="24"/>
  <c r="I791" i="24"/>
  <c r="B791" i="24"/>
  <c r="I790" i="24"/>
  <c r="B790" i="24"/>
  <c r="I789" i="24"/>
  <c r="B789" i="24"/>
  <c r="I788" i="24"/>
  <c r="B788" i="24"/>
  <c r="I787" i="24"/>
  <c r="B787" i="24"/>
  <c r="I786" i="24"/>
  <c r="B786" i="24"/>
  <c r="J785" i="24"/>
  <c r="F785" i="24"/>
  <c r="B785" i="24"/>
  <c r="I784" i="24"/>
  <c r="B784" i="24"/>
  <c r="I783" i="24"/>
  <c r="B783" i="24"/>
  <c r="J782" i="24"/>
  <c r="F782" i="24"/>
  <c r="B782" i="24"/>
  <c r="I781" i="24"/>
  <c r="B781" i="24"/>
  <c r="I780" i="24"/>
  <c r="B780" i="24"/>
  <c r="I779" i="24"/>
  <c r="B779" i="24"/>
  <c r="I778" i="24"/>
  <c r="B778" i="24"/>
  <c r="J777" i="24"/>
  <c r="F777" i="24"/>
  <c r="B777" i="24"/>
  <c r="I776" i="24"/>
  <c r="B776" i="24"/>
  <c r="I775" i="24"/>
  <c r="B775" i="24"/>
  <c r="I774" i="24"/>
  <c r="B774" i="24"/>
  <c r="I773" i="24"/>
  <c r="B773" i="24"/>
  <c r="I772" i="24"/>
  <c r="B772" i="24"/>
  <c r="J771" i="24"/>
  <c r="F771" i="24"/>
  <c r="B771" i="24"/>
  <c r="J770" i="24"/>
  <c r="F770" i="24"/>
  <c r="B770" i="24"/>
  <c r="I769" i="24"/>
  <c r="B769" i="24"/>
  <c r="I768" i="24"/>
  <c r="B768" i="24"/>
  <c r="I767" i="24"/>
  <c r="B767" i="24"/>
  <c r="I766" i="24"/>
  <c r="B766" i="24"/>
  <c r="I765" i="24"/>
  <c r="B765" i="24"/>
  <c r="I764" i="24"/>
  <c r="B764" i="24"/>
  <c r="I763" i="24"/>
  <c r="B763" i="24"/>
  <c r="I762" i="24"/>
  <c r="B762" i="24"/>
  <c r="I761" i="24"/>
  <c r="B761" i="24"/>
  <c r="I760" i="24"/>
  <c r="B760" i="24"/>
  <c r="J759" i="24"/>
  <c r="F759" i="24"/>
  <c r="B759" i="24"/>
  <c r="J758" i="24"/>
  <c r="F758" i="24"/>
  <c r="B758" i="24"/>
  <c r="J757" i="24"/>
  <c r="F757" i="24"/>
  <c r="B757" i="24"/>
  <c r="I756" i="24"/>
  <c r="B756" i="24"/>
  <c r="I755" i="24"/>
  <c r="B755" i="24"/>
  <c r="I754" i="24"/>
  <c r="B754" i="24"/>
  <c r="I753" i="24"/>
  <c r="B753" i="24"/>
  <c r="I752" i="24"/>
  <c r="B752" i="24"/>
  <c r="I751" i="24"/>
  <c r="B751" i="24"/>
  <c r="J750" i="24"/>
  <c r="F750" i="24"/>
  <c r="B750" i="24"/>
  <c r="I749" i="24"/>
  <c r="B749" i="24"/>
  <c r="I748" i="24"/>
  <c r="B748" i="24"/>
  <c r="J747" i="24"/>
  <c r="F747" i="24"/>
  <c r="B747" i="24"/>
  <c r="I746" i="24"/>
  <c r="B746" i="24"/>
  <c r="I745" i="24"/>
  <c r="B745" i="24"/>
  <c r="I744" i="24"/>
  <c r="B744" i="24"/>
  <c r="I743" i="24"/>
  <c r="B743" i="24"/>
  <c r="J742" i="24"/>
  <c r="F742" i="24"/>
  <c r="B742" i="24"/>
  <c r="I741" i="24"/>
  <c r="B741" i="24"/>
  <c r="I740" i="24"/>
  <c r="B740" i="24"/>
  <c r="I739" i="24"/>
  <c r="B739" i="24"/>
  <c r="I738" i="24"/>
  <c r="B738" i="24"/>
  <c r="I737" i="24"/>
  <c r="B737" i="24"/>
  <c r="J736" i="24"/>
  <c r="F736" i="24"/>
  <c r="B736" i="24"/>
  <c r="J735" i="24"/>
  <c r="F735" i="24"/>
  <c r="B735" i="24"/>
  <c r="I734" i="24"/>
  <c r="B734" i="24"/>
  <c r="I733" i="24"/>
  <c r="B733" i="24"/>
  <c r="I732" i="24"/>
  <c r="B732" i="24"/>
  <c r="I731" i="24"/>
  <c r="B731" i="24"/>
  <c r="I730" i="24"/>
  <c r="B730" i="24"/>
  <c r="I729" i="24"/>
  <c r="B729" i="24"/>
  <c r="I728" i="24"/>
  <c r="B728" i="24"/>
  <c r="I727" i="24"/>
  <c r="B727" i="24"/>
  <c r="I726" i="24"/>
  <c r="B726" i="24"/>
  <c r="I725" i="24"/>
  <c r="B725" i="24"/>
  <c r="J724" i="24"/>
  <c r="F724" i="24"/>
  <c r="B724" i="24"/>
  <c r="J723" i="24"/>
  <c r="F723" i="24"/>
  <c r="B723" i="24"/>
  <c r="I722" i="24"/>
  <c r="B722" i="24"/>
  <c r="I721" i="24"/>
  <c r="B721" i="24"/>
  <c r="I720" i="24"/>
  <c r="B720" i="24"/>
  <c r="I719" i="24"/>
  <c r="B719" i="24"/>
  <c r="I718" i="24"/>
  <c r="B718" i="24"/>
  <c r="I717" i="24"/>
  <c r="B717" i="24"/>
  <c r="I716" i="24"/>
  <c r="B716" i="24"/>
  <c r="I715" i="24"/>
  <c r="B715" i="24"/>
  <c r="I714" i="24"/>
  <c r="B714" i="24"/>
  <c r="I713" i="24"/>
  <c r="B713" i="24"/>
  <c r="I712" i="24"/>
  <c r="B712" i="24"/>
  <c r="I711" i="24"/>
  <c r="B711" i="24"/>
  <c r="I710" i="24"/>
  <c r="B710" i="24"/>
  <c r="I709" i="24"/>
  <c r="B709" i="24"/>
  <c r="I708" i="24"/>
  <c r="B708" i="24"/>
  <c r="J707" i="24"/>
  <c r="F707" i="24"/>
  <c r="B707" i="24"/>
  <c r="I706" i="24"/>
  <c r="B706" i="24"/>
  <c r="I705" i="24"/>
  <c r="B705" i="24"/>
  <c r="I704" i="24"/>
  <c r="B704" i="24"/>
  <c r="I703" i="24"/>
  <c r="B703" i="24"/>
  <c r="I702" i="24"/>
  <c r="B702" i="24"/>
  <c r="I701" i="24"/>
  <c r="B701" i="24"/>
  <c r="I700" i="24"/>
  <c r="B700" i="24"/>
  <c r="I699" i="24"/>
  <c r="B699" i="24"/>
  <c r="I698" i="24"/>
  <c r="B698" i="24"/>
  <c r="I697" i="24"/>
  <c r="B697" i="24"/>
  <c r="I696" i="24"/>
  <c r="B696" i="24"/>
  <c r="I695" i="24"/>
  <c r="B695" i="24"/>
  <c r="I694" i="24"/>
  <c r="B694" i="24"/>
  <c r="I693" i="24"/>
  <c r="B693" i="24"/>
  <c r="I692" i="24"/>
  <c r="B692" i="24"/>
  <c r="I691" i="24"/>
  <c r="B691" i="24"/>
  <c r="I690" i="24"/>
  <c r="B690" i="24"/>
  <c r="J689" i="24"/>
  <c r="F689" i="24"/>
  <c r="B689" i="24"/>
  <c r="J688" i="24"/>
  <c r="F688" i="24"/>
  <c r="B688" i="24"/>
  <c r="I687" i="24"/>
  <c r="B687" i="24"/>
  <c r="I686" i="24"/>
  <c r="B686" i="24"/>
  <c r="I685" i="24"/>
  <c r="B685" i="24"/>
  <c r="I684" i="24"/>
  <c r="B684" i="24"/>
  <c r="I683" i="24"/>
  <c r="B683" i="24"/>
  <c r="I682" i="24"/>
  <c r="B682" i="24"/>
  <c r="I681" i="24"/>
  <c r="B681" i="24"/>
  <c r="I680" i="24"/>
  <c r="B680" i="24"/>
  <c r="I679" i="24"/>
  <c r="B679" i="24"/>
  <c r="I678" i="24"/>
  <c r="B678" i="24"/>
  <c r="I677" i="24"/>
  <c r="B677" i="24"/>
  <c r="I676" i="24"/>
  <c r="B676" i="24"/>
  <c r="I675" i="24"/>
  <c r="B675" i="24"/>
  <c r="I674" i="24"/>
  <c r="B674" i="24"/>
  <c r="I673" i="24"/>
  <c r="B673" i="24"/>
  <c r="I672" i="24"/>
  <c r="B672" i="24"/>
  <c r="I671" i="24"/>
  <c r="B671" i="24"/>
  <c r="I670" i="24"/>
  <c r="B670" i="24"/>
  <c r="I669" i="24"/>
  <c r="B669" i="24"/>
  <c r="I668" i="24"/>
  <c r="B668" i="24"/>
  <c r="I667" i="24"/>
  <c r="B667" i="24"/>
  <c r="I666" i="24"/>
  <c r="B666" i="24"/>
  <c r="I665" i="24"/>
  <c r="B665" i="24"/>
  <c r="I664" i="24"/>
  <c r="B664" i="24"/>
  <c r="I663" i="24"/>
  <c r="B663" i="24"/>
  <c r="I662" i="24"/>
  <c r="B662" i="24"/>
  <c r="I661" i="24"/>
  <c r="B661" i="24"/>
  <c r="I660" i="24"/>
  <c r="B660" i="24"/>
  <c r="I659" i="24"/>
  <c r="B659" i="24"/>
  <c r="I658" i="24"/>
  <c r="B658" i="24"/>
  <c r="I657" i="24"/>
  <c r="B657" i="24"/>
  <c r="I656" i="24"/>
  <c r="B656" i="24"/>
  <c r="I655" i="24"/>
  <c r="B655" i="24"/>
  <c r="J654" i="24"/>
  <c r="F654" i="24"/>
  <c r="B654" i="24"/>
  <c r="J653" i="24"/>
  <c r="F653" i="24"/>
  <c r="B653" i="24"/>
  <c r="I652" i="24"/>
  <c r="B652" i="24"/>
  <c r="I651" i="24"/>
  <c r="B651" i="24"/>
  <c r="I650" i="24"/>
  <c r="B650" i="24"/>
  <c r="I649" i="24"/>
  <c r="B649" i="24"/>
  <c r="I648" i="24"/>
  <c r="B648" i="24"/>
  <c r="I647" i="24"/>
  <c r="B647" i="24"/>
  <c r="I646" i="24"/>
  <c r="B646" i="24"/>
  <c r="I645" i="24"/>
  <c r="B645" i="24"/>
  <c r="I644" i="24"/>
  <c r="B644" i="24"/>
  <c r="I643" i="24"/>
  <c r="B643" i="24"/>
  <c r="I642" i="24"/>
  <c r="B642" i="24"/>
  <c r="I641" i="24"/>
  <c r="B641" i="24"/>
  <c r="I640" i="24"/>
  <c r="B640" i="24"/>
  <c r="I639" i="24"/>
  <c r="B639" i="24"/>
  <c r="I638" i="24"/>
  <c r="B638" i="24"/>
  <c r="I637" i="24"/>
  <c r="B637" i="24"/>
  <c r="I636" i="24"/>
  <c r="B636" i="24"/>
  <c r="I635" i="24"/>
  <c r="B635" i="24"/>
  <c r="I634" i="24"/>
  <c r="B634" i="24"/>
  <c r="I633" i="24"/>
  <c r="B633" i="24"/>
  <c r="I632" i="24"/>
  <c r="B632" i="24"/>
  <c r="I631" i="24"/>
  <c r="B631" i="24"/>
  <c r="I630" i="24"/>
  <c r="B630" i="24"/>
  <c r="I629" i="24"/>
  <c r="B629" i="24"/>
  <c r="I628" i="24"/>
  <c r="B628" i="24"/>
  <c r="I627" i="24"/>
  <c r="B627" i="24"/>
  <c r="I626" i="24"/>
  <c r="B626" i="24"/>
  <c r="I625" i="24"/>
  <c r="B625" i="24"/>
  <c r="I624" i="24"/>
  <c r="B624" i="24"/>
  <c r="I623" i="24"/>
  <c r="B623" i="24"/>
  <c r="I622" i="24"/>
  <c r="B622" i="24"/>
  <c r="I621" i="24"/>
  <c r="B621" i="24"/>
  <c r="I620" i="24"/>
  <c r="B620" i="24"/>
  <c r="J619" i="24"/>
  <c r="F619" i="24"/>
  <c r="B619" i="24"/>
  <c r="I618" i="24"/>
  <c r="B618" i="24"/>
  <c r="I617" i="24"/>
  <c r="B617" i="24"/>
  <c r="I616" i="24"/>
  <c r="B616" i="24"/>
  <c r="I615" i="24"/>
  <c r="B615" i="24"/>
  <c r="I614" i="24"/>
  <c r="B614" i="24"/>
  <c r="I613" i="24"/>
  <c r="B613" i="24"/>
  <c r="I612" i="24"/>
  <c r="B612" i="24"/>
  <c r="I611" i="24"/>
  <c r="B611" i="24"/>
  <c r="I610" i="24"/>
  <c r="B610" i="24"/>
  <c r="I609" i="24"/>
  <c r="B609" i="24"/>
  <c r="I608" i="24"/>
  <c r="B608" i="24"/>
  <c r="I607" i="24"/>
  <c r="B607" i="24"/>
  <c r="I606" i="24"/>
  <c r="B606" i="24"/>
  <c r="I605" i="24"/>
  <c r="B605" i="24"/>
  <c r="I604" i="24"/>
  <c r="B604" i="24"/>
  <c r="I603" i="24"/>
  <c r="B603" i="24"/>
  <c r="I602" i="24"/>
  <c r="B602" i="24"/>
  <c r="I601" i="24"/>
  <c r="B601" i="24"/>
  <c r="I600" i="24"/>
  <c r="B600" i="24"/>
  <c r="I599" i="24"/>
  <c r="B599" i="24"/>
  <c r="I598" i="24"/>
  <c r="B598" i="24"/>
  <c r="I597" i="24"/>
  <c r="B597" i="24"/>
  <c r="I596" i="24"/>
  <c r="B596" i="24"/>
  <c r="I595" i="24"/>
  <c r="B595" i="24"/>
  <c r="I594" i="24"/>
  <c r="B594" i="24"/>
  <c r="I593" i="24"/>
  <c r="B593" i="24"/>
  <c r="I592" i="24"/>
  <c r="B592" i="24"/>
  <c r="I591" i="24"/>
  <c r="B591" i="24"/>
  <c r="I590" i="24"/>
  <c r="B590" i="24"/>
  <c r="I589" i="24"/>
  <c r="B589" i="24"/>
  <c r="I588" i="24"/>
  <c r="B588" i="24"/>
  <c r="I587" i="24"/>
  <c r="B587" i="24"/>
  <c r="I586" i="24"/>
  <c r="B586" i="24"/>
  <c r="I585" i="24"/>
  <c r="B585" i="24"/>
  <c r="I584" i="24"/>
  <c r="B584" i="24"/>
  <c r="I583" i="24"/>
  <c r="B583" i="24"/>
  <c r="I582" i="24"/>
  <c r="B582" i="24"/>
  <c r="I581" i="24"/>
  <c r="B581" i="24"/>
  <c r="I580" i="24"/>
  <c r="B580" i="24"/>
  <c r="I579" i="24"/>
  <c r="B579" i="24"/>
  <c r="I578" i="24"/>
  <c r="B578" i="24"/>
  <c r="I577" i="24"/>
  <c r="B577" i="24"/>
  <c r="I576" i="24"/>
  <c r="B576" i="24"/>
  <c r="I575" i="24"/>
  <c r="B575" i="24"/>
  <c r="I574" i="24"/>
  <c r="B574" i="24"/>
  <c r="I573" i="24"/>
  <c r="B573" i="24"/>
  <c r="I572" i="24"/>
  <c r="B572" i="24"/>
  <c r="I571" i="24"/>
  <c r="B571" i="24"/>
  <c r="I570" i="24"/>
  <c r="B570" i="24"/>
  <c r="I569" i="24"/>
  <c r="B569" i="24"/>
  <c r="I568" i="24"/>
  <c r="B568" i="24"/>
  <c r="I567" i="24"/>
  <c r="B567" i="24"/>
  <c r="I566" i="24"/>
  <c r="B566" i="24"/>
  <c r="I565" i="24"/>
  <c r="B565" i="24"/>
  <c r="I564" i="24"/>
  <c r="B564" i="24"/>
  <c r="I563" i="24"/>
  <c r="B563" i="24"/>
  <c r="I562" i="24"/>
  <c r="B562" i="24"/>
  <c r="I561" i="24"/>
  <c r="B561" i="24"/>
  <c r="I560" i="24"/>
  <c r="B560" i="24"/>
  <c r="I559" i="24"/>
  <c r="B559" i="24"/>
  <c r="I558" i="24"/>
  <c r="B558" i="24"/>
  <c r="I557" i="24"/>
  <c r="B557" i="24"/>
  <c r="I556" i="24"/>
  <c r="B556" i="24"/>
  <c r="I555" i="24"/>
  <c r="B555" i="24"/>
  <c r="I554" i="24"/>
  <c r="B554" i="24"/>
  <c r="I553" i="24"/>
  <c r="B553" i="24"/>
  <c r="I552" i="24"/>
  <c r="B552" i="24"/>
  <c r="I551" i="24"/>
  <c r="B551" i="24"/>
  <c r="I550" i="24"/>
  <c r="B550" i="24"/>
  <c r="I549" i="24"/>
  <c r="B549" i="24"/>
  <c r="F94" i="24" s="1"/>
  <c r="I548" i="24"/>
  <c r="B548" i="24"/>
  <c r="I547" i="24"/>
  <c r="B547" i="24"/>
  <c r="I546" i="24"/>
  <c r="B546" i="24"/>
  <c r="I545" i="24"/>
  <c r="B545" i="24"/>
  <c r="I544" i="24"/>
  <c r="B544" i="24"/>
  <c r="I543" i="24"/>
  <c r="B543" i="24"/>
  <c r="I542" i="24"/>
  <c r="B542" i="24"/>
  <c r="I541" i="24"/>
  <c r="B541" i="24"/>
  <c r="I540" i="24"/>
  <c r="B540" i="24"/>
  <c r="I539" i="24"/>
  <c r="B539" i="24"/>
  <c r="I538" i="24"/>
  <c r="B538" i="24"/>
  <c r="I537" i="24"/>
  <c r="F537" i="24"/>
  <c r="B537" i="24"/>
  <c r="I536" i="24"/>
  <c r="B536" i="24"/>
  <c r="I535" i="24"/>
  <c r="B535" i="24"/>
  <c r="I534" i="24"/>
  <c r="B534" i="24"/>
  <c r="I533" i="24"/>
  <c r="B533" i="24"/>
  <c r="I532" i="24"/>
  <c r="B532" i="24"/>
  <c r="I531" i="24"/>
  <c r="B531" i="24"/>
  <c r="I530" i="24"/>
  <c r="B530" i="24"/>
  <c r="I529" i="24"/>
  <c r="B529" i="24"/>
  <c r="I528" i="24"/>
  <c r="B528" i="24"/>
  <c r="I527" i="24"/>
  <c r="B527" i="24"/>
  <c r="I526" i="24"/>
  <c r="B526" i="24"/>
  <c r="I525" i="24"/>
  <c r="B525" i="24"/>
  <c r="I524" i="24"/>
  <c r="B524" i="24"/>
  <c r="I523" i="24"/>
  <c r="B523" i="24"/>
  <c r="I522" i="24"/>
  <c r="B522" i="24"/>
  <c r="I521" i="24"/>
  <c r="B521" i="24"/>
  <c r="I520" i="24"/>
  <c r="B520" i="24"/>
  <c r="I519" i="24"/>
  <c r="B519" i="24"/>
  <c r="I518" i="24"/>
  <c r="B518" i="24"/>
  <c r="I517" i="24"/>
  <c r="B517" i="24"/>
  <c r="I516" i="24"/>
  <c r="B516" i="24"/>
  <c r="I515" i="24"/>
  <c r="B515" i="24"/>
  <c r="I514" i="24"/>
  <c r="B514" i="24"/>
  <c r="I513" i="24"/>
  <c r="B513" i="24"/>
  <c r="I512" i="24"/>
  <c r="B512" i="24"/>
  <c r="I511" i="24"/>
  <c r="B511" i="24"/>
  <c r="I510" i="24"/>
  <c r="B510" i="24"/>
  <c r="I509" i="24"/>
  <c r="B509" i="24"/>
  <c r="I508" i="24"/>
  <c r="B508" i="24"/>
  <c r="I507" i="24"/>
  <c r="B507" i="24"/>
  <c r="I506" i="24"/>
  <c r="B506" i="24"/>
  <c r="I505" i="24"/>
  <c r="B505" i="24"/>
  <c r="I504" i="24"/>
  <c r="B504" i="24"/>
  <c r="I503" i="24"/>
  <c r="B503" i="24"/>
  <c r="I502" i="24"/>
  <c r="B502" i="24"/>
  <c r="I501" i="24"/>
  <c r="B501" i="24"/>
  <c r="I500" i="24"/>
  <c r="B500" i="24"/>
  <c r="I499" i="24"/>
  <c r="B499" i="24"/>
  <c r="I498" i="24"/>
  <c r="B498" i="24"/>
  <c r="I497" i="24"/>
  <c r="B497" i="24"/>
  <c r="I496" i="24"/>
  <c r="B496" i="24"/>
  <c r="I495" i="24"/>
  <c r="B495" i="24"/>
  <c r="I494" i="24"/>
  <c r="B494" i="24"/>
  <c r="I493" i="24"/>
  <c r="B493" i="24"/>
  <c r="I492" i="24"/>
  <c r="B492" i="24"/>
  <c r="I491" i="24"/>
  <c r="B491" i="24"/>
  <c r="I490" i="24"/>
  <c r="B490" i="24"/>
  <c r="I489" i="24"/>
  <c r="B489" i="24"/>
  <c r="I488" i="24"/>
  <c r="B488" i="24"/>
  <c r="I487" i="24"/>
  <c r="B487" i="24"/>
  <c r="I486" i="24"/>
  <c r="B486" i="24"/>
  <c r="I485" i="24"/>
  <c r="B485" i="24"/>
  <c r="I484" i="24"/>
  <c r="B484" i="24"/>
  <c r="I483" i="24"/>
  <c r="B483" i="24"/>
  <c r="I482" i="24"/>
  <c r="B482" i="24"/>
  <c r="I481" i="24"/>
  <c r="B481" i="24"/>
  <c r="I480" i="24"/>
  <c r="B480" i="24"/>
  <c r="I479" i="24"/>
  <c r="B479" i="24"/>
  <c r="I478" i="24"/>
  <c r="B478" i="24"/>
  <c r="I477" i="24"/>
  <c r="B477" i="24"/>
  <c r="I476" i="24"/>
  <c r="B476" i="24"/>
  <c r="I475" i="24"/>
  <c r="B475" i="24"/>
  <c r="I474" i="24"/>
  <c r="B474" i="24"/>
  <c r="I473" i="24"/>
  <c r="B473" i="24"/>
  <c r="I472" i="24"/>
  <c r="B472" i="24"/>
  <c r="I471" i="24"/>
  <c r="B471" i="24"/>
  <c r="I470" i="24"/>
  <c r="B470" i="24"/>
  <c r="I469" i="24"/>
  <c r="B469" i="24"/>
  <c r="I468" i="24"/>
  <c r="B468" i="24"/>
  <c r="I467" i="24"/>
  <c r="B467" i="24"/>
  <c r="I466" i="24"/>
  <c r="B466" i="24"/>
  <c r="I465" i="24"/>
  <c r="B465" i="24"/>
  <c r="I464" i="24"/>
  <c r="B464" i="24"/>
  <c r="I463" i="24"/>
  <c r="B463" i="24"/>
  <c r="I462" i="24"/>
  <c r="B462" i="24"/>
  <c r="I461" i="24"/>
  <c r="B461" i="24"/>
  <c r="I460" i="24"/>
  <c r="B460" i="24"/>
  <c r="I459" i="24"/>
  <c r="B459" i="24"/>
  <c r="I458" i="24"/>
  <c r="B458" i="24"/>
  <c r="I457" i="24"/>
  <c r="B457" i="24"/>
  <c r="I456" i="24"/>
  <c r="B456" i="24"/>
  <c r="I455" i="24"/>
  <c r="B455" i="24"/>
  <c r="I454" i="24"/>
  <c r="B454" i="24"/>
  <c r="I453" i="24"/>
  <c r="B453" i="24"/>
  <c r="I452" i="24"/>
  <c r="B452" i="24"/>
  <c r="I451" i="24"/>
  <c r="B451" i="24"/>
  <c r="I450" i="24"/>
  <c r="B450" i="24"/>
  <c r="I449" i="24"/>
  <c r="B449" i="24"/>
  <c r="I448" i="24"/>
  <c r="B448" i="24"/>
  <c r="I447" i="24"/>
  <c r="B447" i="24"/>
  <c r="I446" i="24"/>
  <c r="B446" i="24"/>
  <c r="I445" i="24"/>
  <c r="B445" i="24"/>
  <c r="I444" i="24"/>
  <c r="B444" i="24"/>
  <c r="I443" i="24"/>
  <c r="B443" i="24"/>
  <c r="I442" i="24"/>
  <c r="B442" i="24"/>
  <c r="I441" i="24"/>
  <c r="B441" i="24"/>
  <c r="I440" i="24"/>
  <c r="B440" i="24"/>
  <c r="I439" i="24"/>
  <c r="B439" i="24"/>
  <c r="I438" i="24"/>
  <c r="B438" i="24"/>
  <c r="I437" i="24"/>
  <c r="B437" i="24"/>
  <c r="I436" i="24"/>
  <c r="B436" i="24"/>
  <c r="I435" i="24"/>
  <c r="B435" i="24"/>
  <c r="I434" i="24"/>
  <c r="B434" i="24"/>
  <c r="I433" i="24"/>
  <c r="B433" i="24"/>
  <c r="I432" i="24"/>
  <c r="B432" i="24"/>
  <c r="I431" i="24"/>
  <c r="B431" i="24"/>
  <c r="I430" i="24"/>
  <c r="B430" i="24"/>
  <c r="I429" i="24"/>
  <c r="B429" i="24"/>
  <c r="I428" i="24"/>
  <c r="B428" i="24"/>
  <c r="I427" i="24"/>
  <c r="B427" i="24"/>
  <c r="I426" i="24"/>
  <c r="B426" i="24"/>
  <c r="I425" i="24"/>
  <c r="B425" i="24"/>
  <c r="I424" i="24"/>
  <c r="B424" i="24"/>
  <c r="I423" i="24"/>
  <c r="B423" i="24"/>
  <c r="I422" i="24"/>
  <c r="B422" i="24"/>
  <c r="I421" i="24"/>
  <c r="B421" i="24"/>
  <c r="I420" i="24"/>
  <c r="B420" i="24"/>
  <c r="I419" i="24"/>
  <c r="B419" i="24"/>
  <c r="I418" i="24"/>
  <c r="B418" i="24"/>
  <c r="I417" i="24"/>
  <c r="B417" i="24"/>
  <c r="I416" i="24"/>
  <c r="B416" i="24"/>
  <c r="I415" i="24"/>
  <c r="B415" i="24"/>
  <c r="I414" i="24"/>
  <c r="B414" i="24"/>
  <c r="I413" i="24"/>
  <c r="B413" i="24"/>
  <c r="I412" i="24"/>
  <c r="B412" i="24"/>
  <c r="I411" i="24"/>
  <c r="B411" i="24"/>
  <c r="I410" i="24"/>
  <c r="B410" i="24"/>
  <c r="I409" i="24"/>
  <c r="B409" i="24"/>
  <c r="I408" i="24"/>
  <c r="B408" i="24"/>
  <c r="I407" i="24"/>
  <c r="B407" i="24"/>
  <c r="I406" i="24"/>
  <c r="B406" i="24"/>
  <c r="I405" i="24"/>
  <c r="B405" i="24"/>
  <c r="I404" i="24"/>
  <c r="B404" i="24"/>
  <c r="I403" i="24"/>
  <c r="B403" i="24"/>
  <c r="I402" i="24"/>
  <c r="B402" i="24"/>
  <c r="I401" i="24"/>
  <c r="B401" i="24"/>
  <c r="I400" i="24"/>
  <c r="B400" i="24"/>
  <c r="I399" i="24"/>
  <c r="B399" i="24"/>
  <c r="I398" i="24"/>
  <c r="B398" i="24"/>
  <c r="I397" i="24"/>
  <c r="B397" i="24"/>
  <c r="I396" i="24"/>
  <c r="B396" i="24"/>
  <c r="I395" i="24"/>
  <c r="B395" i="24"/>
  <c r="I394" i="24"/>
  <c r="B394" i="24"/>
  <c r="I393" i="24"/>
  <c r="B393" i="24"/>
  <c r="I392" i="24"/>
  <c r="B392" i="24"/>
  <c r="I391" i="24"/>
  <c r="B391" i="24"/>
  <c r="I390" i="24"/>
  <c r="B390" i="24"/>
  <c r="I389" i="24"/>
  <c r="B389" i="24"/>
  <c r="I388" i="24"/>
  <c r="B388" i="24"/>
  <c r="I387" i="24"/>
  <c r="B387" i="24"/>
  <c r="I386" i="24"/>
  <c r="B386" i="24"/>
  <c r="I385" i="24"/>
  <c r="B385" i="24"/>
  <c r="I384" i="24"/>
  <c r="B384" i="24"/>
  <c r="I383" i="24"/>
  <c r="B383" i="24"/>
  <c r="I382" i="24"/>
  <c r="B382" i="24"/>
  <c r="I381" i="24"/>
  <c r="B381" i="24"/>
  <c r="I380" i="24"/>
  <c r="B380" i="24"/>
  <c r="I379" i="24"/>
  <c r="B379" i="24"/>
  <c r="I378" i="24"/>
  <c r="B378" i="24"/>
  <c r="I377" i="24"/>
  <c r="B377" i="24"/>
  <c r="I376" i="24"/>
  <c r="B376" i="24"/>
  <c r="I375" i="24"/>
  <c r="B375" i="24"/>
  <c r="I374" i="24"/>
  <c r="B374" i="24"/>
  <c r="I373" i="24"/>
  <c r="B373" i="24"/>
  <c r="I372" i="24"/>
  <c r="B372" i="24"/>
  <c r="I371" i="24"/>
  <c r="B371" i="24"/>
  <c r="I370" i="24"/>
  <c r="B370" i="24"/>
  <c r="I369" i="24"/>
  <c r="B369" i="24"/>
  <c r="I368" i="24"/>
  <c r="B368" i="24"/>
  <c r="I367" i="24"/>
  <c r="B367" i="24"/>
  <c r="I366" i="24"/>
  <c r="B366" i="24"/>
  <c r="I365" i="24"/>
  <c r="B365" i="24"/>
  <c r="I364" i="24"/>
  <c r="B364" i="24"/>
  <c r="I363" i="24"/>
  <c r="B363" i="24"/>
  <c r="I362" i="24"/>
  <c r="F362" i="24"/>
  <c r="B362" i="24"/>
  <c r="I361" i="24"/>
  <c r="B361" i="24"/>
  <c r="I360" i="24"/>
  <c r="B360" i="24"/>
  <c r="I359" i="24"/>
  <c r="B359" i="24"/>
  <c r="I358" i="24"/>
  <c r="B358" i="24"/>
  <c r="F78" i="24" s="1"/>
  <c r="I357" i="24"/>
  <c r="B357" i="24"/>
  <c r="I356" i="24"/>
  <c r="B356" i="24"/>
  <c r="I355" i="24"/>
  <c r="B355" i="24"/>
  <c r="I354" i="24"/>
  <c r="B354" i="24"/>
  <c r="I353" i="24"/>
  <c r="B353" i="24"/>
  <c r="I352" i="24"/>
  <c r="B352" i="24"/>
  <c r="I351" i="24"/>
  <c r="B351" i="24"/>
  <c r="I350" i="24"/>
  <c r="B350" i="24"/>
  <c r="I349" i="24"/>
  <c r="B349" i="24"/>
  <c r="I348" i="24"/>
  <c r="B348" i="24"/>
  <c r="I347" i="24"/>
  <c r="B347" i="24"/>
  <c r="I346" i="24"/>
  <c r="B346" i="24"/>
  <c r="I345" i="24"/>
  <c r="B345" i="24"/>
  <c r="I344" i="24"/>
  <c r="B344" i="24"/>
  <c r="I343" i="24"/>
  <c r="B343" i="24"/>
  <c r="I342" i="24"/>
  <c r="B342" i="24"/>
  <c r="I341" i="24"/>
  <c r="B341" i="24"/>
  <c r="I340" i="24"/>
  <c r="B340" i="24"/>
  <c r="I339" i="24"/>
  <c r="B339" i="24"/>
  <c r="I338" i="24"/>
  <c r="B338" i="24"/>
  <c r="I337" i="24"/>
  <c r="B337" i="24"/>
  <c r="I336" i="24"/>
  <c r="B336" i="24"/>
  <c r="I335" i="24"/>
  <c r="B335" i="24"/>
  <c r="I334" i="24"/>
  <c r="B334" i="24"/>
  <c r="I333" i="24"/>
  <c r="B333" i="24"/>
  <c r="I332" i="24"/>
  <c r="B332" i="24"/>
  <c r="I331" i="24"/>
  <c r="B331" i="24"/>
  <c r="I330" i="24"/>
  <c r="B330" i="24"/>
  <c r="F15" i="24" s="1"/>
  <c r="I329" i="24"/>
  <c r="B329" i="24"/>
  <c r="I328" i="24"/>
  <c r="B328" i="24"/>
  <c r="I327" i="24"/>
  <c r="B327" i="24"/>
  <c r="I326" i="24"/>
  <c r="B326" i="24"/>
  <c r="I325" i="24"/>
  <c r="B325" i="24"/>
  <c r="I324" i="24"/>
  <c r="B324" i="24"/>
  <c r="I323" i="24"/>
  <c r="B323" i="24"/>
  <c r="I322" i="24"/>
  <c r="B322" i="24"/>
  <c r="F42" i="24" s="1"/>
  <c r="I321" i="24"/>
  <c r="B321" i="24"/>
  <c r="I320" i="24"/>
  <c r="B320" i="24"/>
  <c r="I319" i="24"/>
  <c r="B319" i="24"/>
  <c r="I318" i="24"/>
  <c r="B318" i="24"/>
  <c r="I317" i="24"/>
  <c r="B317" i="24"/>
  <c r="I316" i="24"/>
  <c r="B316" i="24"/>
  <c r="I315" i="24"/>
  <c r="B315" i="24"/>
  <c r="I314" i="24"/>
  <c r="B314" i="24"/>
  <c r="I313" i="24"/>
  <c r="B313" i="24"/>
  <c r="I312" i="24"/>
  <c r="B312" i="24"/>
  <c r="I311" i="24"/>
  <c r="B311" i="24"/>
  <c r="I310" i="24"/>
  <c r="B310" i="24"/>
  <c r="I309" i="24"/>
  <c r="B309" i="24"/>
  <c r="I308" i="24"/>
  <c r="B308" i="24"/>
  <c r="I307" i="24"/>
  <c r="B307" i="24"/>
  <c r="I306" i="24"/>
  <c r="B306" i="24"/>
  <c r="I305" i="24"/>
  <c r="B305" i="24"/>
  <c r="I304" i="24"/>
  <c r="B304" i="24"/>
  <c r="I303" i="24"/>
  <c r="B303" i="24"/>
  <c r="I302" i="24"/>
  <c r="B302" i="24"/>
  <c r="I301" i="24"/>
  <c r="B301" i="24"/>
  <c r="I300" i="24"/>
  <c r="B300" i="24"/>
  <c r="I299" i="24"/>
  <c r="B299" i="24"/>
  <c r="I298" i="24"/>
  <c r="B298" i="24"/>
  <c r="I297" i="24"/>
  <c r="B297" i="24"/>
  <c r="I296" i="24"/>
  <c r="B296" i="24"/>
  <c r="I295" i="24"/>
  <c r="B295" i="24"/>
  <c r="I294" i="24"/>
  <c r="B294" i="24"/>
  <c r="I293" i="24"/>
  <c r="B293" i="24"/>
  <c r="I292" i="24"/>
  <c r="F292" i="24"/>
  <c r="B292" i="24"/>
  <c r="I291" i="24"/>
  <c r="B291" i="24"/>
  <c r="I290" i="24"/>
  <c r="B290" i="24"/>
  <c r="I289" i="24"/>
  <c r="B289" i="24"/>
  <c r="I288" i="24"/>
  <c r="B288" i="24"/>
  <c r="I287" i="24"/>
  <c r="B287" i="24"/>
  <c r="I286" i="24"/>
  <c r="B286" i="24"/>
  <c r="I285" i="24"/>
  <c r="B285" i="24"/>
  <c r="I284" i="24"/>
  <c r="B284" i="24"/>
  <c r="I283" i="24"/>
  <c r="B283" i="24"/>
  <c r="I282" i="24"/>
  <c r="B282" i="24"/>
  <c r="I281" i="24"/>
  <c r="B281" i="24"/>
  <c r="I280" i="24"/>
  <c r="B280" i="24"/>
  <c r="I279" i="24"/>
  <c r="B279" i="24"/>
  <c r="I278" i="24"/>
  <c r="B278" i="24"/>
  <c r="I277" i="24"/>
  <c r="B277" i="24"/>
  <c r="I276" i="24"/>
  <c r="B276" i="24"/>
  <c r="I275" i="24"/>
  <c r="B275" i="24"/>
  <c r="I274" i="24"/>
  <c r="B274" i="24"/>
  <c r="I273" i="24"/>
  <c r="B273" i="24"/>
  <c r="I272" i="24"/>
  <c r="B272" i="24"/>
  <c r="I271" i="24"/>
  <c r="B271" i="24"/>
  <c r="I270" i="24"/>
  <c r="B270" i="24"/>
  <c r="I269" i="24"/>
  <c r="B269" i="24"/>
  <c r="I268" i="24"/>
  <c r="B268" i="24"/>
  <c r="I267" i="24"/>
  <c r="B267" i="24"/>
  <c r="I266" i="24"/>
  <c r="B266" i="24"/>
  <c r="I265" i="24"/>
  <c r="B265" i="24"/>
  <c r="I264" i="24"/>
  <c r="B264" i="24"/>
  <c r="I263" i="24"/>
  <c r="B263" i="24"/>
  <c r="I262" i="24"/>
  <c r="B262" i="24"/>
  <c r="I261" i="24"/>
  <c r="B261" i="24"/>
  <c r="I260" i="24"/>
  <c r="B260" i="24"/>
  <c r="I259" i="24"/>
  <c r="B259" i="24"/>
  <c r="I258" i="24"/>
  <c r="B258" i="24"/>
  <c r="I257" i="24"/>
  <c r="B257" i="24"/>
  <c r="I256" i="24"/>
  <c r="B256" i="24"/>
  <c r="I255" i="24"/>
  <c r="B255" i="24"/>
  <c r="I254" i="24"/>
  <c r="B254" i="24"/>
  <c r="I253" i="24"/>
  <c r="B253" i="24"/>
  <c r="I252" i="24"/>
  <c r="B252" i="24"/>
  <c r="I251" i="24"/>
  <c r="B251" i="24"/>
  <c r="I250" i="24"/>
  <c r="B250" i="24"/>
  <c r="I249" i="24"/>
  <c r="B249" i="24"/>
  <c r="I248" i="24"/>
  <c r="B248" i="24"/>
  <c r="I247" i="24"/>
  <c r="B247" i="24"/>
  <c r="I246" i="24"/>
  <c r="B246" i="24"/>
  <c r="I245" i="24"/>
  <c r="B245" i="24"/>
  <c r="I244" i="24"/>
  <c r="B244" i="24"/>
  <c r="I243" i="24"/>
  <c r="B243" i="24"/>
  <c r="I242" i="24"/>
  <c r="B242" i="24"/>
  <c r="I241" i="24"/>
  <c r="B241" i="24"/>
  <c r="I240" i="24"/>
  <c r="B240" i="24"/>
  <c r="I239" i="24"/>
  <c r="B239" i="24"/>
  <c r="I238" i="24"/>
  <c r="B238" i="24"/>
  <c r="I237" i="24"/>
  <c r="B237" i="24"/>
  <c r="I236" i="24"/>
  <c r="B236" i="24"/>
  <c r="I235" i="24"/>
  <c r="B235" i="24"/>
  <c r="I234" i="24"/>
  <c r="B234" i="24"/>
  <c r="I233" i="24"/>
  <c r="B233" i="24"/>
  <c r="I232" i="24"/>
  <c r="B232" i="24"/>
  <c r="I231" i="24"/>
  <c r="B231" i="24"/>
  <c r="I230" i="24"/>
  <c r="B230" i="24"/>
  <c r="I229" i="24"/>
  <c r="B229" i="24"/>
  <c r="I228" i="24"/>
  <c r="B228" i="24"/>
  <c r="I227" i="24"/>
  <c r="B227" i="24"/>
  <c r="I226" i="24"/>
  <c r="B226" i="24"/>
  <c r="I225" i="24"/>
  <c r="B225" i="24"/>
  <c r="I224" i="24"/>
  <c r="B224" i="24"/>
  <c r="I223" i="24"/>
  <c r="B223" i="24"/>
  <c r="I222" i="24"/>
  <c r="B222" i="24"/>
  <c r="I221" i="24"/>
  <c r="B221" i="24"/>
  <c r="I220" i="24"/>
  <c r="B220" i="24"/>
  <c r="I219" i="24"/>
  <c r="B219" i="24"/>
  <c r="I218" i="24"/>
  <c r="B218" i="24"/>
  <c r="I217" i="24"/>
  <c r="B217" i="24"/>
  <c r="I216" i="24"/>
  <c r="B216" i="24"/>
  <c r="I215" i="24"/>
  <c r="B215" i="24"/>
  <c r="I214" i="24"/>
  <c r="B214" i="24"/>
  <c r="I213" i="24"/>
  <c r="B213" i="24"/>
  <c r="I212" i="24"/>
  <c r="B212" i="24"/>
  <c r="I211" i="24"/>
  <c r="B211" i="24"/>
  <c r="I210" i="24"/>
  <c r="B210" i="24"/>
  <c r="I209" i="24"/>
  <c r="B209" i="24"/>
  <c r="I208" i="24"/>
  <c r="B208" i="24"/>
  <c r="I207" i="24"/>
  <c r="B207" i="24"/>
  <c r="I206" i="24"/>
  <c r="B206" i="24"/>
  <c r="I205" i="24"/>
  <c r="B205" i="24"/>
  <c r="I204" i="24"/>
  <c r="B204" i="24"/>
  <c r="I203" i="24"/>
  <c r="B203" i="24"/>
  <c r="I202" i="24"/>
  <c r="B202" i="24"/>
  <c r="I201" i="24"/>
  <c r="B201" i="24"/>
  <c r="I200" i="24"/>
  <c r="B200" i="24"/>
  <c r="I199" i="24"/>
  <c r="B199" i="24"/>
  <c r="I198" i="24"/>
  <c r="B198" i="24"/>
  <c r="I197" i="24"/>
  <c r="B197" i="24"/>
  <c r="I196" i="24"/>
  <c r="B196" i="24"/>
  <c r="I195" i="24"/>
  <c r="B195" i="24"/>
  <c r="I194" i="24"/>
  <c r="B194" i="24"/>
  <c r="I193" i="24"/>
  <c r="B193" i="24"/>
  <c r="I192" i="24"/>
  <c r="B192" i="24"/>
  <c r="I191" i="24"/>
  <c r="B191" i="24"/>
  <c r="I190" i="24"/>
  <c r="B190" i="24"/>
  <c r="I189" i="24"/>
  <c r="B189" i="24"/>
  <c r="I188" i="24"/>
  <c r="B188" i="24"/>
  <c r="I187" i="24"/>
  <c r="B187" i="24"/>
  <c r="I186" i="24"/>
  <c r="B186" i="24"/>
  <c r="I185" i="24"/>
  <c r="B185" i="24"/>
  <c r="I184" i="24"/>
  <c r="B184" i="24"/>
  <c r="I183" i="24"/>
  <c r="B183" i="24"/>
  <c r="I182" i="24"/>
  <c r="B182" i="24"/>
  <c r="I181" i="24"/>
  <c r="B181" i="24"/>
  <c r="I180" i="24"/>
  <c r="B180" i="24"/>
  <c r="I179" i="24"/>
  <c r="B179" i="24"/>
  <c r="I178" i="24"/>
  <c r="B178" i="24"/>
  <c r="I177" i="24"/>
  <c r="B177" i="24"/>
  <c r="I176" i="24"/>
  <c r="B176" i="24"/>
  <c r="I175" i="24"/>
  <c r="B175" i="24"/>
  <c r="I174" i="24"/>
  <c r="B174" i="24"/>
  <c r="I173" i="24"/>
  <c r="B173" i="24"/>
  <c r="I172" i="24"/>
  <c r="B172" i="24"/>
  <c r="I171" i="24"/>
  <c r="B171" i="24"/>
  <c r="I170" i="24"/>
  <c r="B170" i="24"/>
  <c r="I169" i="24"/>
  <c r="B169" i="24"/>
  <c r="I168" i="24"/>
  <c r="B168" i="24"/>
  <c r="I167" i="24"/>
  <c r="B167" i="24"/>
  <c r="I166" i="24"/>
  <c r="B166" i="24"/>
  <c r="I165" i="24"/>
  <c r="B165" i="24"/>
  <c r="I164" i="24"/>
  <c r="B164" i="24"/>
  <c r="I163" i="24"/>
  <c r="B163" i="24"/>
  <c r="I162" i="24"/>
  <c r="B162" i="24"/>
  <c r="I161" i="24"/>
  <c r="B161" i="24"/>
  <c r="I160" i="24"/>
  <c r="B160" i="24"/>
  <c r="I159" i="24"/>
  <c r="B159" i="24"/>
  <c r="I158" i="24"/>
  <c r="B158" i="24"/>
  <c r="I157" i="24"/>
  <c r="B157" i="24"/>
  <c r="I156" i="24"/>
  <c r="B156" i="24"/>
  <c r="I155" i="24"/>
  <c r="B155" i="24"/>
  <c r="I154" i="24"/>
  <c r="B154" i="24"/>
  <c r="I153" i="24"/>
  <c r="B153" i="24"/>
  <c r="I152" i="24"/>
  <c r="B152" i="24"/>
  <c r="I151" i="24"/>
  <c r="B151" i="24"/>
  <c r="I150" i="24"/>
  <c r="B150" i="24"/>
  <c r="I149" i="24"/>
  <c r="B149" i="24"/>
  <c r="I148" i="24"/>
  <c r="B148" i="24"/>
  <c r="I147" i="24"/>
  <c r="B147" i="24"/>
  <c r="I146" i="24"/>
  <c r="B146" i="24"/>
  <c r="I145" i="24"/>
  <c r="B145" i="24"/>
  <c r="I144" i="24"/>
  <c r="B144" i="24"/>
  <c r="I143" i="24"/>
  <c r="B143" i="24"/>
  <c r="I142" i="24"/>
  <c r="B142" i="24"/>
  <c r="I141" i="24"/>
  <c r="B141" i="24"/>
  <c r="I140" i="24"/>
  <c r="B140" i="24"/>
  <c r="I139" i="24"/>
  <c r="B139" i="24"/>
  <c r="I138" i="24"/>
  <c r="B138" i="24"/>
  <c r="I137" i="24"/>
  <c r="B137" i="24"/>
  <c r="I136" i="24"/>
  <c r="B136" i="24"/>
  <c r="I135" i="24"/>
  <c r="B135" i="24"/>
  <c r="I134" i="24"/>
  <c r="B134" i="24"/>
  <c r="I133" i="24"/>
  <c r="B133" i="24"/>
  <c r="I132" i="24"/>
  <c r="B132" i="24"/>
  <c r="I131" i="24"/>
  <c r="B131" i="24"/>
  <c r="I130" i="24"/>
  <c r="B130" i="24"/>
  <c r="I129" i="24"/>
  <c r="B129" i="24"/>
  <c r="I128" i="24"/>
  <c r="B128" i="24"/>
  <c r="I127" i="24"/>
  <c r="B127" i="24"/>
  <c r="I126" i="24"/>
  <c r="B126" i="24"/>
  <c r="I125" i="24"/>
  <c r="B125" i="24"/>
  <c r="I124" i="24"/>
  <c r="B124" i="24"/>
  <c r="I123" i="24"/>
  <c r="B123" i="24"/>
  <c r="I122" i="24"/>
  <c r="B122" i="24"/>
  <c r="I121" i="24"/>
  <c r="B121" i="24"/>
  <c r="I120" i="24"/>
  <c r="B120" i="24"/>
  <c r="I119" i="24"/>
  <c r="B119" i="24"/>
  <c r="I118" i="24"/>
  <c r="B118" i="24"/>
  <c r="I117" i="24"/>
  <c r="B117" i="24"/>
  <c r="I116" i="24"/>
  <c r="B116" i="24"/>
  <c r="I115" i="24"/>
  <c r="B115" i="24"/>
  <c r="I114" i="24"/>
  <c r="B114" i="24"/>
  <c r="I113" i="24"/>
  <c r="B113" i="24"/>
  <c r="I112" i="24"/>
  <c r="B112" i="24"/>
  <c r="I111" i="24"/>
  <c r="B111" i="24"/>
  <c r="I110" i="24"/>
  <c r="B110" i="24"/>
  <c r="I109" i="24"/>
  <c r="B109" i="24"/>
  <c r="I108" i="24"/>
  <c r="B108" i="24"/>
  <c r="I107" i="24"/>
  <c r="B107" i="24"/>
  <c r="I106" i="24"/>
  <c r="B106" i="24"/>
  <c r="I105" i="24"/>
  <c r="B105" i="24"/>
  <c r="I104" i="24"/>
  <c r="B104" i="24"/>
  <c r="I103" i="24"/>
  <c r="B103" i="24"/>
  <c r="I102" i="24"/>
  <c r="B102" i="24"/>
  <c r="I101" i="24"/>
  <c r="B101" i="24"/>
  <c r="I100" i="24"/>
  <c r="B100" i="24"/>
  <c r="I99" i="24"/>
  <c r="B99" i="24"/>
  <c r="I98" i="24"/>
  <c r="B98" i="24"/>
  <c r="I97" i="24"/>
  <c r="B97" i="24"/>
  <c r="I96" i="24"/>
  <c r="B96" i="24"/>
  <c r="I95" i="24"/>
  <c r="B95" i="24"/>
  <c r="I94" i="24"/>
  <c r="B94" i="24"/>
  <c r="I93" i="24"/>
  <c r="B93" i="24"/>
  <c r="I92" i="24"/>
  <c r="B92" i="24"/>
  <c r="I91" i="24"/>
  <c r="B91" i="24"/>
  <c r="I90" i="24"/>
  <c r="B90" i="24"/>
  <c r="I89" i="24"/>
  <c r="B89" i="24"/>
  <c r="I88" i="24"/>
  <c r="B88" i="24"/>
  <c r="I87" i="24"/>
  <c r="B87" i="24"/>
  <c r="I86" i="24"/>
  <c r="B86" i="24"/>
  <c r="I85" i="24"/>
  <c r="B85" i="24"/>
  <c r="I84" i="24"/>
  <c r="B84" i="24"/>
  <c r="I83" i="24"/>
  <c r="B83" i="24"/>
  <c r="I82" i="24"/>
  <c r="B82" i="24"/>
  <c r="I81" i="24"/>
  <c r="B81" i="24"/>
  <c r="I80" i="24"/>
  <c r="B80" i="24"/>
  <c r="I79" i="24"/>
  <c r="B79" i="24"/>
  <c r="I78" i="24"/>
  <c r="B78" i="24"/>
  <c r="I77" i="24"/>
  <c r="B77" i="24"/>
  <c r="I76" i="24"/>
  <c r="B76" i="24"/>
  <c r="I75" i="24"/>
  <c r="B75" i="24"/>
  <c r="I74" i="24"/>
  <c r="B74" i="24"/>
  <c r="I73" i="24"/>
  <c r="B73" i="24"/>
  <c r="I72" i="24"/>
  <c r="B72" i="24"/>
  <c r="I71" i="24"/>
  <c r="B71" i="24"/>
  <c r="I70" i="24"/>
  <c r="B70" i="24"/>
  <c r="I69" i="24"/>
  <c r="B69" i="24"/>
  <c r="I68" i="24"/>
  <c r="B68" i="24"/>
  <c r="I67" i="24"/>
  <c r="B67" i="24"/>
  <c r="I66" i="24"/>
  <c r="B66" i="24"/>
  <c r="I65" i="24"/>
  <c r="B65" i="24"/>
  <c r="I64" i="24"/>
  <c r="B64" i="24"/>
  <c r="I63" i="24"/>
  <c r="B63" i="24"/>
  <c r="I62" i="24"/>
  <c r="B62" i="24"/>
  <c r="I61" i="24"/>
  <c r="B61" i="24"/>
  <c r="I60" i="24"/>
  <c r="B60" i="24"/>
  <c r="I59" i="24"/>
  <c r="B59" i="24"/>
  <c r="I58" i="24"/>
  <c r="B58" i="24"/>
  <c r="I57" i="24"/>
  <c r="B57" i="24"/>
  <c r="I56" i="24"/>
  <c r="B56" i="24"/>
  <c r="I55" i="24"/>
  <c r="B55" i="24"/>
  <c r="I54" i="24"/>
  <c r="B54" i="24"/>
  <c r="I53" i="24"/>
  <c r="B53" i="24"/>
  <c r="I52" i="24"/>
  <c r="B52" i="24"/>
  <c r="I51" i="24"/>
  <c r="B51" i="24"/>
  <c r="I50" i="24"/>
  <c r="B50" i="24"/>
  <c r="I49" i="24"/>
  <c r="B49" i="24"/>
  <c r="I48" i="24"/>
  <c r="B48" i="24"/>
  <c r="I47" i="24"/>
  <c r="B47" i="24"/>
  <c r="I46" i="24"/>
  <c r="B46" i="24"/>
  <c r="I45" i="24"/>
  <c r="B45" i="24"/>
  <c r="I44" i="24"/>
  <c r="B44" i="24"/>
  <c r="I43" i="24"/>
  <c r="B43" i="24"/>
  <c r="I42" i="24"/>
  <c r="B42" i="24"/>
  <c r="B41" i="24"/>
  <c r="I40" i="24"/>
  <c r="B40" i="24"/>
  <c r="I39" i="24"/>
  <c r="B39" i="24"/>
  <c r="I38" i="24"/>
  <c r="B38" i="24"/>
  <c r="I37" i="24"/>
  <c r="B37" i="24"/>
  <c r="I36" i="24"/>
  <c r="B36" i="24"/>
  <c r="I35" i="24"/>
  <c r="B35" i="24"/>
  <c r="I34" i="24"/>
  <c r="B34" i="24"/>
  <c r="I33" i="24"/>
  <c r="B33" i="24"/>
  <c r="I32" i="24"/>
  <c r="B32" i="24"/>
  <c r="I31" i="24"/>
  <c r="B31" i="24"/>
  <c r="I30" i="24"/>
  <c r="B30" i="24"/>
  <c r="I29" i="24"/>
  <c r="B29" i="24"/>
  <c r="I28" i="24"/>
  <c r="B28" i="24"/>
  <c r="I27" i="24"/>
  <c r="B27" i="24"/>
  <c r="I26" i="24"/>
  <c r="B26" i="24"/>
  <c r="I25" i="24"/>
  <c r="B25" i="24"/>
  <c r="I24" i="24"/>
  <c r="B24" i="24"/>
  <c r="I23" i="24"/>
  <c r="B23" i="24"/>
  <c r="I22" i="24"/>
  <c r="B22" i="24"/>
  <c r="I21" i="24"/>
  <c r="B21" i="24"/>
  <c r="I20" i="24"/>
  <c r="B20" i="24"/>
  <c r="I19" i="24"/>
  <c r="B19" i="24"/>
  <c r="I18" i="24"/>
  <c r="B18" i="24"/>
  <c r="I17" i="24"/>
  <c r="B17" i="24"/>
  <c r="I16" i="24"/>
  <c r="B16" i="24"/>
  <c r="I15" i="24"/>
  <c r="B15" i="24"/>
  <c r="I14" i="24"/>
  <c r="B14" i="24"/>
  <c r="I13" i="24"/>
  <c r="B13" i="24"/>
  <c r="I12" i="24"/>
  <c r="B12" i="24"/>
  <c r="I11" i="24"/>
  <c r="B11" i="24"/>
  <c r="I10" i="24"/>
  <c r="B10" i="24"/>
  <c r="I9" i="24"/>
  <c r="B9" i="24"/>
  <c r="M13" i="23"/>
  <c r="K13" i="23"/>
  <c r="J13" i="23"/>
  <c r="M12" i="23"/>
  <c r="K12" i="23"/>
  <c r="J12" i="23"/>
  <c r="M11" i="23"/>
  <c r="K11" i="23"/>
  <c r="J11" i="23"/>
  <c r="M10" i="23"/>
  <c r="K10" i="23"/>
  <c r="J10" i="23"/>
  <c r="M9" i="23"/>
  <c r="K9" i="23"/>
  <c r="J9" i="23"/>
  <c r="F224" i="24" l="1"/>
  <c r="F70" i="24"/>
  <c r="J59" i="24"/>
  <c r="F38" i="24"/>
  <c r="J23" i="24"/>
  <c r="D13" i="23"/>
  <c r="E11" i="23"/>
  <c r="F110" i="24"/>
  <c r="F49" i="24"/>
  <c r="G11" i="23"/>
  <c r="F17" i="24"/>
  <c r="F57" i="24"/>
  <c r="F12" i="24"/>
  <c r="F20" i="24"/>
  <c r="F142" i="24"/>
  <c r="F46" i="24"/>
  <c r="J148" i="24"/>
  <c r="F65" i="24"/>
  <c r="F174" i="24"/>
  <c r="F248" i="24"/>
  <c r="F16" i="24"/>
  <c r="F54" i="24"/>
  <c r="J91" i="24"/>
  <c r="F28" i="24"/>
  <c r="D10" i="23"/>
  <c r="F98" i="24"/>
  <c r="F44" i="24"/>
  <c r="F34" i="24"/>
  <c r="J110" i="24"/>
  <c r="J129" i="24"/>
  <c r="J164" i="24"/>
  <c r="F85" i="24"/>
  <c r="F50" i="24"/>
  <c r="F508" i="24"/>
  <c r="F88" i="24"/>
  <c r="F53" i="24"/>
  <c r="F196" i="24"/>
  <c r="F91" i="24"/>
  <c r="G12" i="23"/>
  <c r="F56" i="24"/>
  <c r="F21" i="24"/>
  <c r="F24" i="24"/>
  <c r="F66" i="24"/>
  <c r="F140" i="24"/>
  <c r="F144" i="24"/>
  <c r="J43" i="24"/>
  <c r="J46" i="24"/>
  <c r="F267" i="24"/>
  <c r="F22" i="24"/>
  <c r="F162" i="24"/>
  <c r="F92" i="24"/>
  <c r="J67" i="24"/>
  <c r="J107" i="24"/>
  <c r="F126" i="24"/>
  <c r="J145" i="24"/>
  <c r="J180" i="24"/>
  <c r="K231" i="24"/>
  <c r="F30" i="24"/>
  <c r="J49" i="24"/>
  <c r="F305" i="24"/>
  <c r="F60" i="24"/>
  <c r="F18" i="24"/>
  <c r="J21" i="24"/>
  <c r="F289" i="24"/>
  <c r="F257" i="24"/>
  <c r="F82" i="24"/>
  <c r="F47" i="24"/>
  <c r="F152" i="24"/>
  <c r="F313" i="24"/>
  <c r="J78" i="24"/>
  <c r="F89" i="24"/>
  <c r="J100" i="24"/>
  <c r="F104" i="24"/>
  <c r="J161" i="24"/>
  <c r="J196" i="24"/>
  <c r="J17" i="24"/>
  <c r="J15" i="24"/>
  <c r="F207" i="24"/>
  <c r="F67" i="24"/>
  <c r="F102" i="24"/>
  <c r="F172" i="24"/>
  <c r="F211" i="24"/>
  <c r="J246" i="24"/>
  <c r="F106" i="24"/>
  <c r="F176" i="24"/>
  <c r="F71" i="24"/>
  <c r="F215" i="24"/>
  <c r="F180" i="24"/>
  <c r="F75" i="24"/>
  <c r="D9" i="23"/>
  <c r="J57" i="24"/>
  <c r="F275" i="24"/>
  <c r="J75" i="24"/>
  <c r="F86" i="24"/>
  <c r="F136" i="24"/>
  <c r="J123" i="24"/>
  <c r="F158" i="24"/>
  <c r="J177" i="24"/>
  <c r="J212" i="24"/>
  <c r="K224" i="24"/>
  <c r="K244" i="24"/>
  <c r="F396" i="24"/>
  <c r="F116" i="24"/>
  <c r="F186" i="24"/>
  <c r="F11" i="24"/>
  <c r="F81" i="24"/>
  <c r="J9" i="24"/>
  <c r="F19" i="24"/>
  <c r="F124" i="24"/>
  <c r="F194" i="24"/>
  <c r="J25" i="24"/>
  <c r="J32" i="24"/>
  <c r="J36" i="24"/>
  <c r="J40" i="24"/>
  <c r="J51" i="24"/>
  <c r="J54" i="24"/>
  <c r="F321" i="24"/>
  <c r="J86" i="24"/>
  <c r="J97" i="24"/>
  <c r="J116" i="24"/>
  <c r="F120" i="24"/>
  <c r="J193" i="24"/>
  <c r="F205" i="24"/>
  <c r="F100" i="24"/>
  <c r="F170" i="24"/>
  <c r="J384" i="24"/>
  <c r="F69" i="24"/>
  <c r="J20" i="24"/>
  <c r="F517" i="24"/>
  <c r="F132" i="24"/>
  <c r="F202" i="24"/>
  <c r="F27" i="24"/>
  <c r="F237" i="24"/>
  <c r="E10" i="23"/>
  <c r="F235" i="24"/>
  <c r="J28" i="24"/>
  <c r="F395" i="24"/>
  <c r="D11" i="23"/>
  <c r="F80" i="24"/>
  <c r="F45" i="24"/>
  <c r="F150" i="24"/>
  <c r="J608" i="24"/>
  <c r="F83" i="24"/>
  <c r="F48" i="24"/>
  <c r="F118" i="24"/>
  <c r="F188" i="24"/>
  <c r="F13" i="24"/>
  <c r="F223" i="24"/>
  <c r="F128" i="24"/>
  <c r="F93" i="24"/>
  <c r="F58" i="24"/>
  <c r="F198" i="24"/>
  <c r="F341" i="24"/>
  <c r="F96" i="24"/>
  <c r="F61" i="24"/>
  <c r="F166" i="24"/>
  <c r="F64" i="24"/>
  <c r="F134" i="24"/>
  <c r="F204" i="24"/>
  <c r="F138" i="24"/>
  <c r="F208" i="24"/>
  <c r="F68" i="24"/>
  <c r="F492" i="24"/>
  <c r="F212" i="24"/>
  <c r="F72" i="24"/>
  <c r="F146" i="24"/>
  <c r="F76" i="24"/>
  <c r="F216" i="24"/>
  <c r="F297" i="24"/>
  <c r="F265" i="24"/>
  <c r="F90" i="24"/>
  <c r="F55" i="24"/>
  <c r="F62" i="24"/>
  <c r="F283" i="24"/>
  <c r="J83" i="24"/>
  <c r="F190" i="24"/>
  <c r="J209" i="24"/>
  <c r="J225" i="24"/>
  <c r="J70" i="24"/>
  <c r="F79" i="24"/>
  <c r="J12" i="24"/>
  <c r="E9" i="23"/>
  <c r="F10" i="24"/>
  <c r="J13" i="24"/>
  <c r="F160" i="24"/>
  <c r="F23" i="24"/>
  <c r="F26" i="24"/>
  <c r="F112" i="24"/>
  <c r="D12" i="23"/>
  <c r="F14" i="24"/>
  <c r="F154" i="24"/>
  <c r="F84" i="24"/>
  <c r="F52" i="24"/>
  <c r="J62" i="24"/>
  <c r="F73" i="24"/>
  <c r="F119" i="24"/>
  <c r="J94" i="24"/>
  <c r="J113" i="24"/>
  <c r="J132" i="24"/>
  <c r="F206" i="24"/>
  <c r="J126" i="24"/>
  <c r="J139" i="24"/>
  <c r="J142" i="24"/>
  <c r="J155" i="24"/>
  <c r="J158" i="24"/>
  <c r="F168" i="24"/>
  <c r="J171" i="24"/>
  <c r="J174" i="24"/>
  <c r="F184" i="24"/>
  <c r="J187" i="24"/>
  <c r="J190" i="24"/>
  <c r="F200" i="24"/>
  <c r="J203" i="24"/>
  <c r="J206" i="24"/>
  <c r="J219" i="24"/>
  <c r="J65" i="24"/>
  <c r="F281" i="24"/>
  <c r="J89" i="24"/>
  <c r="J101" i="24"/>
  <c r="J104" i="24"/>
  <c r="F114" i="24"/>
  <c r="J117" i="24"/>
  <c r="J120" i="24"/>
  <c r="F130" i="24"/>
  <c r="J133" i="24"/>
  <c r="J136" i="24"/>
  <c r="J149" i="24"/>
  <c r="J152" i="24"/>
  <c r="J165" i="24"/>
  <c r="J168" i="24"/>
  <c r="F178" i="24"/>
  <c r="J181" i="24"/>
  <c r="J184" i="24"/>
  <c r="J197" i="24"/>
  <c r="J200" i="24"/>
  <c r="F210" i="24"/>
  <c r="J213" i="24"/>
  <c r="J216" i="24"/>
  <c r="F273" i="24"/>
  <c r="J73" i="24"/>
  <c r="J81" i="24"/>
  <c r="G10" i="23"/>
  <c r="J10" i="24"/>
  <c r="J576" i="24"/>
  <c r="J18" i="24"/>
  <c r="J374" i="24"/>
  <c r="J26" i="24"/>
  <c r="J29" i="24"/>
  <c r="J33" i="24"/>
  <c r="J37" i="24"/>
  <c r="J44" i="24"/>
  <c r="F295" i="24"/>
  <c r="J52" i="24"/>
  <c r="F303" i="24"/>
  <c r="J60" i="24"/>
  <c r="F63" i="24"/>
  <c r="F311" i="24"/>
  <c r="J68" i="24"/>
  <c r="F319" i="24"/>
  <c r="J76" i="24"/>
  <c r="F117" i="24"/>
  <c r="J84" i="24"/>
  <c r="F87" i="24"/>
  <c r="J92" i="24"/>
  <c r="J95" i="24"/>
  <c r="J98" i="24"/>
  <c r="F108" i="24"/>
  <c r="J111" i="24"/>
  <c r="J114" i="24"/>
  <c r="J127" i="24"/>
  <c r="J130" i="24"/>
  <c r="J143" i="24"/>
  <c r="J146" i="24"/>
  <c r="F156" i="24"/>
  <c r="J159" i="24"/>
  <c r="J162" i="24"/>
  <c r="J175" i="24"/>
  <c r="J178" i="24"/>
  <c r="J191" i="24"/>
  <c r="J194" i="24"/>
  <c r="J207" i="24"/>
  <c r="J210" i="24"/>
  <c r="J241" i="24"/>
  <c r="K225" i="24"/>
  <c r="F229" i="24"/>
  <c r="F97" i="24"/>
  <c r="F105" i="24"/>
  <c r="J222" i="24"/>
  <c r="J121" i="24"/>
  <c r="J124" i="24"/>
  <c r="J137" i="24"/>
  <c r="J140" i="24"/>
  <c r="J153" i="24"/>
  <c r="J156" i="24"/>
  <c r="J169" i="24"/>
  <c r="J172" i="24"/>
  <c r="F182" i="24"/>
  <c r="J185" i="24"/>
  <c r="J188" i="24"/>
  <c r="J201" i="24"/>
  <c r="J204" i="24"/>
  <c r="F214" i="24"/>
  <c r="K248" i="24"/>
  <c r="F32" i="24"/>
  <c r="F36" i="24"/>
  <c r="F213" i="24"/>
  <c r="F255" i="24"/>
  <c r="J47" i="24"/>
  <c r="F263" i="24"/>
  <c r="J55" i="24"/>
  <c r="F271" i="24"/>
  <c r="J63" i="24"/>
  <c r="F279" i="24"/>
  <c r="J71" i="24"/>
  <c r="F74" i="24"/>
  <c r="J79" i="24"/>
  <c r="J87" i="24"/>
  <c r="J105" i="24"/>
  <c r="J108" i="24"/>
  <c r="G9" i="23"/>
  <c r="E12" i="23"/>
  <c r="F364" i="24"/>
  <c r="J16" i="24"/>
  <c r="J232" i="24"/>
  <c r="J24" i="24"/>
  <c r="J30" i="24"/>
  <c r="J34" i="24"/>
  <c r="J38" i="24"/>
  <c r="J42" i="24"/>
  <c r="F293" i="24"/>
  <c r="J50" i="24"/>
  <c r="F301" i="24"/>
  <c r="J58" i="24"/>
  <c r="F309" i="24"/>
  <c r="J66" i="24"/>
  <c r="F317" i="24"/>
  <c r="J74" i="24"/>
  <c r="F77" i="24"/>
  <c r="F115" i="24"/>
  <c r="J82" i="24"/>
  <c r="J90" i="24"/>
  <c r="J99" i="24"/>
  <c r="J102" i="24"/>
  <c r="J115" i="24"/>
  <c r="J118" i="24"/>
  <c r="J131" i="24"/>
  <c r="J134" i="24"/>
  <c r="J147" i="24"/>
  <c r="J150" i="24"/>
  <c r="J163" i="24"/>
  <c r="J166" i="24"/>
  <c r="J179" i="24"/>
  <c r="J182" i="24"/>
  <c r="F192" i="24"/>
  <c r="J195" i="24"/>
  <c r="J198" i="24"/>
  <c r="J211" i="24"/>
  <c r="J214" i="24"/>
  <c r="K221" i="24"/>
  <c r="F333" i="24"/>
  <c r="J11" i="24"/>
  <c r="J19" i="24"/>
  <c r="J480" i="24"/>
  <c r="F626" i="24"/>
  <c r="F288" i="24"/>
  <c r="F261" i="24"/>
  <c r="J61" i="24"/>
  <c r="F277" i="24"/>
  <c r="F285" i="24"/>
  <c r="J77" i="24"/>
  <c r="J85" i="24"/>
  <c r="J93" i="24"/>
  <c r="J112" i="24"/>
  <c r="J125" i="24"/>
  <c r="J141" i="24"/>
  <c r="J157" i="24"/>
  <c r="J173" i="24"/>
  <c r="J176" i="24"/>
  <c r="J189" i="24"/>
  <c r="J192" i="24"/>
  <c r="J205" i="24"/>
  <c r="J208" i="24"/>
  <c r="F218" i="24"/>
  <c r="J221" i="24"/>
  <c r="F604" i="24"/>
  <c r="J27" i="24"/>
  <c r="J560" i="24"/>
  <c r="J45" i="24"/>
  <c r="J53" i="24"/>
  <c r="F269" i="24"/>
  <c r="J69" i="24"/>
  <c r="J96" i="24"/>
  <c r="J240" i="24"/>
  <c r="J109" i="24"/>
  <c r="F122" i="24"/>
  <c r="J128" i="24"/>
  <c r="J144" i="24"/>
  <c r="J160" i="24"/>
  <c r="F9" i="24"/>
  <c r="F327" i="24"/>
  <c r="J14" i="24"/>
  <c r="F405" i="24"/>
  <c r="J22" i="24"/>
  <c r="F25" i="24"/>
  <c r="F588" i="24"/>
  <c r="J31" i="24"/>
  <c r="J35" i="24"/>
  <c r="J39" i="24"/>
  <c r="F43" i="24"/>
  <c r="F221" i="24"/>
  <c r="J48" i="24"/>
  <c r="F51" i="24"/>
  <c r="F299" i="24"/>
  <c r="J56" i="24"/>
  <c r="F59" i="24"/>
  <c r="F307" i="24"/>
  <c r="J64" i="24"/>
  <c r="F315" i="24"/>
  <c r="J72" i="24"/>
  <c r="F113" i="24"/>
  <c r="J80" i="24"/>
  <c r="F226" i="24"/>
  <c r="J88" i="24"/>
  <c r="J103" i="24"/>
  <c r="J106" i="24"/>
  <c r="J119" i="24"/>
  <c r="J122" i="24"/>
  <c r="J135" i="24"/>
  <c r="J138" i="24"/>
  <c r="F148" i="24"/>
  <c r="J151" i="24"/>
  <c r="J154" i="24"/>
  <c r="F164" i="24"/>
  <c r="J167" i="24"/>
  <c r="J170" i="24"/>
  <c r="J183" i="24"/>
  <c r="J186" i="24"/>
  <c r="J199" i="24"/>
  <c r="J202" i="24"/>
  <c r="J218" i="24"/>
  <c r="J243" i="24"/>
  <c r="F40" i="24"/>
  <c r="J336" i="24"/>
  <c r="F95" i="24"/>
  <c r="F239" i="24"/>
  <c r="F103" i="24"/>
  <c r="F107" i="24"/>
  <c r="F101" i="24"/>
  <c r="F31" i="24"/>
  <c r="K228" i="24"/>
  <c r="J342" i="24"/>
  <c r="J215" i="24"/>
  <c r="J242" i="24"/>
  <c r="K242" i="24"/>
  <c r="E13" i="23"/>
  <c r="K233" i="24"/>
  <c r="J233" i="24"/>
  <c r="F99" i="24"/>
  <c r="F29" i="24"/>
  <c r="K226" i="24"/>
  <c r="J226" i="24"/>
  <c r="K220" i="24"/>
  <c r="K223" i="24"/>
  <c r="K240" i="24"/>
  <c r="J217" i="24"/>
  <c r="J227" i="24"/>
  <c r="J349" i="24"/>
  <c r="F637" i="24"/>
  <c r="F532" i="24"/>
  <c r="J392" i="24"/>
  <c r="J602" i="24"/>
  <c r="F497" i="24"/>
  <c r="F392" i="24"/>
  <c r="F672" i="24"/>
  <c r="F602" i="24"/>
  <c r="J462" i="24"/>
  <c r="F567" i="24"/>
  <c r="F462" i="24"/>
  <c r="J532" i="24"/>
  <c r="K219" i="24"/>
  <c r="J224" i="24"/>
  <c r="K227" i="24"/>
  <c r="J229" i="24"/>
  <c r="J231" i="24"/>
  <c r="F233" i="24"/>
  <c r="F242" i="24"/>
  <c r="J244" i="24"/>
  <c r="K249" i="24"/>
  <c r="J251" i="24"/>
  <c r="J253" i="24"/>
  <c r="J255" i="24"/>
  <c r="J257" i="24"/>
  <c r="J259" i="24"/>
  <c r="J261" i="24"/>
  <c r="J263" i="24"/>
  <c r="J265" i="24"/>
  <c r="J267" i="24"/>
  <c r="J269" i="24"/>
  <c r="J271" i="24"/>
  <c r="J273" i="24"/>
  <c r="J275" i="24"/>
  <c r="J277" i="24"/>
  <c r="J279" i="24"/>
  <c r="J281" i="24"/>
  <c r="J283" i="24"/>
  <c r="J285" i="24"/>
  <c r="J287" i="24"/>
  <c r="J289" i="24"/>
  <c r="J291" i="24"/>
  <c r="J293" i="24"/>
  <c r="J295" i="24"/>
  <c r="J297" i="24"/>
  <c r="J299" i="24"/>
  <c r="J301" i="24"/>
  <c r="J303" i="24"/>
  <c r="J305" i="24"/>
  <c r="J307" i="24"/>
  <c r="J309" i="24"/>
  <c r="J311" i="24"/>
  <c r="J313" i="24"/>
  <c r="J315" i="24"/>
  <c r="J317" i="24"/>
  <c r="J319" i="24"/>
  <c r="J321" i="24"/>
  <c r="J323" i="24"/>
  <c r="J325" i="24"/>
  <c r="J327" i="24"/>
  <c r="J352" i="24"/>
  <c r="J365" i="24"/>
  <c r="J375" i="24"/>
  <c r="F379" i="24"/>
  <c r="F389" i="24"/>
  <c r="J422" i="24"/>
  <c r="J429" i="24"/>
  <c r="F469" i="24"/>
  <c r="J487" i="24"/>
  <c r="F524" i="24"/>
  <c r="F549" i="24"/>
  <c r="J567" i="24"/>
  <c r="F611" i="24"/>
  <c r="J621" i="24"/>
  <c r="J625" i="24"/>
  <c r="J359" i="24"/>
  <c r="F386" i="24"/>
  <c r="J416" i="24"/>
  <c r="F444" i="24"/>
  <c r="J535" i="24"/>
  <c r="F597" i="24"/>
  <c r="F220" i="24"/>
  <c r="F230" i="24"/>
  <c r="K235" i="24"/>
  <c r="K237" i="24"/>
  <c r="J237" i="24"/>
  <c r="K246" i="24"/>
  <c r="F250" i="24"/>
  <c r="F252" i="24"/>
  <c r="F254" i="24"/>
  <c r="F256" i="24"/>
  <c r="F258" i="24"/>
  <c r="F260" i="24"/>
  <c r="F262" i="24"/>
  <c r="F264" i="24"/>
  <c r="F266" i="24"/>
  <c r="F268" i="24"/>
  <c r="F270" i="24"/>
  <c r="F272" i="24"/>
  <c r="F274" i="24"/>
  <c r="F276" i="24"/>
  <c r="F278" i="24"/>
  <c r="F280" i="24"/>
  <c r="F282" i="24"/>
  <c r="F284" i="24"/>
  <c r="F286" i="24"/>
  <c r="F290" i="24"/>
  <c r="F294" i="24"/>
  <c r="F296" i="24"/>
  <c r="F298" i="24"/>
  <c r="F300" i="24"/>
  <c r="F302" i="24"/>
  <c r="F304" i="24"/>
  <c r="F306" i="24"/>
  <c r="F308" i="24"/>
  <c r="F310" i="24"/>
  <c r="F312" i="24"/>
  <c r="F314" i="24"/>
  <c r="F316" i="24"/>
  <c r="F318" i="24"/>
  <c r="F320" i="24"/>
  <c r="F322" i="24"/>
  <c r="F324" i="24"/>
  <c r="F326" i="24"/>
  <c r="F328" i="24"/>
  <c r="F331" i="24"/>
  <c r="J333" i="24"/>
  <c r="F363" i="24"/>
  <c r="F373" i="24"/>
  <c r="J406" i="24"/>
  <c r="J413" i="24"/>
  <c r="J423" i="24"/>
  <c r="F427" i="24"/>
  <c r="F437" i="24"/>
  <c r="J455" i="24"/>
  <c r="J528" i="24"/>
  <c r="F572" i="24"/>
  <c r="J633" i="24"/>
  <c r="J637" i="24"/>
  <c r="F1164" i="24"/>
  <c r="F1129" i="24"/>
  <c r="J1094" i="24"/>
  <c r="F1059" i="24"/>
  <c r="F989" i="24"/>
  <c r="F1094" i="24"/>
  <c r="J1024" i="24"/>
  <c r="F954" i="24"/>
  <c r="F849" i="24"/>
  <c r="F1024" i="24"/>
  <c r="F744" i="24"/>
  <c r="F674" i="24"/>
  <c r="F639" i="24"/>
  <c r="J989" i="24"/>
  <c r="J919" i="24"/>
  <c r="F884" i="24"/>
  <c r="F779" i="24"/>
  <c r="F919" i="24"/>
  <c r="J814" i="24"/>
  <c r="J884" i="24"/>
  <c r="F814" i="24"/>
  <c r="J709" i="24"/>
  <c r="J534" i="24"/>
  <c r="F429" i="24"/>
  <c r="F534" i="24"/>
  <c r="J394" i="24"/>
  <c r="J604" i="24"/>
  <c r="F499" i="24"/>
  <c r="F394" i="24"/>
  <c r="F709" i="24"/>
  <c r="F359" i="24"/>
  <c r="F569" i="24"/>
  <c r="F464" i="24"/>
  <c r="F1411" i="24"/>
  <c r="F1376" i="24"/>
  <c r="F1236" i="24"/>
  <c r="F1131" i="24"/>
  <c r="F1166" i="24"/>
  <c r="J1271" i="24"/>
  <c r="F1271" i="24"/>
  <c r="J1061" i="24"/>
  <c r="J1341" i="24"/>
  <c r="J1201" i="24"/>
  <c r="F991" i="24"/>
  <c r="J1131" i="24"/>
  <c r="F1061" i="24"/>
  <c r="F1341" i="24"/>
  <c r="J1236" i="24"/>
  <c r="F1201" i="24"/>
  <c r="F1096" i="24"/>
  <c r="J1026" i="24"/>
  <c r="J1376" i="24"/>
  <c r="F1306" i="24"/>
  <c r="F851" i="24"/>
  <c r="F746" i="24"/>
  <c r="F676" i="24"/>
  <c r="F1026" i="24"/>
  <c r="F956" i="24"/>
  <c r="F641" i="24"/>
  <c r="F886" i="24"/>
  <c r="J921" i="24"/>
  <c r="F781" i="24"/>
  <c r="J991" i="24"/>
  <c r="J816" i="24"/>
  <c r="F921" i="24"/>
  <c r="J886" i="24"/>
  <c r="F816" i="24"/>
  <c r="J711" i="24"/>
  <c r="F571" i="24"/>
  <c r="F466" i="24"/>
  <c r="F711" i="24"/>
  <c r="J536" i="24"/>
  <c r="F431" i="24"/>
  <c r="F536" i="24"/>
  <c r="J396" i="24"/>
  <c r="J606" i="24"/>
  <c r="F606" i="24"/>
  <c r="J466" i="24"/>
  <c r="F361" i="24"/>
  <c r="J2078" i="24"/>
  <c r="J2043" i="24"/>
  <c r="J2008" i="24"/>
  <c r="F1938" i="24"/>
  <c r="J1868" i="24"/>
  <c r="F1833" i="24"/>
  <c r="F2078" i="24"/>
  <c r="F2043" i="24"/>
  <c r="F2008" i="24"/>
  <c r="F1693" i="24"/>
  <c r="F1028" i="24"/>
  <c r="F1973" i="24"/>
  <c r="F1343" i="24"/>
  <c r="F1273" i="24"/>
  <c r="J1903" i="24"/>
  <c r="F1868" i="24"/>
  <c r="F1203" i="24"/>
  <c r="J1168" i="24"/>
  <c r="J1798" i="24"/>
  <c r="J1728" i="24"/>
  <c r="J1658" i="24"/>
  <c r="F1623" i="24"/>
  <c r="J1518" i="24"/>
  <c r="F1483" i="24"/>
  <c r="F1903" i="24"/>
  <c r="J1763" i="24"/>
  <c r="F1168" i="24"/>
  <c r="F1063" i="24"/>
  <c r="F888" i="24"/>
  <c r="J1833" i="24"/>
  <c r="F1798" i="24"/>
  <c r="F1728" i="24"/>
  <c r="F1658" i="24"/>
  <c r="J1553" i="24"/>
  <c r="F1763" i="24"/>
  <c r="J1378" i="24"/>
  <c r="J1238" i="24"/>
  <c r="J1588" i="24"/>
  <c r="F1378" i="24"/>
  <c r="F1238" i="24"/>
  <c r="J1448" i="24"/>
  <c r="F923" i="24"/>
  <c r="J1483" i="24"/>
  <c r="J1413" i="24"/>
  <c r="F1448" i="24"/>
  <c r="J1098" i="24"/>
  <c r="J1063" i="24"/>
  <c r="F993" i="24"/>
  <c r="J1623" i="24"/>
  <c r="F1413" i="24"/>
  <c r="J1133" i="24"/>
  <c r="F1588" i="24"/>
  <c r="J1308" i="24"/>
  <c r="F1098" i="24"/>
  <c r="F1308" i="24"/>
  <c r="F1518" i="24"/>
  <c r="F1553" i="24"/>
  <c r="F853" i="24"/>
  <c r="F818" i="24"/>
  <c r="F678" i="24"/>
  <c r="J958" i="24"/>
  <c r="F643" i="24"/>
  <c r="F1133" i="24"/>
  <c r="J1028" i="24"/>
  <c r="J888" i="24"/>
  <c r="J783" i="24"/>
  <c r="F958" i="24"/>
  <c r="F783" i="24"/>
  <c r="J853" i="24"/>
  <c r="F748" i="24"/>
  <c r="J713" i="24"/>
  <c r="J748" i="24"/>
  <c r="F573" i="24"/>
  <c r="F468" i="24"/>
  <c r="J538" i="24"/>
  <c r="F433" i="24"/>
  <c r="F713" i="24"/>
  <c r="F538" i="24"/>
  <c r="J398" i="24"/>
  <c r="J643" i="24"/>
  <c r="F503" i="24"/>
  <c r="F398" i="24"/>
  <c r="F608" i="24"/>
  <c r="J468" i="24"/>
  <c r="F680" i="24"/>
  <c r="F645" i="24"/>
  <c r="F610" i="24"/>
  <c r="J715" i="24"/>
  <c r="J470" i="24"/>
  <c r="F365" i="24"/>
  <c r="F575" i="24"/>
  <c r="F470" i="24"/>
  <c r="J330" i="24"/>
  <c r="J540" i="24"/>
  <c r="F435" i="24"/>
  <c r="F330" i="24"/>
  <c r="F715" i="24"/>
  <c r="J610" i="24"/>
  <c r="F505" i="24"/>
  <c r="F400" i="24"/>
  <c r="F1207" i="24"/>
  <c r="J1942" i="24"/>
  <c r="J1837" i="24"/>
  <c r="F1802" i="24"/>
  <c r="F1102" i="24"/>
  <c r="F1067" i="24"/>
  <c r="F1697" i="24"/>
  <c r="F2047" i="24"/>
  <c r="F2012" i="24"/>
  <c r="F1382" i="24"/>
  <c r="F1277" i="24"/>
  <c r="F1242" i="24"/>
  <c r="F1942" i="24"/>
  <c r="J1872" i="24"/>
  <c r="J1627" i="24"/>
  <c r="F1592" i="24"/>
  <c r="J1487" i="24"/>
  <c r="J2012" i="24"/>
  <c r="F1977" i="24"/>
  <c r="J1172" i="24"/>
  <c r="J2047" i="24"/>
  <c r="J1907" i="24"/>
  <c r="F1872" i="24"/>
  <c r="J1732" i="24"/>
  <c r="J1662" i="24"/>
  <c r="F1627" i="24"/>
  <c r="F1172" i="24"/>
  <c r="F1907" i="24"/>
  <c r="J1802" i="24"/>
  <c r="J1767" i="24"/>
  <c r="F1732" i="24"/>
  <c r="F1662" i="24"/>
  <c r="J1557" i="24"/>
  <c r="J1382" i="24"/>
  <c r="J1242" i="24"/>
  <c r="J1592" i="24"/>
  <c r="J1522" i="24"/>
  <c r="F1312" i="24"/>
  <c r="J1032" i="24"/>
  <c r="J892" i="24"/>
  <c r="F857" i="24"/>
  <c r="F1557" i="24"/>
  <c r="F1347" i="24"/>
  <c r="F1522" i="24"/>
  <c r="J1452" i="24"/>
  <c r="F1032" i="24"/>
  <c r="F962" i="24"/>
  <c r="J1417" i="24"/>
  <c r="F1837" i="24"/>
  <c r="F1452" i="24"/>
  <c r="J1312" i="24"/>
  <c r="F1137" i="24"/>
  <c r="J1137" i="24"/>
  <c r="J1102" i="24"/>
  <c r="F997" i="24"/>
  <c r="F682" i="24"/>
  <c r="F1767" i="24"/>
  <c r="F752" i="24"/>
  <c r="F647" i="24"/>
  <c r="F822" i="24"/>
  <c r="F1487" i="24"/>
  <c r="F1417" i="24"/>
  <c r="F927" i="24"/>
  <c r="F787" i="24"/>
  <c r="F612" i="24"/>
  <c r="J822" i="24"/>
  <c r="J717" i="24"/>
  <c r="F892" i="24"/>
  <c r="F507" i="24"/>
  <c r="J612" i="24"/>
  <c r="J472" i="24"/>
  <c r="F717" i="24"/>
  <c r="F367" i="24"/>
  <c r="F577" i="24"/>
  <c r="F472" i="24"/>
  <c r="J542" i="24"/>
  <c r="J647" i="24"/>
  <c r="F542" i="24"/>
  <c r="J402" i="24"/>
  <c r="F1209" i="24"/>
  <c r="J1944" i="24"/>
  <c r="J1839" i="24"/>
  <c r="F1804" i="24"/>
  <c r="F1104" i="24"/>
  <c r="F1069" i="24"/>
  <c r="F1699" i="24"/>
  <c r="F1839" i="24"/>
  <c r="F1769" i="24"/>
  <c r="F1384" i="24"/>
  <c r="F1244" i="24"/>
  <c r="J1629" i="24"/>
  <c r="F1594" i="24"/>
  <c r="J1489" i="24"/>
  <c r="J1874" i="24"/>
  <c r="J1174" i="24"/>
  <c r="F1944" i="24"/>
  <c r="J1664" i="24"/>
  <c r="F1629" i="24"/>
  <c r="F1979" i="24"/>
  <c r="F1874" i="24"/>
  <c r="J1734" i="24"/>
  <c r="F1174" i="24"/>
  <c r="F1664" i="24"/>
  <c r="J1559" i="24"/>
  <c r="F1909" i="24"/>
  <c r="J1804" i="24"/>
  <c r="F1734" i="24"/>
  <c r="J1384" i="24"/>
  <c r="F1349" i="24"/>
  <c r="J1244" i="24"/>
  <c r="F1314" i="24"/>
  <c r="F1279" i="24"/>
  <c r="J894" i="24"/>
  <c r="F859" i="24"/>
  <c r="J1524" i="24"/>
  <c r="J1454" i="24"/>
  <c r="J1034" i="24"/>
  <c r="J964" i="24"/>
  <c r="J1594" i="24"/>
  <c r="F1524" i="24"/>
  <c r="J1419" i="24"/>
  <c r="F1559" i="24"/>
  <c r="F1454" i="24"/>
  <c r="F1034" i="24"/>
  <c r="F964" i="24"/>
  <c r="F1489" i="24"/>
  <c r="J1314" i="24"/>
  <c r="F1139" i="24"/>
  <c r="J1069" i="24"/>
  <c r="F1419" i="24"/>
  <c r="F684" i="24"/>
  <c r="J1139" i="24"/>
  <c r="F999" i="24"/>
  <c r="F754" i="24"/>
  <c r="F649" i="24"/>
  <c r="F824" i="24"/>
  <c r="F894" i="24"/>
  <c r="J1209" i="24"/>
  <c r="F789" i="24"/>
  <c r="F929" i="24"/>
  <c r="J824" i="24"/>
  <c r="F614" i="24"/>
  <c r="J719" i="24"/>
  <c r="J649" i="24"/>
  <c r="F509" i="24"/>
  <c r="F404" i="24"/>
  <c r="J474" i="24"/>
  <c r="J614" i="24"/>
  <c r="F369" i="24"/>
  <c r="F579" i="24"/>
  <c r="F474" i="24"/>
  <c r="J334" i="24"/>
  <c r="F719" i="24"/>
  <c r="F439" i="24"/>
  <c r="F334" i="24"/>
  <c r="F544" i="24"/>
  <c r="J404" i="24"/>
  <c r="F1211" i="24"/>
  <c r="J1946" i="24"/>
  <c r="J1841" i="24"/>
  <c r="F1806" i="24"/>
  <c r="F1106" i="24"/>
  <c r="F1071" i="24"/>
  <c r="F1701" i="24"/>
  <c r="F1386" i="24"/>
  <c r="F1246" i="24"/>
  <c r="F1841" i="24"/>
  <c r="F1771" i="24"/>
  <c r="J1631" i="24"/>
  <c r="F1596" i="24"/>
  <c r="J1491" i="24"/>
  <c r="J1176" i="24"/>
  <c r="J1876" i="24"/>
  <c r="J1666" i="24"/>
  <c r="F1631" i="24"/>
  <c r="F1176" i="24"/>
  <c r="F1946" i="24"/>
  <c r="J1911" i="24"/>
  <c r="F1876" i="24"/>
  <c r="J1736" i="24"/>
  <c r="F1666" i="24"/>
  <c r="J1561" i="24"/>
  <c r="J1386" i="24"/>
  <c r="F1281" i="24"/>
  <c r="J1246" i="24"/>
  <c r="F1351" i="24"/>
  <c r="F1316" i="24"/>
  <c r="J1106" i="24"/>
  <c r="J896" i="24"/>
  <c r="F861" i="24"/>
  <c r="J1806" i="24"/>
  <c r="F1911" i="24"/>
  <c r="J1526" i="24"/>
  <c r="J1456" i="24"/>
  <c r="J1771" i="24"/>
  <c r="J1421" i="24"/>
  <c r="F1526" i="24"/>
  <c r="F1456" i="24"/>
  <c r="J1036" i="24"/>
  <c r="J1596" i="24"/>
  <c r="J1316" i="24"/>
  <c r="F1036" i="24"/>
  <c r="F966" i="24"/>
  <c r="F1561" i="24"/>
  <c r="F1491" i="24"/>
  <c r="F1141" i="24"/>
  <c r="F896" i="24"/>
  <c r="F1736" i="24"/>
  <c r="F686" i="24"/>
  <c r="F756" i="24"/>
  <c r="F651" i="24"/>
  <c r="F1421" i="24"/>
  <c r="F826" i="24"/>
  <c r="F931" i="24"/>
  <c r="J1141" i="24"/>
  <c r="F1001" i="24"/>
  <c r="F791" i="24"/>
  <c r="F616" i="24"/>
  <c r="J826" i="24"/>
  <c r="J721" i="24"/>
  <c r="F721" i="24"/>
  <c r="F546" i="24"/>
  <c r="F511" i="24"/>
  <c r="F406" i="24"/>
  <c r="J651" i="24"/>
  <c r="J476" i="24"/>
  <c r="F371" i="24"/>
  <c r="J546" i="24"/>
  <c r="F441" i="24"/>
  <c r="F336" i="24"/>
  <c r="F618" i="24"/>
  <c r="F443" i="24"/>
  <c r="F548" i="24"/>
  <c r="J408" i="24"/>
  <c r="F513" i="24"/>
  <c r="F408" i="24"/>
  <c r="J478" i="24"/>
  <c r="F583" i="24"/>
  <c r="F478" i="24"/>
  <c r="J338" i="24"/>
  <c r="J618" i="24"/>
  <c r="J548" i="24"/>
  <c r="F1180" i="24"/>
  <c r="J1285" i="24"/>
  <c r="F1285" i="24"/>
  <c r="F1005" i="24"/>
  <c r="F1250" i="24"/>
  <c r="F1040" i="24"/>
  <c r="F970" i="24"/>
  <c r="F1145" i="24"/>
  <c r="J900" i="24"/>
  <c r="J1215" i="24"/>
  <c r="F1215" i="24"/>
  <c r="F1075" i="24"/>
  <c r="F830" i="24"/>
  <c r="J1040" i="24"/>
  <c r="J1005" i="24"/>
  <c r="F935" i="24"/>
  <c r="F690" i="24"/>
  <c r="F1110" i="24"/>
  <c r="F900" i="24"/>
  <c r="J865" i="24"/>
  <c r="J760" i="24"/>
  <c r="F655" i="24"/>
  <c r="J970" i="24"/>
  <c r="F865" i="24"/>
  <c r="F760" i="24"/>
  <c r="J795" i="24"/>
  <c r="F725" i="24"/>
  <c r="F795" i="24"/>
  <c r="J550" i="24"/>
  <c r="F445" i="24"/>
  <c r="F340" i="24"/>
  <c r="F620" i="24"/>
  <c r="F550" i="24"/>
  <c r="J410" i="24"/>
  <c r="J725" i="24"/>
  <c r="F515" i="24"/>
  <c r="F410" i="24"/>
  <c r="F375" i="24"/>
  <c r="F585" i="24"/>
  <c r="F480" i="24"/>
  <c r="J340" i="24"/>
  <c r="F692" i="24"/>
  <c r="J762" i="24"/>
  <c r="F657" i="24"/>
  <c r="F762" i="24"/>
  <c r="F727" i="24"/>
  <c r="J797" i="24"/>
  <c r="F797" i="24"/>
  <c r="F587" i="24"/>
  <c r="F482" i="24"/>
  <c r="J552" i="24"/>
  <c r="F447" i="24"/>
  <c r="F342" i="24"/>
  <c r="F622" i="24"/>
  <c r="F552" i="24"/>
  <c r="J412" i="24"/>
  <c r="J482" i="24"/>
  <c r="J727" i="24"/>
  <c r="F377" i="24"/>
  <c r="F1254" i="24"/>
  <c r="F1149" i="24"/>
  <c r="F1954" i="24"/>
  <c r="J1884" i="24"/>
  <c r="F1849" i="24"/>
  <c r="J1744" i="24"/>
  <c r="F1709" i="24"/>
  <c r="F1184" i="24"/>
  <c r="F1359" i="24"/>
  <c r="F1919" i="24"/>
  <c r="F2059" i="24"/>
  <c r="J1849" i="24"/>
  <c r="F1814" i="24"/>
  <c r="J1674" i="24"/>
  <c r="F1639" i="24"/>
  <c r="J1534" i="24"/>
  <c r="F1499" i="24"/>
  <c r="J1289" i="24"/>
  <c r="F1114" i="24"/>
  <c r="F1884" i="24"/>
  <c r="F1674" i="24"/>
  <c r="J1569" i="24"/>
  <c r="F1534" i="24"/>
  <c r="J1954" i="24"/>
  <c r="J1919" i="24"/>
  <c r="J1394" i="24"/>
  <c r="F1289" i="24"/>
  <c r="F974" i="24"/>
  <c r="J1779" i="24"/>
  <c r="F1744" i="24"/>
  <c r="J1604" i="24"/>
  <c r="F1569" i="24"/>
  <c r="F1989" i="24"/>
  <c r="F1394" i="24"/>
  <c r="J1639" i="24"/>
  <c r="J1464" i="24"/>
  <c r="F1219" i="24"/>
  <c r="F1079" i="24"/>
  <c r="J1429" i="24"/>
  <c r="J1044" i="24"/>
  <c r="J1009" i="24"/>
  <c r="F1464" i="24"/>
  <c r="F1429" i="24"/>
  <c r="F1044" i="24"/>
  <c r="F1009" i="24"/>
  <c r="F1779" i="24"/>
  <c r="J1324" i="24"/>
  <c r="F869" i="24"/>
  <c r="F2024" i="24"/>
  <c r="J1499" i="24"/>
  <c r="F1324" i="24"/>
  <c r="J1219" i="24"/>
  <c r="J1079" i="24"/>
  <c r="F1604" i="24"/>
  <c r="J869" i="24"/>
  <c r="F904" i="24"/>
  <c r="J834" i="24"/>
  <c r="J939" i="24"/>
  <c r="F834" i="24"/>
  <c r="F694" i="24"/>
  <c r="J764" i="24"/>
  <c r="J1254" i="24"/>
  <c r="F939" i="24"/>
  <c r="F659" i="24"/>
  <c r="F764" i="24"/>
  <c r="J904" i="24"/>
  <c r="F729" i="24"/>
  <c r="F589" i="24"/>
  <c r="F484" i="24"/>
  <c r="J344" i="24"/>
  <c r="J729" i="24"/>
  <c r="J554" i="24"/>
  <c r="F449" i="24"/>
  <c r="F344" i="24"/>
  <c r="F799" i="24"/>
  <c r="F624" i="24"/>
  <c r="F554" i="24"/>
  <c r="J414" i="24"/>
  <c r="F519" i="24"/>
  <c r="F414" i="24"/>
  <c r="J484" i="24"/>
  <c r="F1326" i="24"/>
  <c r="F1396" i="24"/>
  <c r="F1291" i="24"/>
  <c r="J1256" i="24"/>
  <c r="J1361" i="24"/>
  <c r="F1256" i="24"/>
  <c r="F1221" i="24"/>
  <c r="F1361" i="24"/>
  <c r="F1081" i="24"/>
  <c r="F976" i="24"/>
  <c r="J1186" i="24"/>
  <c r="J1151" i="24"/>
  <c r="J1046" i="24"/>
  <c r="J1011" i="24"/>
  <c r="F1186" i="24"/>
  <c r="F1151" i="24"/>
  <c r="J1116" i="24"/>
  <c r="F1046" i="24"/>
  <c r="F1011" i="24"/>
  <c r="F1116" i="24"/>
  <c r="F871" i="24"/>
  <c r="J1326" i="24"/>
  <c r="J906" i="24"/>
  <c r="J836" i="24"/>
  <c r="F836" i="24"/>
  <c r="F801" i="24"/>
  <c r="F696" i="24"/>
  <c r="J941" i="24"/>
  <c r="J766" i="24"/>
  <c r="F661" i="24"/>
  <c r="F941" i="24"/>
  <c r="F766" i="24"/>
  <c r="F731" i="24"/>
  <c r="F906" i="24"/>
  <c r="J486" i="24"/>
  <c r="F381" i="24"/>
  <c r="F591" i="24"/>
  <c r="F486" i="24"/>
  <c r="J346" i="24"/>
  <c r="J556" i="24"/>
  <c r="F451" i="24"/>
  <c r="F346" i="24"/>
  <c r="J731" i="24"/>
  <c r="F521" i="24"/>
  <c r="F416" i="24"/>
  <c r="F1328" i="24"/>
  <c r="F1293" i="24"/>
  <c r="J1258" i="24"/>
  <c r="J1363" i="24"/>
  <c r="F1258" i="24"/>
  <c r="F873" i="24"/>
  <c r="F1363" i="24"/>
  <c r="F1083" i="24"/>
  <c r="F978" i="24"/>
  <c r="J1188" i="24"/>
  <c r="J1153" i="24"/>
  <c r="J1048" i="24"/>
  <c r="J1013" i="24"/>
  <c r="F1188" i="24"/>
  <c r="F1153" i="24"/>
  <c r="J1118" i="24"/>
  <c r="F1048" i="24"/>
  <c r="F1013" i="24"/>
  <c r="F1118" i="24"/>
  <c r="J908" i="24"/>
  <c r="J838" i="24"/>
  <c r="F908" i="24"/>
  <c r="F838" i="24"/>
  <c r="F698" i="24"/>
  <c r="F803" i="24"/>
  <c r="J768" i="24"/>
  <c r="F1223" i="24"/>
  <c r="J943" i="24"/>
  <c r="F663" i="24"/>
  <c r="J873" i="24"/>
  <c r="F768" i="24"/>
  <c r="F943" i="24"/>
  <c r="J733" i="24"/>
  <c r="F733" i="24"/>
  <c r="F523" i="24"/>
  <c r="J488" i="24"/>
  <c r="F383" i="24"/>
  <c r="F593" i="24"/>
  <c r="F488" i="24"/>
  <c r="J348" i="24"/>
  <c r="J558" i="24"/>
  <c r="F628" i="24"/>
  <c r="F558" i="24"/>
  <c r="J418" i="24"/>
  <c r="F700" i="24"/>
  <c r="F665" i="24"/>
  <c r="F525" i="24"/>
  <c r="F420" i="24"/>
  <c r="J490" i="24"/>
  <c r="F385" i="24"/>
  <c r="F595" i="24"/>
  <c r="F490" i="24"/>
  <c r="J350" i="24"/>
  <c r="F455" i="24"/>
  <c r="F350" i="24"/>
  <c r="F630" i="24"/>
  <c r="F560" i="24"/>
  <c r="J420" i="24"/>
  <c r="J842" i="24"/>
  <c r="F702" i="24"/>
  <c r="J912" i="24"/>
  <c r="F737" i="24"/>
  <c r="F842" i="24"/>
  <c r="F667" i="24"/>
  <c r="F912" i="24"/>
  <c r="J772" i="24"/>
  <c r="F807" i="24"/>
  <c r="F632" i="24"/>
  <c r="F877" i="24"/>
  <c r="J737" i="24"/>
  <c r="F772" i="24"/>
  <c r="F562" i="24"/>
  <c r="F527" i="24"/>
  <c r="F422" i="24"/>
  <c r="J492" i="24"/>
  <c r="F387" i="24"/>
  <c r="J562" i="24"/>
  <c r="F457" i="24"/>
  <c r="F352" i="24"/>
  <c r="F1999" i="24"/>
  <c r="J1964" i="24"/>
  <c r="F1684" i="24"/>
  <c r="F1404" i="24"/>
  <c r="F1369" i="24"/>
  <c r="J1894" i="24"/>
  <c r="F1859" i="24"/>
  <c r="J1754" i="24"/>
  <c r="F1964" i="24"/>
  <c r="F1124" i="24"/>
  <c r="F1089" i="24"/>
  <c r="F1054" i="24"/>
  <c r="F1264" i="24"/>
  <c r="F1159" i="24"/>
  <c r="F1824" i="24"/>
  <c r="F1649" i="24"/>
  <c r="F1509" i="24"/>
  <c r="J1859" i="24"/>
  <c r="F1544" i="24"/>
  <c r="F1579" i="24"/>
  <c r="F1439" i="24"/>
  <c r="F1194" i="24"/>
  <c r="F1894" i="24"/>
  <c r="J1789" i="24"/>
  <c r="J1719" i="24"/>
  <c r="F1614" i="24"/>
  <c r="F1474" i="24"/>
  <c r="F1299" i="24"/>
  <c r="F879" i="24"/>
  <c r="F1754" i="24"/>
  <c r="F1719" i="24"/>
  <c r="F1334" i="24"/>
  <c r="J1229" i="24"/>
  <c r="J984" i="24"/>
  <c r="J1404" i="24"/>
  <c r="F1229" i="24"/>
  <c r="F984" i="24"/>
  <c r="F949" i="24"/>
  <c r="J1999" i="24"/>
  <c r="F1929" i="24"/>
  <c r="F1789" i="24"/>
  <c r="J1334" i="24"/>
  <c r="J1124" i="24"/>
  <c r="J1089" i="24"/>
  <c r="J1054" i="24"/>
  <c r="F1019" i="24"/>
  <c r="F809" i="24"/>
  <c r="J844" i="24"/>
  <c r="F704" i="24"/>
  <c r="F739" i="24"/>
  <c r="J1019" i="24"/>
  <c r="J914" i="24"/>
  <c r="F844" i="24"/>
  <c r="F669" i="24"/>
  <c r="J774" i="24"/>
  <c r="F914" i="24"/>
  <c r="F634" i="24"/>
  <c r="F774" i="24"/>
  <c r="J739" i="24"/>
  <c r="F459" i="24"/>
  <c r="F564" i="24"/>
  <c r="J424" i="24"/>
  <c r="F529" i="24"/>
  <c r="F424" i="24"/>
  <c r="J494" i="24"/>
  <c r="F599" i="24"/>
  <c r="F494" i="24"/>
  <c r="J354" i="24"/>
  <c r="J564" i="24"/>
  <c r="F2526" i="24"/>
  <c r="J2316" i="24"/>
  <c r="F2246" i="24"/>
  <c r="F1826" i="24"/>
  <c r="F1651" i="24"/>
  <c r="F1616" i="24"/>
  <c r="F1581" i="24"/>
  <c r="F1546" i="24"/>
  <c r="F1511" i="24"/>
  <c r="F1476" i="24"/>
  <c r="F1441" i="24"/>
  <c r="F2421" i="24"/>
  <c r="F2176" i="24"/>
  <c r="J2106" i="24"/>
  <c r="F2071" i="24"/>
  <c r="F2036" i="24"/>
  <c r="F2001" i="24"/>
  <c r="J1966" i="24"/>
  <c r="F2316" i="24"/>
  <c r="F1861" i="24"/>
  <c r="F1721" i="24"/>
  <c r="F1126" i="24"/>
  <c r="F1091" i="24"/>
  <c r="F1056" i="24"/>
  <c r="F2491" i="24"/>
  <c r="F2386" i="24"/>
  <c r="F2211" i="24"/>
  <c r="F1896" i="24"/>
  <c r="F1756" i="24"/>
  <c r="F1336" i="24"/>
  <c r="F1266" i="24"/>
  <c r="F1161" i="24"/>
  <c r="F2281" i="24"/>
  <c r="F2456" i="24"/>
  <c r="F2351" i="24"/>
  <c r="F1791" i="24"/>
  <c r="J1406" i="24"/>
  <c r="J2001" i="24"/>
  <c r="F1931" i="24"/>
  <c r="J2036" i="24"/>
  <c r="F1966" i="24"/>
  <c r="F1406" i="24"/>
  <c r="J2071" i="24"/>
  <c r="J1686" i="24"/>
  <c r="J2176" i="24"/>
  <c r="F1686" i="24"/>
  <c r="F2141" i="24"/>
  <c r="F2106" i="24"/>
  <c r="F1301" i="24"/>
  <c r="J1056" i="24"/>
  <c r="J1231" i="24"/>
  <c r="J986" i="24"/>
  <c r="J1371" i="24"/>
  <c r="J1091" i="24"/>
  <c r="J2421" i="24"/>
  <c r="F1231" i="24"/>
  <c r="F1196" i="24"/>
  <c r="F986" i="24"/>
  <c r="F1371" i="24"/>
  <c r="F1021" i="24"/>
  <c r="J1021" i="24"/>
  <c r="F916" i="24"/>
  <c r="F951" i="24"/>
  <c r="J846" i="24"/>
  <c r="F811" i="24"/>
  <c r="F706" i="24"/>
  <c r="F741" i="24"/>
  <c r="F846" i="24"/>
  <c r="F671" i="24"/>
  <c r="J916" i="24"/>
  <c r="F881" i="24"/>
  <c r="J776" i="24"/>
  <c r="F636" i="24"/>
  <c r="J741" i="24"/>
  <c r="F776" i="24"/>
  <c r="J566" i="24"/>
  <c r="F461" i="24"/>
  <c r="F356" i="24"/>
  <c r="F566" i="24"/>
  <c r="J426" i="24"/>
  <c r="F531" i="24"/>
  <c r="F426" i="24"/>
  <c r="F391" i="24"/>
  <c r="F601" i="24"/>
  <c r="F496" i="24"/>
  <c r="J356" i="24"/>
  <c r="J223" i="24"/>
  <c r="F225" i="24"/>
  <c r="J228" i="24"/>
  <c r="K230" i="24"/>
  <c r="F232" i="24"/>
  <c r="J235" i="24"/>
  <c r="J239" i="24"/>
  <c r="F241" i="24"/>
  <c r="F243" i="24"/>
  <c r="F245" i="24"/>
  <c r="J248" i="24"/>
  <c r="F337" i="24"/>
  <c r="J343" i="24"/>
  <c r="F347" i="24"/>
  <c r="F357" i="24"/>
  <c r="F370" i="24"/>
  <c r="F380" i="24"/>
  <c r="J400" i="24"/>
  <c r="F434" i="24"/>
  <c r="J448" i="24"/>
  <c r="F485" i="24"/>
  <c r="J503" i="24"/>
  <c r="F565" i="24"/>
  <c r="J583" i="24"/>
  <c r="F33" i="24"/>
  <c r="F35" i="24"/>
  <c r="F37" i="24"/>
  <c r="F39" i="24"/>
  <c r="F41" i="24"/>
  <c r="F883" i="24"/>
  <c r="F778" i="24"/>
  <c r="F813" i="24"/>
  <c r="F743" i="24"/>
  <c r="F673" i="24"/>
  <c r="J883" i="24"/>
  <c r="F848" i="24"/>
  <c r="F638" i="24"/>
  <c r="J708" i="24"/>
  <c r="F708" i="24"/>
  <c r="J813" i="24"/>
  <c r="F603" i="24"/>
  <c r="F498" i="24"/>
  <c r="J568" i="24"/>
  <c r="F463" i="24"/>
  <c r="F358" i="24"/>
  <c r="F568" i="24"/>
  <c r="J428" i="24"/>
  <c r="J498" i="24"/>
  <c r="F393" i="24"/>
  <c r="J220" i="24"/>
  <c r="F222" i="24"/>
  <c r="J230" i="24"/>
  <c r="F238" i="24"/>
  <c r="K239" i="24"/>
  <c r="K245" i="24"/>
  <c r="F247" i="24"/>
  <c r="K250" i="24"/>
  <c r="J252" i="24"/>
  <c r="J254" i="24"/>
  <c r="J256" i="24"/>
  <c r="J258" i="24"/>
  <c r="J260" i="24"/>
  <c r="J262" i="24"/>
  <c r="J264" i="24"/>
  <c r="J266" i="24"/>
  <c r="J268" i="24"/>
  <c r="J270" i="24"/>
  <c r="J272" i="24"/>
  <c r="J274" i="24"/>
  <c r="J276" i="24"/>
  <c r="J278" i="24"/>
  <c r="J280" i="24"/>
  <c r="J282" i="24"/>
  <c r="J284" i="24"/>
  <c r="J286" i="24"/>
  <c r="J288" i="24"/>
  <c r="J290" i="24"/>
  <c r="J292" i="24"/>
  <c r="J294" i="24"/>
  <c r="J296" i="24"/>
  <c r="J298" i="24"/>
  <c r="J300" i="24"/>
  <c r="J302" i="24"/>
  <c r="J304" i="24"/>
  <c r="J306" i="24"/>
  <c r="J308" i="24"/>
  <c r="J310" i="24"/>
  <c r="J312" i="24"/>
  <c r="J314" i="24"/>
  <c r="J316" i="24"/>
  <c r="J318" i="24"/>
  <c r="J320" i="24"/>
  <c r="J322" i="24"/>
  <c r="J324" i="24"/>
  <c r="J326" i="24"/>
  <c r="J328" i="24"/>
  <c r="F354" i="24"/>
  <c r="J390" i="24"/>
  <c r="J397" i="24"/>
  <c r="J407" i="24"/>
  <c r="F411" i="24"/>
  <c r="F421" i="24"/>
  <c r="F460" i="24"/>
  <c r="J496" i="24"/>
  <c r="F533" i="24"/>
  <c r="F540" i="24"/>
  <c r="J616" i="24"/>
  <c r="F109" i="24"/>
  <c r="F111" i="24"/>
  <c r="F121" i="24"/>
  <c r="F123" i="24"/>
  <c r="F125" i="24"/>
  <c r="F127" i="24"/>
  <c r="F129" i="24"/>
  <c r="F131" i="24"/>
  <c r="F133" i="24"/>
  <c r="F135" i="24"/>
  <c r="F137" i="24"/>
  <c r="F139" i="24"/>
  <c r="F141" i="24"/>
  <c r="F143" i="24"/>
  <c r="F145" i="24"/>
  <c r="F147" i="24"/>
  <c r="F149" i="24"/>
  <c r="F151" i="24"/>
  <c r="F153" i="24"/>
  <c r="F155" i="24"/>
  <c r="F157" i="24"/>
  <c r="F159" i="24"/>
  <c r="F161" i="24"/>
  <c r="F163" i="24"/>
  <c r="F165" i="24"/>
  <c r="F167" i="24"/>
  <c r="F169" i="24"/>
  <c r="F171" i="24"/>
  <c r="F173" i="24"/>
  <c r="F175" i="24"/>
  <c r="F177" i="24"/>
  <c r="F179" i="24"/>
  <c r="F181" i="24"/>
  <c r="F183" i="24"/>
  <c r="F185" i="24"/>
  <c r="F187" i="24"/>
  <c r="F189" i="24"/>
  <c r="F191" i="24"/>
  <c r="F193" i="24"/>
  <c r="F195" i="24"/>
  <c r="F197" i="24"/>
  <c r="F199" i="24"/>
  <c r="F201" i="24"/>
  <c r="F203" i="24"/>
  <c r="F209" i="24"/>
  <c r="F217" i="24"/>
  <c r="F219" i="24"/>
  <c r="F227" i="24"/>
  <c r="F234" i="24"/>
  <c r="J245" i="24"/>
  <c r="F332" i="24"/>
  <c r="F418" i="24"/>
  <c r="F428" i="24"/>
  <c r="F453" i="24"/>
  <c r="J471" i="24"/>
  <c r="J551" i="24"/>
  <c r="J631" i="24"/>
  <c r="F231" i="24"/>
  <c r="K232" i="24"/>
  <c r="J234" i="24"/>
  <c r="J236" i="24"/>
  <c r="J238" i="24"/>
  <c r="F240" i="24"/>
  <c r="K241" i="24"/>
  <c r="K243" i="24"/>
  <c r="J247" i="24"/>
  <c r="F249" i="24"/>
  <c r="F251" i="24"/>
  <c r="F253" i="24"/>
  <c r="F259" i="24"/>
  <c r="F287" i="24"/>
  <c r="F291" i="24"/>
  <c r="F323" i="24"/>
  <c r="F325" i="24"/>
  <c r="J335" i="24"/>
  <c r="F338" i="24"/>
  <c r="F348" i="24"/>
  <c r="J381" i="24"/>
  <c r="J391" i="24"/>
  <c r="J464" i="24"/>
  <c r="F501" i="24"/>
  <c r="J519" i="24"/>
  <c r="J544" i="24"/>
  <c r="F581" i="24"/>
  <c r="J599" i="24"/>
  <c r="G13" i="23"/>
  <c r="J2355" i="24"/>
  <c r="F2285" i="24"/>
  <c r="F2460" i="24"/>
  <c r="F2145" i="24"/>
  <c r="J1830" i="24"/>
  <c r="F1795" i="24"/>
  <c r="F2355" i="24"/>
  <c r="F1935" i="24"/>
  <c r="F1305" i="24"/>
  <c r="F2250" i="24"/>
  <c r="F2425" i="24"/>
  <c r="F2180" i="24"/>
  <c r="F2075" i="24"/>
  <c r="F2040" i="24"/>
  <c r="F2005" i="24"/>
  <c r="F1690" i="24"/>
  <c r="F1410" i="24"/>
  <c r="F1375" i="24"/>
  <c r="F1235" i="24"/>
  <c r="F2320" i="24"/>
  <c r="J1865" i="24"/>
  <c r="J2145" i="24"/>
  <c r="J1620" i="24"/>
  <c r="F1585" i="24"/>
  <c r="J1480" i="24"/>
  <c r="F2110" i="24"/>
  <c r="F1865" i="24"/>
  <c r="F1165" i="24"/>
  <c r="F1130" i="24"/>
  <c r="F955" i="24"/>
  <c r="J2460" i="24"/>
  <c r="J1795" i="24"/>
  <c r="J1725" i="24"/>
  <c r="J1655" i="24"/>
  <c r="F1620" i="24"/>
  <c r="F2495" i="24"/>
  <c r="F2215" i="24"/>
  <c r="F1900" i="24"/>
  <c r="F1060" i="24"/>
  <c r="F2390" i="24"/>
  <c r="F1830" i="24"/>
  <c r="F1725" i="24"/>
  <c r="F1655" i="24"/>
  <c r="F1970" i="24"/>
  <c r="F1760" i="24"/>
  <c r="F1270" i="24"/>
  <c r="F1515" i="24"/>
  <c r="F1025" i="24"/>
  <c r="J1445" i="24"/>
  <c r="F1480" i="24"/>
  <c r="F920" i="24"/>
  <c r="J1585" i="24"/>
  <c r="F1445" i="24"/>
  <c r="F1095" i="24"/>
  <c r="F1550" i="24"/>
  <c r="J1515" i="24"/>
  <c r="F1340" i="24"/>
  <c r="F1200" i="24"/>
  <c r="J1025" i="24"/>
  <c r="J1550" i="24"/>
  <c r="J1340" i="24"/>
  <c r="F885" i="24"/>
  <c r="J920" i="24"/>
  <c r="F850" i="24"/>
  <c r="F780" i="24"/>
  <c r="F815" i="24"/>
  <c r="J1200" i="24"/>
  <c r="J955" i="24"/>
  <c r="F745" i="24"/>
  <c r="F675" i="24"/>
  <c r="J885" i="24"/>
  <c r="F640" i="24"/>
  <c r="F990" i="24"/>
  <c r="J710" i="24"/>
  <c r="F710" i="24"/>
  <c r="F605" i="24"/>
  <c r="F500" i="24"/>
  <c r="J360" i="24"/>
  <c r="J570" i="24"/>
  <c r="F465" i="24"/>
  <c r="F360" i="24"/>
  <c r="F570" i="24"/>
  <c r="J430" i="24"/>
  <c r="F535" i="24"/>
  <c r="F430" i="24"/>
  <c r="J815" i="24"/>
  <c r="J500" i="24"/>
  <c r="F677" i="24"/>
  <c r="F642" i="24"/>
  <c r="J712" i="24"/>
  <c r="F712" i="24"/>
  <c r="J502" i="24"/>
  <c r="F397" i="24"/>
  <c r="F607" i="24"/>
  <c r="F502" i="24"/>
  <c r="J362" i="24"/>
  <c r="J572" i="24"/>
  <c r="F467" i="24"/>
  <c r="F432" i="24"/>
  <c r="F1344" i="24"/>
  <c r="F1274" i="24"/>
  <c r="F1904" i="24"/>
  <c r="J1799" i="24"/>
  <c r="F1764" i="24"/>
  <c r="F1204" i="24"/>
  <c r="J1379" i="24"/>
  <c r="J1239" i="24"/>
  <c r="F1834" i="24"/>
  <c r="J1589" i="24"/>
  <c r="F1554" i="24"/>
  <c r="F1379" i="24"/>
  <c r="F1239" i="24"/>
  <c r="F994" i="24"/>
  <c r="J1869" i="24"/>
  <c r="J1624" i="24"/>
  <c r="F1589" i="24"/>
  <c r="J1904" i="24"/>
  <c r="F1869" i="24"/>
  <c r="J1729" i="24"/>
  <c r="J1659" i="24"/>
  <c r="F1624" i="24"/>
  <c r="F1694" i="24"/>
  <c r="J1309" i="24"/>
  <c r="F1099" i="24"/>
  <c r="F1064" i="24"/>
  <c r="J1554" i="24"/>
  <c r="J1344" i="24"/>
  <c r="F1134" i="24"/>
  <c r="J1029" i="24"/>
  <c r="J959" i="24"/>
  <c r="F1659" i="24"/>
  <c r="J1519" i="24"/>
  <c r="F1309" i="24"/>
  <c r="F1799" i="24"/>
  <c r="F1029" i="24"/>
  <c r="F959" i="24"/>
  <c r="J889" i="24"/>
  <c r="J1834" i="24"/>
  <c r="F1519" i="24"/>
  <c r="J1449" i="24"/>
  <c r="F924" i="24"/>
  <c r="F1729" i="24"/>
  <c r="F1449" i="24"/>
  <c r="F1169" i="24"/>
  <c r="J1099" i="24"/>
  <c r="F819" i="24"/>
  <c r="F1484" i="24"/>
  <c r="F1414" i="24"/>
  <c r="J1134" i="24"/>
  <c r="J1764" i="24"/>
  <c r="J749" i="24"/>
  <c r="J1484" i="24"/>
  <c r="F854" i="24"/>
  <c r="F679" i="24"/>
  <c r="J1414" i="24"/>
  <c r="F749" i="24"/>
  <c r="F644" i="24"/>
  <c r="J714" i="24"/>
  <c r="F714" i="24"/>
  <c r="J784" i="24"/>
  <c r="F889" i="24"/>
  <c r="F539" i="24"/>
  <c r="J504" i="24"/>
  <c r="F399" i="24"/>
  <c r="F609" i="24"/>
  <c r="F504" i="24"/>
  <c r="J364" i="24"/>
  <c r="J574" i="24"/>
  <c r="F574" i="24"/>
  <c r="J434" i="24"/>
  <c r="F784" i="24"/>
  <c r="F329" i="24"/>
  <c r="F1031" i="24"/>
  <c r="F961" i="24"/>
  <c r="J1066" i="24"/>
  <c r="F1101" i="24"/>
  <c r="F996" i="24"/>
  <c r="F1066" i="24"/>
  <c r="F856" i="24"/>
  <c r="F926" i="24"/>
  <c r="F891" i="24"/>
  <c r="J996" i="24"/>
  <c r="F821" i="24"/>
  <c r="F786" i="24"/>
  <c r="F681" i="24"/>
  <c r="J821" i="24"/>
  <c r="F751" i="24"/>
  <c r="F646" i="24"/>
  <c r="J716" i="24"/>
  <c r="F716" i="24"/>
  <c r="F541" i="24"/>
  <c r="F436" i="24"/>
  <c r="J506" i="24"/>
  <c r="F401" i="24"/>
  <c r="F506" i="24"/>
  <c r="J366" i="24"/>
  <c r="F471" i="24"/>
  <c r="F366" i="24"/>
  <c r="F576" i="24"/>
  <c r="J436" i="24"/>
  <c r="F2153" i="24"/>
  <c r="J2083" i="24"/>
  <c r="F1698" i="24"/>
  <c r="F2048" i="24"/>
  <c r="F2013" i="24"/>
  <c r="J1978" i="24"/>
  <c r="J1908" i="24"/>
  <c r="F1873" i="24"/>
  <c r="J1768" i="24"/>
  <c r="F1733" i="24"/>
  <c r="F2083" i="24"/>
  <c r="F1348" i="24"/>
  <c r="F1278" i="24"/>
  <c r="F2188" i="24"/>
  <c r="F1208" i="24"/>
  <c r="F2118" i="24"/>
  <c r="J2048" i="24"/>
  <c r="J1733" i="24"/>
  <c r="F1173" i="24"/>
  <c r="J2153" i="24"/>
  <c r="J2118" i="24"/>
  <c r="F1908" i="24"/>
  <c r="J1803" i="24"/>
  <c r="F1663" i="24"/>
  <c r="J1558" i="24"/>
  <c r="F1523" i="24"/>
  <c r="F1803" i="24"/>
  <c r="F1768" i="24"/>
  <c r="J1593" i="24"/>
  <c r="F1558" i="24"/>
  <c r="F1838" i="24"/>
  <c r="F1383" i="24"/>
  <c r="F1243" i="24"/>
  <c r="F1033" i="24"/>
  <c r="F963" i="24"/>
  <c r="J1628" i="24"/>
  <c r="F1593" i="24"/>
  <c r="F1943" i="24"/>
  <c r="J1873" i="24"/>
  <c r="J1488" i="24"/>
  <c r="F1453" i="24"/>
  <c r="F1978" i="24"/>
  <c r="F1418" i="24"/>
  <c r="F998" i="24"/>
  <c r="F1488" i="24"/>
  <c r="J1313" i="24"/>
  <c r="J1173" i="24"/>
  <c r="J1068" i="24"/>
  <c r="F1138" i="24"/>
  <c r="F1103" i="24"/>
  <c r="F1313" i="24"/>
  <c r="F1068" i="24"/>
  <c r="F858" i="24"/>
  <c r="J2013" i="24"/>
  <c r="J1663" i="24"/>
  <c r="J1453" i="24"/>
  <c r="F928" i="24"/>
  <c r="F893" i="24"/>
  <c r="F1628" i="24"/>
  <c r="J1418" i="24"/>
  <c r="J998" i="24"/>
  <c r="J858" i="24"/>
  <c r="F823" i="24"/>
  <c r="F788" i="24"/>
  <c r="F683" i="24"/>
  <c r="J823" i="24"/>
  <c r="J1523" i="24"/>
  <c r="F753" i="24"/>
  <c r="F648" i="24"/>
  <c r="J718" i="24"/>
  <c r="F228" i="24"/>
  <c r="F718" i="24"/>
  <c r="F578" i="24"/>
  <c r="J438" i="24"/>
  <c r="F543" i="24"/>
  <c r="F438" i="24"/>
  <c r="J508" i="24"/>
  <c r="F403" i="24"/>
  <c r="J578" i="24"/>
  <c r="F613" i="24"/>
  <c r="F473" i="24"/>
  <c r="F368" i="24"/>
  <c r="F1700" i="24"/>
  <c r="J1910" i="24"/>
  <c r="F1875" i="24"/>
  <c r="J1770" i="24"/>
  <c r="F1735" i="24"/>
  <c r="F1350" i="24"/>
  <c r="F1280" i="24"/>
  <c r="F1210" i="24"/>
  <c r="F1945" i="24"/>
  <c r="F1175" i="24"/>
  <c r="J1735" i="24"/>
  <c r="F1665" i="24"/>
  <c r="J1560" i="24"/>
  <c r="F1525" i="24"/>
  <c r="F1910" i="24"/>
  <c r="J1805" i="24"/>
  <c r="J1840" i="24"/>
  <c r="J1595" i="24"/>
  <c r="F1560" i="24"/>
  <c r="F1805" i="24"/>
  <c r="F1770" i="24"/>
  <c r="F1385" i="24"/>
  <c r="F1245" i="24"/>
  <c r="F1035" i="24"/>
  <c r="F965" i="24"/>
  <c r="F1840" i="24"/>
  <c r="J1700" i="24"/>
  <c r="J1630" i="24"/>
  <c r="F1595" i="24"/>
  <c r="J1175" i="24"/>
  <c r="J1875" i="24"/>
  <c r="F1455" i="24"/>
  <c r="J1665" i="24"/>
  <c r="J1490" i="24"/>
  <c r="F1420" i="24"/>
  <c r="F1000" i="24"/>
  <c r="F1630" i="24"/>
  <c r="J1315" i="24"/>
  <c r="F1490" i="24"/>
  <c r="F1140" i="24"/>
  <c r="F1315" i="24"/>
  <c r="F860" i="24"/>
  <c r="J1525" i="24"/>
  <c r="J1455" i="24"/>
  <c r="F930" i="24"/>
  <c r="F895" i="24"/>
  <c r="J1420" i="24"/>
  <c r="J1000" i="24"/>
  <c r="F825" i="24"/>
  <c r="F1105" i="24"/>
  <c r="F790" i="24"/>
  <c r="F685" i="24"/>
  <c r="J825" i="24"/>
  <c r="F1070" i="24"/>
  <c r="F755" i="24"/>
  <c r="F650" i="24"/>
  <c r="J720" i="24"/>
  <c r="F720" i="24"/>
  <c r="F475" i="24"/>
  <c r="F615" i="24"/>
  <c r="F580" i="24"/>
  <c r="J440" i="24"/>
  <c r="F335" i="24"/>
  <c r="F545" i="24"/>
  <c r="F440" i="24"/>
  <c r="J510" i="24"/>
  <c r="F510" i="24"/>
  <c r="J370" i="24"/>
  <c r="J580" i="24"/>
  <c r="F687" i="24"/>
  <c r="F652" i="24"/>
  <c r="J722" i="24"/>
  <c r="F722" i="24"/>
  <c r="J582" i="24"/>
  <c r="F477" i="24"/>
  <c r="F372" i="24"/>
  <c r="F582" i="24"/>
  <c r="J442" i="24"/>
  <c r="F617" i="24"/>
  <c r="F547" i="24"/>
  <c r="F442" i="24"/>
  <c r="F407" i="24"/>
  <c r="F512" i="24"/>
  <c r="J372" i="24"/>
  <c r="F514" i="24"/>
  <c r="J584" i="24"/>
  <c r="F479" i="24"/>
  <c r="F374" i="24"/>
  <c r="F584" i="24"/>
  <c r="J444" i="24"/>
  <c r="F339" i="24"/>
  <c r="J514" i="24"/>
  <c r="F409" i="24"/>
  <c r="J2196" i="24"/>
  <c r="F2056" i="24"/>
  <c r="F2021" i="24"/>
  <c r="F2091" i="24"/>
  <c r="F1986" i="24"/>
  <c r="J1951" i="24"/>
  <c r="J1846" i="24"/>
  <c r="F1811" i="24"/>
  <c r="F2196" i="24"/>
  <c r="F1251" i="24"/>
  <c r="F1146" i="24"/>
  <c r="F1041" i="24"/>
  <c r="F2126" i="24"/>
  <c r="F1706" i="24"/>
  <c r="F1181" i="24"/>
  <c r="J1811" i="24"/>
  <c r="F1391" i="24"/>
  <c r="F1776" i="24"/>
  <c r="J1636" i="24"/>
  <c r="F1601" i="24"/>
  <c r="J1496" i="24"/>
  <c r="F2161" i="24"/>
  <c r="J2091" i="24"/>
  <c r="F1846" i="24"/>
  <c r="F1356" i="24"/>
  <c r="F901" i="24"/>
  <c r="J1881" i="24"/>
  <c r="J1671" i="24"/>
  <c r="F1636" i="24"/>
  <c r="F2231" i="24"/>
  <c r="J1286" i="24"/>
  <c r="F1111" i="24"/>
  <c r="J1916" i="24"/>
  <c r="F1881" i="24"/>
  <c r="J1741" i="24"/>
  <c r="F1671" i="24"/>
  <c r="J1566" i="24"/>
  <c r="J1986" i="24"/>
  <c r="F1951" i="24"/>
  <c r="J1391" i="24"/>
  <c r="F1286" i="24"/>
  <c r="F1566" i="24"/>
  <c r="F1496" i="24"/>
  <c r="F1321" i="24"/>
  <c r="J1216" i="24"/>
  <c r="J1076" i="24"/>
  <c r="J1531" i="24"/>
  <c r="J1461" i="24"/>
  <c r="F1216" i="24"/>
  <c r="F1076" i="24"/>
  <c r="F1916" i="24"/>
  <c r="J1426" i="24"/>
  <c r="J1776" i="24"/>
  <c r="F1531" i="24"/>
  <c r="F1461" i="24"/>
  <c r="J2021" i="24"/>
  <c r="F1741" i="24"/>
  <c r="J1321" i="24"/>
  <c r="J1601" i="24"/>
  <c r="F1006" i="24"/>
  <c r="J866" i="24"/>
  <c r="F971" i="24"/>
  <c r="J796" i="24"/>
  <c r="F1426" i="24"/>
  <c r="F831" i="24"/>
  <c r="F936" i="24"/>
  <c r="F796" i="24"/>
  <c r="F691" i="24"/>
  <c r="F866" i="24"/>
  <c r="F761" i="24"/>
  <c r="F236" i="24"/>
  <c r="J726" i="24"/>
  <c r="F726" i="24"/>
  <c r="J761" i="24"/>
  <c r="F516" i="24"/>
  <c r="J376" i="24"/>
  <c r="J586" i="24"/>
  <c r="F481" i="24"/>
  <c r="F376" i="24"/>
  <c r="F586" i="24"/>
  <c r="J446" i="24"/>
  <c r="F551" i="24"/>
  <c r="F446" i="24"/>
  <c r="F656" i="24"/>
  <c r="F621" i="24"/>
  <c r="J516" i="24"/>
  <c r="F1113" i="24"/>
  <c r="F1078" i="24"/>
  <c r="F868" i="24"/>
  <c r="J1078" i="24"/>
  <c r="F938" i="24"/>
  <c r="F903" i="24"/>
  <c r="F973" i="24"/>
  <c r="F1043" i="24"/>
  <c r="F1008" i="24"/>
  <c r="J1043" i="24"/>
  <c r="J1008" i="24"/>
  <c r="J903" i="24"/>
  <c r="J798" i="24"/>
  <c r="F798" i="24"/>
  <c r="F833" i="24"/>
  <c r="F693" i="24"/>
  <c r="J763" i="24"/>
  <c r="F763" i="24"/>
  <c r="F658" i="24"/>
  <c r="J728" i="24"/>
  <c r="F728" i="24"/>
  <c r="F623" i="24"/>
  <c r="J518" i="24"/>
  <c r="F413" i="24"/>
  <c r="F518" i="24"/>
  <c r="J378" i="24"/>
  <c r="J588" i="24"/>
  <c r="F483" i="24"/>
  <c r="F378" i="24"/>
  <c r="J623" i="24"/>
  <c r="F343" i="24"/>
  <c r="F553" i="24"/>
  <c r="F448" i="24"/>
  <c r="F975" i="24"/>
  <c r="F870" i="24"/>
  <c r="F940" i="24"/>
  <c r="F905" i="24"/>
  <c r="F1045" i="24"/>
  <c r="F1010" i="24"/>
  <c r="J940" i="24"/>
  <c r="J1045" i="24"/>
  <c r="J1010" i="24"/>
  <c r="J905" i="24"/>
  <c r="F835" i="24"/>
  <c r="F800" i="24"/>
  <c r="F695" i="24"/>
  <c r="J765" i="24"/>
  <c r="J730" i="24"/>
  <c r="F765" i="24"/>
  <c r="F730" i="24"/>
  <c r="F555" i="24"/>
  <c r="F450" i="24"/>
  <c r="F625" i="24"/>
  <c r="J520" i="24"/>
  <c r="F415" i="24"/>
  <c r="F520" i="24"/>
  <c r="J380" i="24"/>
  <c r="J590" i="24"/>
  <c r="F660" i="24"/>
  <c r="F590" i="24"/>
  <c r="J450" i="24"/>
  <c r="F345" i="24"/>
  <c r="F1712" i="24"/>
  <c r="F1292" i="24"/>
  <c r="F1222" i="24"/>
  <c r="F1327" i="24"/>
  <c r="F1362" i="24"/>
  <c r="F1677" i="24"/>
  <c r="J1572" i="24"/>
  <c r="F1537" i="24"/>
  <c r="J1607" i="24"/>
  <c r="F1572" i="24"/>
  <c r="J1257" i="24"/>
  <c r="J1642" i="24"/>
  <c r="F1607" i="24"/>
  <c r="J1362" i="24"/>
  <c r="F1257" i="24"/>
  <c r="J1677" i="24"/>
  <c r="F1642" i="24"/>
  <c r="F1467" i="24"/>
  <c r="F1117" i="24"/>
  <c r="F872" i="24"/>
  <c r="J1537" i="24"/>
  <c r="F1432" i="24"/>
  <c r="F977" i="24"/>
  <c r="F942" i="24"/>
  <c r="F907" i="24"/>
  <c r="J1502" i="24"/>
  <c r="J1187" i="24"/>
  <c r="J1152" i="24"/>
  <c r="F1502" i="24"/>
  <c r="J1467" i="24"/>
  <c r="F1187" i="24"/>
  <c r="F1152" i="24"/>
  <c r="J1117" i="24"/>
  <c r="J1432" i="24"/>
  <c r="F1082" i="24"/>
  <c r="F1047" i="24"/>
  <c r="F1012" i="24"/>
  <c r="J1082" i="24"/>
  <c r="J732" i="24"/>
  <c r="J907" i="24"/>
  <c r="J1047" i="24"/>
  <c r="J802" i="24"/>
  <c r="J1012" i="24"/>
  <c r="F837" i="24"/>
  <c r="F697" i="24"/>
  <c r="F802" i="24"/>
  <c r="J767" i="24"/>
  <c r="F732" i="24"/>
  <c r="F767" i="24"/>
  <c r="J627" i="24"/>
  <c r="F662" i="24"/>
  <c r="F557" i="24"/>
  <c r="F452" i="24"/>
  <c r="F627" i="24"/>
  <c r="J522" i="24"/>
  <c r="F417" i="24"/>
  <c r="F522" i="24"/>
  <c r="J382" i="24"/>
  <c r="F487" i="24"/>
  <c r="F382" i="24"/>
  <c r="F592" i="24"/>
  <c r="J452" i="24"/>
  <c r="F1679" i="24"/>
  <c r="F1644" i="24"/>
  <c r="F1609" i="24"/>
  <c r="F1574" i="24"/>
  <c r="F1539" i="24"/>
  <c r="F1504" i="24"/>
  <c r="F1469" i="24"/>
  <c r="F1434" i="24"/>
  <c r="F1294" i="24"/>
  <c r="J1889" i="24"/>
  <c r="F1854" i="24"/>
  <c r="J1749" i="24"/>
  <c r="F1224" i="24"/>
  <c r="F1329" i="24"/>
  <c r="F1819" i="24"/>
  <c r="F1364" i="24"/>
  <c r="J1854" i="24"/>
  <c r="J1679" i="24"/>
  <c r="J1539" i="24"/>
  <c r="J1574" i="24"/>
  <c r="F1889" i="24"/>
  <c r="J1259" i="24"/>
  <c r="J1784" i="24"/>
  <c r="J1714" i="24"/>
  <c r="J1609" i="24"/>
  <c r="F1749" i="24"/>
  <c r="J1364" i="24"/>
  <c r="F1259" i="24"/>
  <c r="F1714" i="24"/>
  <c r="J1469" i="24"/>
  <c r="J1399" i="24"/>
  <c r="F1119" i="24"/>
  <c r="J1644" i="24"/>
  <c r="J1434" i="24"/>
  <c r="F1084" i="24"/>
  <c r="F1399" i="24"/>
  <c r="J1294" i="24"/>
  <c r="J979" i="24"/>
  <c r="F944" i="24"/>
  <c r="F909" i="24"/>
  <c r="J1189" i="24"/>
  <c r="J1154" i="24"/>
  <c r="F979" i="24"/>
  <c r="J1504" i="24"/>
  <c r="F1189" i="24"/>
  <c r="F1154" i="24"/>
  <c r="J1119" i="24"/>
  <c r="J1084" i="24"/>
  <c r="F1049" i="24"/>
  <c r="F1014" i="24"/>
  <c r="J1049" i="24"/>
  <c r="F804" i="24"/>
  <c r="F874" i="24"/>
  <c r="J734" i="24"/>
  <c r="F1784" i="24"/>
  <c r="J909" i="24"/>
  <c r="F839" i="24"/>
  <c r="F699" i="24"/>
  <c r="F769" i="24"/>
  <c r="F244" i="24"/>
  <c r="J944" i="24"/>
  <c r="F664" i="24"/>
  <c r="J874" i="24"/>
  <c r="J769" i="24"/>
  <c r="F734" i="24"/>
  <c r="F594" i="24"/>
  <c r="J454" i="24"/>
  <c r="J629" i="24"/>
  <c r="F349" i="24"/>
  <c r="F559" i="24"/>
  <c r="F454" i="24"/>
  <c r="F629" i="24"/>
  <c r="J524" i="24"/>
  <c r="F419" i="24"/>
  <c r="J594" i="24"/>
  <c r="F489" i="24"/>
  <c r="F384" i="24"/>
  <c r="F701" i="24"/>
  <c r="F666" i="24"/>
  <c r="F491" i="24"/>
  <c r="F596" i="24"/>
  <c r="J456" i="24"/>
  <c r="F351" i="24"/>
  <c r="F561" i="24"/>
  <c r="F456" i="24"/>
  <c r="F631" i="24"/>
  <c r="J526" i="24"/>
  <c r="F526" i="24"/>
  <c r="J386" i="24"/>
  <c r="J596" i="24"/>
  <c r="F1263" i="24"/>
  <c r="F1158" i="24"/>
  <c r="F1193" i="24"/>
  <c r="F1403" i="24"/>
  <c r="F1368" i="24"/>
  <c r="J1613" i="24"/>
  <c r="F1578" i="24"/>
  <c r="J1473" i="24"/>
  <c r="F1438" i="24"/>
  <c r="J1298" i="24"/>
  <c r="J1648" i="24"/>
  <c r="F1613" i="24"/>
  <c r="J1508" i="24"/>
  <c r="F1473" i="24"/>
  <c r="F1298" i="24"/>
  <c r="F1123" i="24"/>
  <c r="F1648" i="24"/>
  <c r="J1543" i="24"/>
  <c r="F1508" i="24"/>
  <c r="F1053" i="24"/>
  <c r="J1578" i="24"/>
  <c r="F1543" i="24"/>
  <c r="J1438" i="24"/>
  <c r="J1158" i="24"/>
  <c r="F808" i="24"/>
  <c r="J1018" i="24"/>
  <c r="J1123" i="24"/>
  <c r="J1088" i="24"/>
  <c r="J1333" i="24"/>
  <c r="F1018" i="24"/>
  <c r="F1088" i="24"/>
  <c r="F878" i="24"/>
  <c r="F948" i="24"/>
  <c r="F1228" i="24"/>
  <c r="F843" i="24"/>
  <c r="F1333" i="24"/>
  <c r="F773" i="24"/>
  <c r="J983" i="24"/>
  <c r="J1228" i="24"/>
  <c r="J878" i="24"/>
  <c r="J738" i="24"/>
  <c r="F983" i="24"/>
  <c r="J843" i="24"/>
  <c r="F703" i="24"/>
  <c r="F668" i="24"/>
  <c r="J773" i="24"/>
  <c r="F738" i="24"/>
  <c r="F633" i="24"/>
  <c r="F913" i="24"/>
  <c r="J598" i="24"/>
  <c r="F493" i="24"/>
  <c r="F388" i="24"/>
  <c r="F598" i="24"/>
  <c r="J458" i="24"/>
  <c r="F353" i="24"/>
  <c r="F563" i="24"/>
  <c r="F458" i="24"/>
  <c r="F423" i="24"/>
  <c r="F528" i="24"/>
  <c r="J388" i="24"/>
  <c r="F1265" i="24"/>
  <c r="F1160" i="24"/>
  <c r="F1195" i="24"/>
  <c r="J1300" i="24"/>
  <c r="F1300" i="24"/>
  <c r="F1090" i="24"/>
  <c r="F950" i="24"/>
  <c r="F810" i="24"/>
  <c r="J1020" i="24"/>
  <c r="J1265" i="24"/>
  <c r="J1125" i="24"/>
  <c r="J1055" i="24"/>
  <c r="F1020" i="24"/>
  <c r="F1230" i="24"/>
  <c r="F1125" i="24"/>
  <c r="J880" i="24"/>
  <c r="J1230" i="24"/>
  <c r="F985" i="24"/>
  <c r="F845" i="24"/>
  <c r="F1055" i="24"/>
  <c r="F915" i="24"/>
  <c r="F635" i="24"/>
  <c r="F775" i="24"/>
  <c r="J740" i="24"/>
  <c r="J985" i="24"/>
  <c r="J845" i="24"/>
  <c r="F705" i="24"/>
  <c r="J775" i="24"/>
  <c r="F740" i="24"/>
  <c r="F670" i="24"/>
  <c r="F880" i="24"/>
  <c r="J635" i="24"/>
  <c r="F530" i="24"/>
  <c r="J600" i="24"/>
  <c r="F495" i="24"/>
  <c r="F390" i="24"/>
  <c r="F600" i="24"/>
  <c r="J460" i="24"/>
  <c r="F355" i="24"/>
  <c r="J530" i="24"/>
  <c r="F425" i="24"/>
  <c r="K222" i="24"/>
  <c r="K229" i="24"/>
  <c r="K234" i="24"/>
  <c r="K236" i="24"/>
  <c r="K238" i="24"/>
  <c r="F246" i="24"/>
  <c r="K247" i="24"/>
  <c r="J249" i="24"/>
  <c r="J332" i="24"/>
  <c r="J358" i="24"/>
  <c r="J368" i="24"/>
  <c r="F402" i="24"/>
  <c r="F412" i="24"/>
  <c r="J432" i="24"/>
  <c r="J439" i="24"/>
  <c r="F476" i="24"/>
  <c r="J512" i="24"/>
  <c r="F556" i="24"/>
  <c r="J592" i="24"/>
  <c r="J628" i="24"/>
  <c r="J331" i="24"/>
  <c r="J347" i="24"/>
  <c r="J363" i="24"/>
  <c r="J379" i="24"/>
  <c r="J395" i="24"/>
  <c r="J411" i="24"/>
  <c r="J427" i="24"/>
  <c r="J443" i="24"/>
  <c r="J459" i="24"/>
  <c r="J475" i="24"/>
  <c r="J491" i="24"/>
  <c r="J507" i="24"/>
  <c r="J523" i="24"/>
  <c r="J539" i="24"/>
  <c r="J555" i="24"/>
  <c r="J571" i="24"/>
  <c r="J587" i="24"/>
  <c r="J603" i="24"/>
  <c r="J639" i="24"/>
  <c r="J329" i="24"/>
  <c r="J345" i="24"/>
  <c r="J361" i="24"/>
  <c r="J377" i="24"/>
  <c r="J393" i="24"/>
  <c r="J409" i="24"/>
  <c r="J425" i="24"/>
  <c r="J441" i="24"/>
  <c r="J457" i="24"/>
  <c r="J473" i="24"/>
  <c r="J489" i="24"/>
  <c r="J505" i="24"/>
  <c r="J521" i="24"/>
  <c r="J537" i="24"/>
  <c r="J553" i="24"/>
  <c r="J569" i="24"/>
  <c r="J585" i="24"/>
  <c r="J601" i="24"/>
  <c r="J613" i="24"/>
  <c r="J650" i="24"/>
  <c r="J656" i="24"/>
  <c r="J745" i="24"/>
  <c r="J640" i="24"/>
  <c r="J809" i="24"/>
  <c r="J341" i="24"/>
  <c r="J357" i="24"/>
  <c r="J373" i="24"/>
  <c r="J389" i="24"/>
  <c r="J405" i="24"/>
  <c r="J421" i="24"/>
  <c r="J437" i="24"/>
  <c r="J453" i="24"/>
  <c r="J469" i="24"/>
  <c r="J485" i="24"/>
  <c r="J501" i="24"/>
  <c r="J517" i="24"/>
  <c r="J533" i="24"/>
  <c r="J549" i="24"/>
  <c r="J565" i="24"/>
  <c r="J581" i="24"/>
  <c r="J597" i="24"/>
  <c r="J611" i="24"/>
  <c r="J626" i="24"/>
  <c r="J644" i="24"/>
  <c r="J339" i="24"/>
  <c r="J355" i="24"/>
  <c r="J371" i="24"/>
  <c r="J387" i="24"/>
  <c r="J403" i="24"/>
  <c r="J419" i="24"/>
  <c r="J435" i="24"/>
  <c r="J451" i="24"/>
  <c r="J467" i="24"/>
  <c r="J483" i="24"/>
  <c r="J499" i="24"/>
  <c r="J515" i="24"/>
  <c r="J531" i="24"/>
  <c r="J547" i="24"/>
  <c r="J563" i="24"/>
  <c r="J579" i="24"/>
  <c r="J595" i="24"/>
  <c r="J624" i="24"/>
  <c r="J634" i="24"/>
  <c r="J641" i="24"/>
  <c r="J648" i="24"/>
  <c r="J250" i="24"/>
  <c r="J337" i="24"/>
  <c r="J353" i="24"/>
  <c r="J369" i="24"/>
  <c r="J385" i="24"/>
  <c r="J401" i="24"/>
  <c r="J417" i="24"/>
  <c r="J433" i="24"/>
  <c r="J449" i="24"/>
  <c r="J465" i="24"/>
  <c r="J481" i="24"/>
  <c r="J497" i="24"/>
  <c r="J513" i="24"/>
  <c r="J529" i="24"/>
  <c r="J545" i="24"/>
  <c r="J561" i="24"/>
  <c r="J577" i="24"/>
  <c r="J593" i="24"/>
  <c r="J609" i="24"/>
  <c r="J617" i="24"/>
  <c r="J622" i="24"/>
  <c r="J645" i="24"/>
  <c r="J351" i="24"/>
  <c r="J367" i="24"/>
  <c r="J383" i="24"/>
  <c r="J399" i="24"/>
  <c r="J415" i="24"/>
  <c r="J431" i="24"/>
  <c r="J447" i="24"/>
  <c r="J463" i="24"/>
  <c r="J479" i="24"/>
  <c r="J495" i="24"/>
  <c r="J511" i="24"/>
  <c r="J527" i="24"/>
  <c r="J543" i="24"/>
  <c r="J559" i="24"/>
  <c r="J575" i="24"/>
  <c r="J591" i="24"/>
  <c r="J607" i="24"/>
  <c r="J620" i="24"/>
  <c r="J445" i="24"/>
  <c r="J461" i="24"/>
  <c r="J477" i="24"/>
  <c r="J493" i="24"/>
  <c r="J509" i="24"/>
  <c r="J525" i="24"/>
  <c r="J541" i="24"/>
  <c r="J557" i="24"/>
  <c r="J573" i="24"/>
  <c r="J589" i="24"/>
  <c r="J605" i="24"/>
  <c r="J615" i="24"/>
  <c r="J646" i="24"/>
  <c r="J659" i="24"/>
  <c r="J662" i="24"/>
  <c r="J751" i="24"/>
  <c r="J755" i="24"/>
  <c r="J669" i="24"/>
  <c r="J672" i="24"/>
  <c r="J676" i="24"/>
  <c r="J680" i="24"/>
  <c r="J684" i="24"/>
  <c r="J691" i="24"/>
  <c r="J695" i="24"/>
  <c r="J699" i="24"/>
  <c r="J703" i="24"/>
  <c r="J781" i="24"/>
  <c r="J787" i="24"/>
  <c r="J791" i="24"/>
  <c r="J856" i="24"/>
  <c r="J860" i="24"/>
  <c r="J663" i="24"/>
  <c r="J666" i="24"/>
  <c r="J746" i="24"/>
  <c r="J752" i="24"/>
  <c r="J756" i="24"/>
  <c r="J819" i="24"/>
  <c r="J835" i="24"/>
  <c r="J839" i="24"/>
  <c r="J632" i="24"/>
  <c r="J638" i="24"/>
  <c r="J657" i="24"/>
  <c r="J660" i="24"/>
  <c r="J673" i="24"/>
  <c r="J677" i="24"/>
  <c r="J681" i="24"/>
  <c r="J685" i="24"/>
  <c r="J692" i="24"/>
  <c r="J696" i="24"/>
  <c r="J700" i="24"/>
  <c r="J704" i="24"/>
  <c r="J778" i="24"/>
  <c r="J788" i="24"/>
  <c r="J800" i="24"/>
  <c r="J667" i="24"/>
  <c r="J670" i="24"/>
  <c r="J743" i="24"/>
  <c r="J753" i="24"/>
  <c r="J804" i="24"/>
  <c r="J807" i="24"/>
  <c r="J811" i="24"/>
  <c r="J854" i="24"/>
  <c r="J871" i="24"/>
  <c r="J630" i="24"/>
  <c r="J642" i="24"/>
  <c r="J661" i="24"/>
  <c r="J664" i="24"/>
  <c r="J674" i="24"/>
  <c r="J678" i="24"/>
  <c r="J682" i="24"/>
  <c r="J686" i="24"/>
  <c r="J693" i="24"/>
  <c r="J697" i="24"/>
  <c r="J701" i="24"/>
  <c r="J705" i="24"/>
  <c r="J779" i="24"/>
  <c r="J789" i="24"/>
  <c r="J801" i="24"/>
  <c r="J975" i="24"/>
  <c r="J999" i="24"/>
  <c r="J636" i="24"/>
  <c r="J652" i="24"/>
  <c r="J655" i="24"/>
  <c r="J658" i="24"/>
  <c r="J671" i="24"/>
  <c r="J744" i="24"/>
  <c r="J754" i="24"/>
  <c r="J833" i="24"/>
  <c r="J837" i="24"/>
  <c r="J665" i="24"/>
  <c r="J668" i="24"/>
  <c r="J675" i="24"/>
  <c r="J679" i="24"/>
  <c r="J683" i="24"/>
  <c r="J687" i="24"/>
  <c r="J690" i="24"/>
  <c r="J694" i="24"/>
  <c r="J698" i="24"/>
  <c r="J702" i="24"/>
  <c r="J706" i="24"/>
  <c r="J780" i="24"/>
  <c r="J786" i="24"/>
  <c r="J790" i="24"/>
  <c r="J938" i="24"/>
  <c r="J942" i="24"/>
  <c r="J962" i="24"/>
  <c r="J966" i="24"/>
  <c r="J818" i="24"/>
  <c r="J895" i="24"/>
  <c r="J915" i="24"/>
  <c r="J830" i="24"/>
  <c r="J893" i="24"/>
  <c r="J930" i="24"/>
  <c r="J948" i="24"/>
  <c r="J994" i="24"/>
  <c r="J997" i="24"/>
  <c r="J1059" i="24"/>
  <c r="J1096" i="24"/>
  <c r="J1160" i="24"/>
  <c r="J851" i="24"/>
  <c r="J859" i="24"/>
  <c r="J870" i="24"/>
  <c r="J927" i="24"/>
  <c r="J973" i="24"/>
  <c r="J977" i="24"/>
  <c r="J1041" i="24"/>
  <c r="J1070" i="24"/>
  <c r="J1103" i="24"/>
  <c r="J1138" i="24"/>
  <c r="J1270" i="24"/>
  <c r="J1684" i="24"/>
  <c r="J1712" i="24"/>
  <c r="J810" i="24"/>
  <c r="J848" i="24"/>
  <c r="J936" i="24"/>
  <c r="J949" i="24"/>
  <c r="J1001" i="24"/>
  <c r="J1090" i="24"/>
  <c r="J1126" i="24"/>
  <c r="J1579" i="24"/>
  <c r="J831" i="24"/>
  <c r="J879" i="24"/>
  <c r="J891" i="24"/>
  <c r="J928" i="24"/>
  <c r="J931" i="24"/>
  <c r="J803" i="24"/>
  <c r="J808" i="24"/>
  <c r="J849" i="24"/>
  <c r="J857" i="24"/>
  <c r="J868" i="24"/>
  <c r="J950" i="24"/>
  <c r="J971" i="24"/>
  <c r="J1110" i="24"/>
  <c r="J1130" i="24"/>
  <c r="J1195" i="24"/>
  <c r="J1114" i="24"/>
  <c r="J1169" i="24"/>
  <c r="J799" i="24"/>
  <c r="J861" i="24"/>
  <c r="J872" i="24"/>
  <c r="J901" i="24"/>
  <c r="J913" i="24"/>
  <c r="J926" i="24"/>
  <c r="J929" i="24"/>
  <c r="J990" i="24"/>
  <c r="J1075" i="24"/>
  <c r="J1105" i="24"/>
  <c r="J1140" i="24"/>
  <c r="J1166" i="24"/>
  <c r="J1819" i="24"/>
  <c r="J850" i="24"/>
  <c r="J923" i="24"/>
  <c r="J951" i="24"/>
  <c r="J1299" i="24"/>
  <c r="J1064" i="24"/>
  <c r="J1104" i="24"/>
  <c r="J1129" i="24"/>
  <c r="J1146" i="24"/>
  <c r="J1149" i="24"/>
  <c r="J1165" i="24"/>
  <c r="J1194" i="24"/>
  <c r="J1222" i="24"/>
  <c r="J1263" i="24"/>
  <c r="J1292" i="24"/>
  <c r="J1385" i="24"/>
  <c r="J1441" i="24"/>
  <c r="J1544" i="24"/>
  <c r="J1616" i="24"/>
  <c r="J1651" i="24"/>
  <c r="J1824" i="24"/>
  <c r="J1896" i="24"/>
  <c r="J2040" i="24"/>
  <c r="J2246" i="24"/>
  <c r="J877" i="24"/>
  <c r="J963" i="24"/>
  <c r="J978" i="24"/>
  <c r="J1014" i="24"/>
  <c r="J1033" i="24"/>
  <c r="J1067" i="24"/>
  <c r="J1159" i="24"/>
  <c r="J1245" i="24"/>
  <c r="J1273" i="24"/>
  <c r="J1305" i="24"/>
  <c r="J1476" i="24"/>
  <c r="J1909" i="24"/>
  <c r="J2526" i="24"/>
  <c r="J2211" i="24"/>
  <c r="J2285" i="24"/>
  <c r="J2491" i="24"/>
  <c r="J935" i="24"/>
  <c r="J956" i="24"/>
  <c r="J961" i="24"/>
  <c r="J976" i="24"/>
  <c r="J1006" i="24"/>
  <c r="J1031" i="24"/>
  <c r="J1060" i="24"/>
  <c r="J1113" i="24"/>
  <c r="J1203" i="24"/>
  <c r="J1274" i="24"/>
  <c r="J1277" i="24"/>
  <c r="J1327" i="24"/>
  <c r="J1349" i="24"/>
  <c r="J1439" i="24"/>
  <c r="J1511" i="24"/>
  <c r="J1614" i="24"/>
  <c r="J1649" i="24"/>
  <c r="J1900" i="24"/>
  <c r="J1938" i="24"/>
  <c r="J2456" i="24"/>
  <c r="J924" i="24"/>
  <c r="J1083" i="24"/>
  <c r="J1210" i="24"/>
  <c r="J1281" i="24"/>
  <c r="J1368" i="24"/>
  <c r="J1383" i="24"/>
  <c r="J1474" i="24"/>
  <c r="J1814" i="24"/>
  <c r="J1945" i="24"/>
  <c r="J2056" i="24"/>
  <c r="J2059" i="24"/>
  <c r="J954" i="24"/>
  <c r="J974" i="24"/>
  <c r="J1053" i="24"/>
  <c r="J1204" i="24"/>
  <c r="J1207" i="24"/>
  <c r="J1243" i="24"/>
  <c r="J1278" i="24"/>
  <c r="J1328" i="24"/>
  <c r="J1350" i="24"/>
  <c r="J1410" i="24"/>
  <c r="J1546" i="24"/>
  <c r="J1826" i="24"/>
  <c r="J2351" i="24"/>
  <c r="J993" i="24"/>
  <c r="J1071" i="24"/>
  <c r="J1081" i="24"/>
  <c r="J1111" i="24"/>
  <c r="J1145" i="24"/>
  <c r="J1180" i="24"/>
  <c r="J1211" i="24"/>
  <c r="J1221" i="24"/>
  <c r="J1291" i="24"/>
  <c r="J1301" i="24"/>
  <c r="J1356" i="24"/>
  <c r="J1359" i="24"/>
  <c r="J1369" i="24"/>
  <c r="J1509" i="24"/>
  <c r="J1698" i="24"/>
  <c r="J1838" i="24"/>
  <c r="J881" i="24"/>
  <c r="J965" i="24"/>
  <c r="J1035" i="24"/>
  <c r="J1101" i="24"/>
  <c r="J1266" i="24"/>
  <c r="J1411" i="24"/>
  <c r="J1581" i="24"/>
  <c r="J1760" i="24"/>
  <c r="J1769" i="24"/>
  <c r="J1791" i="24"/>
  <c r="J2281" i="24"/>
  <c r="J1193" i="24"/>
  <c r="J1196" i="24"/>
  <c r="J1235" i="24"/>
  <c r="J1264" i="24"/>
  <c r="J1306" i="24"/>
  <c r="J1343" i="24"/>
  <c r="J1375" i="24"/>
  <c r="J1929" i="24"/>
  <c r="J2005" i="24"/>
  <c r="J2024" i="24"/>
  <c r="J1694" i="24"/>
  <c r="J1697" i="24"/>
  <c r="J1706" i="24"/>
  <c r="J1709" i="24"/>
  <c r="J1861" i="24"/>
  <c r="J1935" i="24"/>
  <c r="J1943" i="24"/>
  <c r="J1970" i="24"/>
  <c r="J1973" i="24"/>
  <c r="J1989" i="24"/>
  <c r="J2141" i="24"/>
  <c r="J1161" i="24"/>
  <c r="J1164" i="24"/>
  <c r="J1181" i="24"/>
  <c r="J1184" i="24"/>
  <c r="J1223" i="24"/>
  <c r="J1336" i="24"/>
  <c r="J2320" i="24"/>
  <c r="J2390" i="24"/>
  <c r="J2425" i="24"/>
  <c r="J1701" i="24"/>
  <c r="J1979" i="24"/>
  <c r="J2215" i="24"/>
  <c r="J2231" i="24"/>
  <c r="J2250" i="24"/>
  <c r="J2495" i="24"/>
  <c r="J1095" i="24"/>
  <c r="J1208" i="24"/>
  <c r="J1224" i="24"/>
  <c r="J1250" i="24"/>
  <c r="J1279" i="24"/>
  <c r="J1329" i="24"/>
  <c r="J1347" i="24"/>
  <c r="J1403" i="24"/>
  <c r="J2126" i="24"/>
  <c r="J2188" i="24"/>
  <c r="J1756" i="24"/>
  <c r="J1977" i="24"/>
  <c r="J2110" i="24"/>
  <c r="J2161" i="24"/>
  <c r="J2180" i="24"/>
  <c r="J1251" i="24"/>
  <c r="J1280" i="24"/>
  <c r="J1293" i="24"/>
  <c r="J1348" i="24"/>
  <c r="J1351" i="24"/>
  <c r="J1690" i="24"/>
  <c r="J1693" i="24"/>
  <c r="J1699" i="24"/>
  <c r="J1721" i="24"/>
  <c r="J1931" i="24"/>
  <c r="J2075" i="24"/>
  <c r="J2386" i="24"/>
  <c r="K21" i="22" l="1" a="1"/>
  <c r="K21" i="22" s="1"/>
  <c r="J21" i="22"/>
  <c r="H21" i="22"/>
  <c r="G21" i="22" a="1"/>
  <c r="G21" i="22" s="1"/>
  <c r="F21" i="22"/>
  <c r="E21" i="22"/>
  <c r="K20" i="22" a="1"/>
  <c r="K20" i="22" s="1"/>
  <c r="J20" i="22"/>
  <c r="H20" i="22"/>
  <c r="G20" i="22" a="1"/>
  <c r="G20" i="22" s="1"/>
  <c r="F20" i="22"/>
  <c r="E20" i="22"/>
  <c r="K19" i="22" a="1"/>
  <c r="K19" i="22" s="1"/>
  <c r="J19" i="22"/>
  <c r="H19" i="22"/>
  <c r="G19" i="22" a="1"/>
  <c r="G19" i="22" s="1"/>
  <c r="F19" i="22"/>
  <c r="E19" i="22"/>
  <c r="K18" i="22" a="1"/>
  <c r="K18" i="22" s="1"/>
  <c r="J18" i="22"/>
  <c r="H18" i="22"/>
  <c r="G18" i="22" a="1"/>
  <c r="G18" i="22" s="1"/>
  <c r="F18" i="22"/>
  <c r="E18" i="22"/>
  <c r="K17" i="22"/>
  <c r="K17" i="22" a="1"/>
  <c r="J17" i="22"/>
  <c r="H17" i="22"/>
  <c r="G17" i="22" a="1"/>
  <c r="G17" i="22" s="1"/>
  <c r="F17" i="22"/>
  <c r="E17" i="22"/>
  <c r="K16" i="22" a="1"/>
  <c r="K16" i="22" s="1"/>
  <c r="J16" i="22"/>
  <c r="H16" i="22"/>
  <c r="G16" i="22" a="1"/>
  <c r="G16" i="22" s="1"/>
  <c r="F16" i="22"/>
  <c r="E16" i="22"/>
  <c r="K15" i="22" a="1"/>
  <c r="K15" i="22" s="1"/>
  <c r="J15" i="22"/>
  <c r="H15" i="22"/>
  <c r="G15" i="22" a="1"/>
  <c r="G15" i="22" s="1"/>
  <c r="F15" i="22"/>
  <c r="E15" i="22"/>
  <c r="K14" i="22" a="1"/>
  <c r="K14" i="22" s="1"/>
  <c r="J14" i="22"/>
  <c r="H14" i="22"/>
  <c r="G14" i="22" a="1"/>
  <c r="G14" i="22" s="1"/>
  <c r="F14" i="22"/>
  <c r="E14" i="22"/>
  <c r="K13" i="22" a="1"/>
  <c r="K13" i="22" s="1"/>
  <c r="J13" i="22"/>
  <c r="H13" i="22"/>
  <c r="G13" i="22" a="1"/>
  <c r="G13" i="22" s="1"/>
  <c r="F13" i="22"/>
  <c r="E13" i="22"/>
  <c r="K12" i="22"/>
  <c r="K12" i="22" a="1"/>
  <c r="J12" i="22"/>
  <c r="H12" i="22"/>
  <c r="G12" i="22" a="1"/>
  <c r="G12" i="22" s="1"/>
  <c r="F12" i="22"/>
  <c r="E12" i="22"/>
  <c r="K11" i="22"/>
  <c r="K11" i="22" a="1"/>
  <c r="J11" i="22"/>
  <c r="H11" i="22"/>
  <c r="G11" i="22" a="1"/>
  <c r="G11" i="22" s="1"/>
  <c r="F11" i="22"/>
  <c r="E11" i="22"/>
  <c r="K10" i="22" a="1"/>
  <c r="K10" i="22" s="1"/>
  <c r="J10" i="22"/>
  <c r="H10" i="22"/>
  <c r="G10" i="22" a="1"/>
  <c r="G10" i="22" s="1"/>
  <c r="F10" i="22"/>
  <c r="E10" i="22"/>
  <c r="K9" i="22" a="1"/>
  <c r="K9" i="22" s="1"/>
  <c r="J9" i="22"/>
  <c r="G9" i="22"/>
  <c r="G9" i="22" a="1"/>
  <c r="F9" i="22"/>
  <c r="E9" i="22"/>
  <c r="K8" i="22" a="1"/>
  <c r="K8" i="22" s="1"/>
  <c r="J8" i="22"/>
  <c r="G8" i="22" a="1"/>
  <c r="G8" i="22" s="1"/>
  <c r="F8" i="22"/>
  <c r="E8" i="22"/>
  <c r="K7" i="22" a="1"/>
  <c r="K7" i="22" s="1"/>
  <c r="J7" i="22"/>
  <c r="G7" i="22" a="1"/>
  <c r="G7" i="22" s="1"/>
  <c r="F7" i="22"/>
  <c r="E7" i="22"/>
  <c r="K6" i="22" a="1"/>
  <c r="K6" i="22" s="1"/>
  <c r="J6" i="22"/>
  <c r="G6" i="22" a="1"/>
  <c r="G6" i="22" s="1"/>
  <c r="F6" i="22"/>
  <c r="E6" i="22"/>
  <c r="AY103" i="21"/>
  <c r="AW103" i="21"/>
  <c r="AV103" i="21"/>
  <c r="AU103" i="21"/>
  <c r="AO103" i="21"/>
  <c r="AN103" i="21"/>
  <c r="AM103" i="21"/>
  <c r="AI103" i="21"/>
  <c r="AG103" i="21"/>
  <c r="AF103" i="21"/>
  <c r="AE103" i="21"/>
  <c r="Y103" i="21"/>
  <c r="X103" i="21"/>
  <c r="W103" i="21"/>
  <c r="S103" i="21"/>
  <c r="Q103" i="21"/>
  <c r="P103" i="21"/>
  <c r="O103" i="21"/>
  <c r="AY102" i="21"/>
  <c r="AX102" i="21"/>
  <c r="AW102" i="21"/>
  <c r="AS102" i="21"/>
  <c r="AQ102" i="21"/>
  <c r="AP102" i="21"/>
  <c r="AO102" i="21"/>
  <c r="AI102" i="21"/>
  <c r="AH102" i="21"/>
  <c r="AG102" i="21"/>
  <c r="AC102" i="21"/>
  <c r="AA102" i="21"/>
  <c r="Z102" i="21"/>
  <c r="Y102" i="21"/>
  <c r="S102" i="21"/>
  <c r="R102" i="21"/>
  <c r="Q102" i="21"/>
  <c r="M102" i="21"/>
  <c r="K102" i="21"/>
  <c r="J102" i="21"/>
  <c r="J104" i="21" s="1"/>
  <c r="H102" i="21"/>
  <c r="E102" i="21"/>
  <c r="AS103" i="21" s="1"/>
  <c r="AQ99" i="21"/>
  <c r="AO99" i="21"/>
  <c r="AN99" i="21"/>
  <c r="AG99" i="21"/>
  <c r="X99" i="21"/>
  <c r="S99" i="21"/>
  <c r="Q99" i="21"/>
  <c r="K99" i="21"/>
  <c r="AQ98" i="21"/>
  <c r="AP98" i="21"/>
  <c r="AK98" i="21"/>
  <c r="AH98" i="21"/>
  <c r="U98" i="21"/>
  <c r="S98" i="21"/>
  <c r="R98" i="21"/>
  <c r="K98" i="21"/>
  <c r="E98" i="21"/>
  <c r="AV99" i="21" s="1"/>
  <c r="Y95" i="21"/>
  <c r="K95" i="21"/>
  <c r="AN94" i="21"/>
  <c r="E94" i="21"/>
  <c r="AY94" i="21" s="1"/>
  <c r="AY91" i="21"/>
  <c r="AV91" i="21"/>
  <c r="AT91" i="21"/>
  <c r="AO91" i="21"/>
  <c r="AN91" i="21"/>
  <c r="AI91" i="21"/>
  <c r="AG91" i="21"/>
  <c r="AF91" i="21"/>
  <c r="AA91" i="21"/>
  <c r="Z91" i="21"/>
  <c r="W91" i="21"/>
  <c r="S91" i="21"/>
  <c r="Q91" i="21"/>
  <c r="O91" i="21"/>
  <c r="J91" i="21"/>
  <c r="AY90" i="21"/>
  <c r="AX90" i="21"/>
  <c r="AS90" i="21"/>
  <c r="AQ90" i="21"/>
  <c r="AO90" i="21"/>
  <c r="AK90" i="21"/>
  <c r="AH90" i="21"/>
  <c r="AG90" i="21"/>
  <c r="AB90" i="21"/>
  <c r="AA90" i="21"/>
  <c r="Y90" i="21"/>
  <c r="T90" i="21"/>
  <c r="S90" i="21"/>
  <c r="P90" i="21"/>
  <c r="M90" i="21"/>
  <c r="J90" i="21"/>
  <c r="J92" i="21" s="1"/>
  <c r="H90" i="21"/>
  <c r="E90" i="21"/>
  <c r="AY87" i="21"/>
  <c r="AX87" i="21"/>
  <c r="AW87" i="21"/>
  <c r="AU87" i="21"/>
  <c r="AS87" i="21"/>
  <c r="AP87" i="21"/>
  <c r="AO87" i="21"/>
  <c r="AN87" i="21"/>
  <c r="AL87" i="21"/>
  <c r="AK87" i="21"/>
  <c r="AI87" i="21"/>
  <c r="AF87" i="21"/>
  <c r="AE87" i="21"/>
  <c r="AC87" i="21"/>
  <c r="AA87" i="21"/>
  <c r="Z87" i="21"/>
  <c r="X87" i="21"/>
  <c r="W87" i="21"/>
  <c r="S87" i="21"/>
  <c r="R87" i="21"/>
  <c r="Q87" i="21"/>
  <c r="O87" i="21"/>
  <c r="N87" i="21"/>
  <c r="M87" i="21"/>
  <c r="J87" i="21"/>
  <c r="AX86" i="21"/>
  <c r="AV86" i="21"/>
  <c r="AU86" i="21"/>
  <c r="AS86" i="21"/>
  <c r="AQ86" i="21"/>
  <c r="AP86" i="21"/>
  <c r="AO86" i="21"/>
  <c r="AL86" i="21"/>
  <c r="AK86" i="21"/>
  <c r="AI86" i="21"/>
  <c r="AH86" i="21"/>
  <c r="AG86" i="21"/>
  <c r="AE86" i="21"/>
  <c r="AD86" i="21"/>
  <c r="AA86" i="21"/>
  <c r="Z86" i="21"/>
  <c r="Y86" i="21"/>
  <c r="W86" i="21"/>
  <c r="V86" i="21"/>
  <c r="U86" i="21"/>
  <c r="S86" i="21"/>
  <c r="Q86" i="21"/>
  <c r="O86" i="21"/>
  <c r="N86" i="21"/>
  <c r="M86" i="21"/>
  <c r="K86" i="21"/>
  <c r="J86" i="21"/>
  <c r="J88" i="21" s="1"/>
  <c r="H86" i="21"/>
  <c r="E86" i="21"/>
  <c r="AT87" i="21" s="1"/>
  <c r="AY83" i="21"/>
  <c r="AV83" i="21"/>
  <c r="AS83" i="21"/>
  <c r="AQ83" i="21"/>
  <c r="AN83" i="21"/>
  <c r="AJ83" i="21"/>
  <c r="AI83" i="21"/>
  <c r="AG83" i="21"/>
  <c r="AB83" i="21"/>
  <c r="AA83" i="21"/>
  <c r="X83" i="21"/>
  <c r="U83" i="21"/>
  <c r="Q83" i="21"/>
  <c r="P83" i="21"/>
  <c r="L83" i="21"/>
  <c r="K83" i="21"/>
  <c r="AX82" i="21"/>
  <c r="AT82" i="21"/>
  <c r="AS82" i="21"/>
  <c r="AP82" i="21"/>
  <c r="AL82" i="21"/>
  <c r="AI82" i="21"/>
  <c r="AH82" i="21"/>
  <c r="AC82" i="21"/>
  <c r="AA82" i="21"/>
  <c r="Z82" i="21"/>
  <c r="V82" i="21"/>
  <c r="U82" i="21"/>
  <c r="Q82" i="21"/>
  <c r="N82" i="21"/>
  <c r="K82" i="21"/>
  <c r="K84" i="21" s="1"/>
  <c r="J82" i="21"/>
  <c r="J84" i="21" s="1"/>
  <c r="E82" i="21"/>
  <c r="AW79" i="21"/>
  <c r="AV79" i="21"/>
  <c r="AU79" i="21"/>
  <c r="AR79" i="21"/>
  <c r="AO79" i="21"/>
  <c r="AN79" i="21"/>
  <c r="AK79" i="21"/>
  <c r="AJ79" i="21"/>
  <c r="AI79" i="21"/>
  <c r="AE79" i="21"/>
  <c r="AC79" i="21"/>
  <c r="AB79" i="21"/>
  <c r="Y79" i="21"/>
  <c r="X79" i="21"/>
  <c r="W79" i="21"/>
  <c r="S79" i="21"/>
  <c r="Q79" i="21"/>
  <c r="P79" i="21"/>
  <c r="M79" i="21"/>
  <c r="L79" i="21"/>
  <c r="AY78" i="21"/>
  <c r="AW78" i="21"/>
  <c r="AU78" i="21"/>
  <c r="AT78" i="21"/>
  <c r="AQ78" i="21"/>
  <c r="AO78" i="21"/>
  <c r="AM78" i="21"/>
  <c r="AK78" i="21"/>
  <c r="AI78" i="21"/>
  <c r="AH78" i="21"/>
  <c r="AD78" i="21"/>
  <c r="AC78" i="21"/>
  <c r="AA78" i="21"/>
  <c r="Y78" i="21"/>
  <c r="W78" i="21"/>
  <c r="V78" i="21"/>
  <c r="R78" i="21"/>
  <c r="Q78" i="21"/>
  <c r="O78" i="21"/>
  <c r="M78" i="21"/>
  <c r="K78" i="21"/>
  <c r="H78" i="21"/>
  <c r="E78" i="21"/>
  <c r="AV75" i="21"/>
  <c r="AE75" i="21"/>
  <c r="AA75" i="21"/>
  <c r="Y75" i="21"/>
  <c r="U75" i="21"/>
  <c r="AP74" i="21"/>
  <c r="AO74" i="21"/>
  <c r="AG74" i="21"/>
  <c r="X74" i="21"/>
  <c r="Q74" i="21"/>
  <c r="P74" i="21"/>
  <c r="M74" i="21"/>
  <c r="E74" i="21"/>
  <c r="AF75" i="21" s="1"/>
  <c r="AM71" i="21"/>
  <c r="E70" i="21"/>
  <c r="AX67" i="21"/>
  <c r="AV67" i="21"/>
  <c r="AN67" i="21"/>
  <c r="AM67" i="21"/>
  <c r="AL67" i="21"/>
  <c r="AD67" i="21"/>
  <c r="AA67" i="21"/>
  <c r="X67" i="21"/>
  <c r="R67" i="21"/>
  <c r="O67" i="21"/>
  <c r="N67" i="21"/>
  <c r="J67" i="21"/>
  <c r="AS66" i="21"/>
  <c r="AR66" i="21"/>
  <c r="AN66" i="21"/>
  <c r="AH66" i="21"/>
  <c r="AG66" i="21"/>
  <c r="AB66" i="21"/>
  <c r="U66" i="21"/>
  <c r="T66" i="21"/>
  <c r="Q66" i="21"/>
  <c r="P66" i="21"/>
  <c r="M66" i="21"/>
  <c r="E66" i="21"/>
  <c r="AY63" i="21"/>
  <c r="AX63" i="21"/>
  <c r="AV63" i="21"/>
  <c r="AP63" i="21"/>
  <c r="AN63" i="21"/>
  <c r="AL63" i="21"/>
  <c r="AD63" i="21"/>
  <c r="AA63" i="21"/>
  <c r="X63" i="21"/>
  <c r="R63" i="21"/>
  <c r="P63" i="21"/>
  <c r="N63" i="21"/>
  <c r="K63" i="21"/>
  <c r="AR62" i="21"/>
  <c r="AQ62" i="21"/>
  <c r="AP62" i="21"/>
  <c r="AJ62" i="21"/>
  <c r="AI62" i="21"/>
  <c r="AH62" i="21"/>
  <c r="AC62" i="21"/>
  <c r="Y62" i="21"/>
  <c r="U62" i="21"/>
  <c r="T62" i="21"/>
  <c r="P62" i="21"/>
  <c r="L62" i="21"/>
  <c r="K62" i="21"/>
  <c r="J62" i="21"/>
  <c r="J64" i="21" s="1"/>
  <c r="E62" i="21"/>
  <c r="AV59" i="21"/>
  <c r="AU59" i="21"/>
  <c r="AQ59" i="21"/>
  <c r="AP59" i="21"/>
  <c r="AO59" i="21"/>
  <c r="AH59" i="21"/>
  <c r="AG59" i="21"/>
  <c r="AF59" i="21"/>
  <c r="Z59" i="21"/>
  <c r="Y59" i="21"/>
  <c r="X59" i="21"/>
  <c r="S59" i="21"/>
  <c r="P59" i="21"/>
  <c r="O59" i="21"/>
  <c r="K59" i="21"/>
  <c r="J59" i="21"/>
  <c r="AV58" i="21"/>
  <c r="AR58" i="21"/>
  <c r="AQ58" i="21"/>
  <c r="AP58" i="21"/>
  <c r="AJ58" i="21"/>
  <c r="AH58" i="21"/>
  <c r="AG58" i="21"/>
  <c r="AC58" i="21"/>
  <c r="Z58" i="21"/>
  <c r="Y58" i="21"/>
  <c r="T58" i="21"/>
  <c r="S58" i="21"/>
  <c r="P58" i="21"/>
  <c r="L58" i="21"/>
  <c r="K58" i="21"/>
  <c r="K60" i="21" s="1"/>
  <c r="J58" i="21"/>
  <c r="J60" i="21" s="1"/>
  <c r="E58" i="21"/>
  <c r="AL59" i="21" s="1"/>
  <c r="AR54" i="21"/>
  <c r="Z54" i="21"/>
  <c r="E54" i="21"/>
  <c r="E50" i="21"/>
  <c r="AA51" i="21" s="1"/>
  <c r="E46" i="21"/>
  <c r="AV46" i="21" s="1"/>
  <c r="AU43" i="21"/>
  <c r="AR43" i="21"/>
  <c r="AI43" i="21"/>
  <c r="AH43" i="21"/>
  <c r="AB43" i="21"/>
  <c r="AA43" i="21"/>
  <c r="Q43" i="21"/>
  <c r="P43" i="21"/>
  <c r="AY42" i="21"/>
  <c r="AX42" i="21"/>
  <c r="AO42" i="21"/>
  <c r="AL42" i="21"/>
  <c r="AH42" i="21"/>
  <c r="AF42" i="21"/>
  <c r="V42" i="21"/>
  <c r="U42" i="21"/>
  <c r="N42" i="21"/>
  <c r="M42" i="21"/>
  <c r="E42" i="21"/>
  <c r="AY43" i="21" s="1"/>
  <c r="J40" i="21"/>
  <c r="K40" i="21" s="1"/>
  <c r="L40" i="21" s="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M40" i="21" s="1"/>
  <c r="L38" i="21"/>
  <c r="K38" i="21"/>
  <c r="J38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E85" i="20"/>
  <c r="Q86" i="20" s="1" a="1"/>
  <c r="Q86" i="20" s="1"/>
  <c r="AO83" i="20" a="1"/>
  <c r="AO83" i="20" s="1"/>
  <c r="AK83" i="20" a="1"/>
  <c r="AK83" i="20" s="1"/>
  <c r="AC83" i="20" a="1"/>
  <c r="AC83" i="20" s="1"/>
  <c r="X83" i="20" a="1"/>
  <c r="X83" i="20" s="1"/>
  <c r="I83" i="20" a="1"/>
  <c r="I83" i="20" s="1"/>
  <c r="CN82" i="20"/>
  <c r="CC82" i="20"/>
  <c r="CB82" i="20"/>
  <c r="BN82" i="20"/>
  <c r="BF82" i="20"/>
  <c r="BD82" i="20"/>
  <c r="AT82" i="20"/>
  <c r="AH82" i="20"/>
  <c r="AA82" i="20"/>
  <c r="X82" i="20"/>
  <c r="Q82" i="20"/>
  <c r="E82" i="20"/>
  <c r="AH83" i="20" s="1" a="1"/>
  <c r="AH83" i="20" s="1"/>
  <c r="CM79" i="20"/>
  <c r="BU79" i="20"/>
  <c r="Q79" i="20"/>
  <c r="E79" i="20"/>
  <c r="BB77" i="20" a="1"/>
  <c r="BB77" i="20" s="1"/>
  <c r="AZ77" i="20" a="1"/>
  <c r="AZ77" i="20" s="1"/>
  <c r="AW77" i="20" a="1"/>
  <c r="AW77" i="20" s="1"/>
  <c r="AV77" i="20" a="1"/>
  <c r="AV77" i="20" s="1"/>
  <c r="AQ77" i="20" a="1"/>
  <c r="AQ77" i="20" s="1"/>
  <c r="AN77" i="20" a="1"/>
  <c r="AN77" i="20" s="1"/>
  <c r="AJ77" i="20" a="1"/>
  <c r="AJ77" i="20" s="1"/>
  <c r="AI77" i="20" a="1"/>
  <c r="AI77" i="20" s="1"/>
  <c r="AE77" i="20" a="1"/>
  <c r="AE77" i="20" s="1"/>
  <c r="AD77" i="20" a="1"/>
  <c r="AD77" i="20" s="1"/>
  <c r="AC77" i="20" a="1"/>
  <c r="AC77" i="20" s="1"/>
  <c r="Z77" i="20" a="1"/>
  <c r="Z77" i="20" s="1"/>
  <c r="Y77" i="20"/>
  <c r="Y77" i="20" a="1"/>
  <c r="V77" i="20" a="1"/>
  <c r="V77" i="20" s="1"/>
  <c r="U77" i="20" a="1"/>
  <c r="U77" i="20" s="1"/>
  <c r="S77" i="20" a="1"/>
  <c r="S77" i="20" s="1"/>
  <c r="Q77" i="20" a="1"/>
  <c r="Q77" i="20" s="1"/>
  <c r="O77" i="20" a="1"/>
  <c r="O77" i="20" s="1"/>
  <c r="N77" i="20" a="1"/>
  <c r="N77" i="20" s="1"/>
  <c r="K77" i="20" a="1"/>
  <c r="K77" i="20" s="1"/>
  <c r="I77" i="20" a="1"/>
  <c r="I77" i="20" s="1"/>
  <c r="CU76" i="20"/>
  <c r="CP76" i="20"/>
  <c r="CO76" i="20"/>
  <c r="CN76" i="20"/>
  <c r="CL76" i="20"/>
  <c r="CH76" i="20"/>
  <c r="CG76" i="20"/>
  <c r="CE76" i="20"/>
  <c r="CD76" i="20"/>
  <c r="BZ76" i="20"/>
  <c r="BX76" i="20"/>
  <c r="BW76" i="20"/>
  <c r="BV76" i="20"/>
  <c r="BQ76" i="20"/>
  <c r="BP76" i="20"/>
  <c r="BO76" i="20"/>
  <c r="BJ76" i="20"/>
  <c r="BI76" i="20"/>
  <c r="BH76" i="20"/>
  <c r="BF76" i="20"/>
  <c r="BA76" i="20"/>
  <c r="AZ76" i="20"/>
  <c r="AX76" i="20"/>
  <c r="AW76" i="20"/>
  <c r="AS76" i="20"/>
  <c r="AQ76" i="20"/>
  <c r="AP76" i="20"/>
  <c r="AO76" i="20"/>
  <c r="AJ76" i="20"/>
  <c r="AI76" i="20"/>
  <c r="AH76" i="20"/>
  <c r="AC76" i="20"/>
  <c r="AB76" i="20"/>
  <c r="AA76" i="20"/>
  <c r="Y76" i="20"/>
  <c r="U76" i="20"/>
  <c r="T76" i="20"/>
  <c r="R76" i="20"/>
  <c r="Q76" i="20"/>
  <c r="M76" i="20"/>
  <c r="K76" i="20"/>
  <c r="I76" i="20"/>
  <c r="H76" i="20"/>
  <c r="E76" i="20"/>
  <c r="BA77" i="20" s="1" a="1"/>
  <c r="BA77" i="20" s="1"/>
  <c r="AZ74" i="20" a="1"/>
  <c r="AZ74" i="20" s="1"/>
  <c r="AU74" i="20" a="1"/>
  <c r="AU74" i="20" s="1"/>
  <c r="AR74" i="20" a="1"/>
  <c r="AR74" i="20" s="1"/>
  <c r="AI74" i="20" a="1"/>
  <c r="AI74" i="20" s="1"/>
  <c r="AG74" i="20" a="1"/>
  <c r="AG74" i="20" s="1"/>
  <c r="AE74" i="20" a="1"/>
  <c r="AE74" i="20" s="1"/>
  <c r="Y74" i="20"/>
  <c r="Y74" i="20" a="1"/>
  <c r="M74" i="20" a="1"/>
  <c r="M74" i="20" s="1"/>
  <c r="CT73" i="20"/>
  <c r="CR73" i="20"/>
  <c r="CK73" i="20"/>
  <c r="CJ73" i="20"/>
  <c r="CE73" i="20"/>
  <c r="BZ73" i="20"/>
  <c r="BS73" i="20"/>
  <c r="BL73" i="20"/>
  <c r="BJ73" i="20"/>
  <c r="BG73" i="20"/>
  <c r="AW73" i="20"/>
  <c r="AV73" i="20"/>
  <c r="AT73" i="20"/>
  <c r="AH73" i="20"/>
  <c r="AE73" i="20"/>
  <c r="Z73" i="20"/>
  <c r="U73" i="20"/>
  <c r="R73" i="20"/>
  <c r="M73" i="20"/>
  <c r="H73" i="20"/>
  <c r="E73" i="20"/>
  <c r="AQ71" i="20" a="1"/>
  <c r="AQ71" i="20" s="1"/>
  <c r="AJ71" i="20" a="1"/>
  <c r="AJ71" i="20" s="1"/>
  <c r="AH71" i="20" a="1"/>
  <c r="AH71" i="20" s="1"/>
  <c r="Z71" i="20" a="1"/>
  <c r="Z71" i="20" s="1"/>
  <c r="X71" i="20" a="1"/>
  <c r="X71" i="20" s="1"/>
  <c r="L71" i="20" a="1"/>
  <c r="L71" i="20" s="1"/>
  <c r="I71" i="20" a="1"/>
  <c r="I71" i="20" s="1"/>
  <c r="CR70" i="20"/>
  <c r="CQ70" i="20"/>
  <c r="CI70" i="20"/>
  <c r="CA70" i="20"/>
  <c r="BW70" i="20"/>
  <c r="BT70" i="20"/>
  <c r="BP70" i="20"/>
  <c r="BK70" i="20"/>
  <c r="BB70" i="20"/>
  <c r="BA70" i="20"/>
  <c r="AY70" i="20"/>
  <c r="AU70" i="20"/>
  <c r="AR70" i="20"/>
  <c r="AL70" i="20"/>
  <c r="AI70" i="20"/>
  <c r="AH70" i="20"/>
  <c r="AF70" i="20"/>
  <c r="AB70" i="20"/>
  <c r="V70" i="20"/>
  <c r="T70" i="20"/>
  <c r="P70" i="20"/>
  <c r="O70" i="20"/>
  <c r="K70" i="20"/>
  <c r="E70" i="20"/>
  <c r="CK70" i="20" s="1"/>
  <c r="CO67" i="20"/>
  <c r="BX67" i="20"/>
  <c r="BQ67" i="20"/>
  <c r="AY67" i="20"/>
  <c r="AR67" i="20"/>
  <c r="AA67" i="20"/>
  <c r="S67" i="20"/>
  <c r="E67" i="20"/>
  <c r="AU68" i="20" s="1" a="1"/>
  <c r="AU68" i="20" s="1"/>
  <c r="E64" i="20"/>
  <c r="U65" i="20" s="1" a="1"/>
  <c r="U65" i="20" s="1"/>
  <c r="CT61" i="20"/>
  <c r="AW61" i="20"/>
  <c r="Y61" i="20"/>
  <c r="K61" i="20"/>
  <c r="E61" i="20"/>
  <c r="AI62" i="20" s="1" a="1"/>
  <c r="AI62" i="20" s="1"/>
  <c r="CN58" i="20"/>
  <c r="BT58" i="20"/>
  <c r="BA58" i="20"/>
  <c r="AF58" i="20"/>
  <c r="O58" i="20"/>
  <c r="E58" i="20"/>
  <c r="AM59" i="20" s="1" a="1"/>
  <c r="AM59" i="20" s="1"/>
  <c r="AW56" i="20" a="1"/>
  <c r="AW56" i="20" s="1"/>
  <c r="AS56" i="20" a="1"/>
  <c r="AS56" i="20" s="1"/>
  <c r="AO56" i="20" a="1"/>
  <c r="AO56" i="20" s="1"/>
  <c r="AG56" i="20" a="1"/>
  <c r="AG56" i="20" s="1"/>
  <c r="AC56" i="20" a="1"/>
  <c r="AC56" i="20" s="1"/>
  <c r="Y56" i="20" a="1"/>
  <c r="Y56" i="20" s="1"/>
  <c r="S56" i="20" a="1"/>
  <c r="S56" i="20" s="1"/>
  <c r="Q56" i="20" a="1"/>
  <c r="Q56" i="20" s="1"/>
  <c r="O56" i="20" a="1"/>
  <c r="O56" i="20" s="1"/>
  <c r="K56" i="20" a="1"/>
  <c r="K56" i="20" s="1"/>
  <c r="CT55" i="20"/>
  <c r="CP55" i="20"/>
  <c r="CL55" i="20"/>
  <c r="CH55" i="20"/>
  <c r="CG55" i="20"/>
  <c r="BZ55" i="20"/>
  <c r="BY55" i="20"/>
  <c r="BV55" i="20"/>
  <c r="BQ55" i="20"/>
  <c r="BN55" i="20"/>
  <c r="BJ55" i="20"/>
  <c r="BF55" i="20"/>
  <c r="BA55" i="20"/>
  <c r="AZ55" i="20"/>
  <c r="AS55" i="20"/>
  <c r="AR55" i="20"/>
  <c r="AO55" i="20"/>
  <c r="AJ55" i="20"/>
  <c r="AG55" i="20"/>
  <c r="AC55" i="20"/>
  <c r="Y55" i="20"/>
  <c r="U55" i="20"/>
  <c r="T55" i="20"/>
  <c r="M55" i="20"/>
  <c r="L55" i="20"/>
  <c r="H55" i="20"/>
  <c r="E55" i="20"/>
  <c r="BA56" i="20" s="1" a="1"/>
  <c r="BA56" i="20" s="1"/>
  <c r="E52" i="20"/>
  <c r="AT53" i="20" s="1" a="1"/>
  <c r="AT53" i="20" s="1"/>
  <c r="E49" i="20"/>
  <c r="CI49" i="20" s="1"/>
  <c r="BB47" i="20" a="1"/>
  <c r="BB47" i="20" s="1"/>
  <c r="AD47" i="20" a="1"/>
  <c r="AD47" i="20" s="1"/>
  <c r="S47" i="20" a="1"/>
  <c r="S47" i="20" s="1"/>
  <c r="BA46" i="20"/>
  <c r="P46" i="20"/>
  <c r="E46" i="20"/>
  <c r="AQ44" i="20" a="1"/>
  <c r="AQ44" i="20" s="1"/>
  <c r="U44" i="20" a="1"/>
  <c r="U44" i="20" s="1"/>
  <c r="K44" i="20" a="1"/>
  <c r="K44" i="20" s="1"/>
  <c r="AR43" i="20"/>
  <c r="AK43" i="20"/>
  <c r="AF43" i="20"/>
  <c r="L43" i="20"/>
  <c r="E43" i="20"/>
  <c r="R43" i="20" s="1"/>
  <c r="BA41" i="20" a="1"/>
  <c r="BA41" i="20" s="1"/>
  <c r="AZ41" i="20" a="1"/>
  <c r="AZ41" i="20" s="1"/>
  <c r="AY41" i="20" a="1"/>
  <c r="AY41" i="20" s="1"/>
  <c r="AW41" i="20" a="1"/>
  <c r="AW41" i="20" s="1"/>
  <c r="AV41" i="20" a="1"/>
  <c r="AV41" i="20" s="1"/>
  <c r="AU41" i="20" a="1"/>
  <c r="AU41" i="20" s="1"/>
  <c r="AR41" i="20" a="1"/>
  <c r="AR41" i="20" s="1"/>
  <c r="AQ41" i="20" a="1"/>
  <c r="AQ41" i="20" s="1"/>
  <c r="AO41" i="20" a="1"/>
  <c r="AO41" i="20" s="1"/>
  <c r="AM41" i="20" a="1"/>
  <c r="AM41" i="20" s="1"/>
  <c r="AK41" i="20" a="1"/>
  <c r="AK41" i="20" s="1"/>
  <c r="AJ41" i="20" a="1"/>
  <c r="AJ41" i="20" s="1"/>
  <c r="AG41" i="20" a="1"/>
  <c r="AG41" i="20" s="1"/>
  <c r="AF41" i="20" a="1"/>
  <c r="AF41" i="20" s="1"/>
  <c r="AE41" i="20" a="1"/>
  <c r="AE41" i="20" s="1"/>
  <c r="AB41" i="20" a="1"/>
  <c r="AB41" i="20" s="1"/>
  <c r="AA41" i="20" a="1"/>
  <c r="AA41" i="20" s="1"/>
  <c r="Y41" i="20" a="1"/>
  <c r="Y41" i="20" s="1"/>
  <c r="W41" i="20" a="1"/>
  <c r="W41" i="20" s="1"/>
  <c r="U41" i="20" a="1"/>
  <c r="U41" i="20" s="1"/>
  <c r="T41" i="20" a="1"/>
  <c r="T41" i="20" s="1"/>
  <c r="Q41" i="20" a="1"/>
  <c r="Q41" i="20" s="1"/>
  <c r="P41" i="20" a="1"/>
  <c r="P41" i="20" s="1"/>
  <c r="O41" i="20" a="1"/>
  <c r="O41" i="20" s="1"/>
  <c r="L41" i="20" a="1"/>
  <c r="L41" i="20" s="1"/>
  <c r="K41" i="20" a="1"/>
  <c r="K41" i="20" s="1"/>
  <c r="BB40" i="20"/>
  <c r="AX40" i="20"/>
  <c r="AW40" i="20"/>
  <c r="AU40" i="20"/>
  <c r="AS40" i="20"/>
  <c r="AP40" i="20"/>
  <c r="AO40" i="20"/>
  <c r="AL40" i="20"/>
  <c r="AK40" i="20"/>
  <c r="AH40" i="20"/>
  <c r="AE40" i="20"/>
  <c r="AD40" i="20"/>
  <c r="AC40" i="20"/>
  <c r="Y40" i="20"/>
  <c r="W40" i="20"/>
  <c r="V40" i="20"/>
  <c r="R40" i="20"/>
  <c r="Q40" i="20"/>
  <c r="O40" i="20"/>
  <c r="M40" i="20"/>
  <c r="I40" i="20"/>
  <c r="H40" i="20"/>
  <c r="E40" i="20"/>
  <c r="AN41" i="20" s="1" a="1"/>
  <c r="AN41" i="20" s="1"/>
  <c r="BB38" i="20"/>
  <c r="BA38" i="20"/>
  <c r="AZ38" i="20"/>
  <c r="AY38" i="20"/>
  <c r="AX38" i="20"/>
  <c r="AW38" i="20"/>
  <c r="AV38" i="20"/>
  <c r="AU38" i="20"/>
  <c r="AT38" i="20"/>
  <c r="AS38" i="20"/>
  <c r="AR38" i="20"/>
  <c r="AQ38" i="20"/>
  <c r="AP38" i="20"/>
  <c r="AO38" i="20"/>
  <c r="AN38" i="20"/>
  <c r="AM38" i="20"/>
  <c r="AL38" i="20"/>
  <c r="AK38" i="20"/>
  <c r="AJ38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I38" i="20"/>
  <c r="BB37" i="20"/>
  <c r="BA37" i="20"/>
  <c r="AZ37" i="20"/>
  <c r="AY37" i="20"/>
  <c r="AX37" i="20"/>
  <c r="AW37" i="20"/>
  <c r="AV37" i="20"/>
  <c r="AU37" i="20"/>
  <c r="AT37" i="20"/>
  <c r="AS37" i="20"/>
  <c r="AR37" i="20"/>
  <c r="AQ37" i="20"/>
  <c r="AP37" i="20"/>
  <c r="AO37" i="20"/>
  <c r="AN37" i="20"/>
  <c r="AM37" i="20"/>
  <c r="AL37" i="20"/>
  <c r="AK37" i="20"/>
  <c r="AJ37" i="20"/>
  <c r="AI37" i="20"/>
  <c r="AH37" i="20"/>
  <c r="AG37" i="20"/>
  <c r="AF37" i="20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I37" i="20"/>
  <c r="CU35" i="20"/>
  <c r="CT35" i="20"/>
  <c r="CS35" i="20"/>
  <c r="CR35" i="20"/>
  <c r="CQ35" i="20"/>
  <c r="CP35" i="20"/>
  <c r="CO35" i="20"/>
  <c r="CN35" i="20"/>
  <c r="CM35" i="20"/>
  <c r="CL35" i="20"/>
  <c r="CK35" i="20"/>
  <c r="CJ35" i="20"/>
  <c r="CI35" i="20"/>
  <c r="CH35" i="20"/>
  <c r="CG35" i="20"/>
  <c r="CF35" i="20"/>
  <c r="CE35" i="20"/>
  <c r="CD35" i="20"/>
  <c r="CC35" i="20"/>
  <c r="CB35" i="20"/>
  <c r="CA35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BM35" i="20"/>
  <c r="BL35" i="20"/>
  <c r="BK35" i="20"/>
  <c r="BJ35" i="20"/>
  <c r="BI35" i="20"/>
  <c r="BH35" i="20"/>
  <c r="BG35" i="20"/>
  <c r="BF35" i="20"/>
  <c r="BE35" i="20"/>
  <c r="BD35" i="20"/>
  <c r="CU34" i="20"/>
  <c r="CT34" i="20"/>
  <c r="CS34" i="20"/>
  <c r="CR34" i="20"/>
  <c r="CQ34" i="20"/>
  <c r="CP34" i="20"/>
  <c r="CO34" i="20"/>
  <c r="CN34" i="20"/>
  <c r="CM34" i="20"/>
  <c r="CL34" i="20"/>
  <c r="CK34" i="20"/>
  <c r="CJ34" i="20"/>
  <c r="CI34" i="20"/>
  <c r="CH34" i="20"/>
  <c r="CG34" i="20"/>
  <c r="CF34" i="20"/>
  <c r="CE34" i="20"/>
  <c r="CD34" i="20"/>
  <c r="CC34" i="20"/>
  <c r="CB34" i="20"/>
  <c r="CA34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BM34" i="20"/>
  <c r="BL34" i="20"/>
  <c r="BK34" i="20"/>
  <c r="BJ34" i="20"/>
  <c r="BI34" i="20"/>
  <c r="BH34" i="20"/>
  <c r="BG34" i="20"/>
  <c r="BF34" i="20"/>
  <c r="BE34" i="20"/>
  <c r="BD34" i="20"/>
  <c r="C34" i="20"/>
  <c r="CU33" i="20"/>
  <c r="CT33" i="20"/>
  <c r="CS33" i="20"/>
  <c r="CR33" i="20"/>
  <c r="CQ33" i="20"/>
  <c r="CP33" i="20"/>
  <c r="CO33" i="20"/>
  <c r="CN33" i="20"/>
  <c r="CM33" i="20"/>
  <c r="CL33" i="20"/>
  <c r="CK33" i="20"/>
  <c r="CJ33" i="20"/>
  <c r="CI33" i="20"/>
  <c r="CH33" i="20"/>
  <c r="CG33" i="20"/>
  <c r="CF33" i="20"/>
  <c r="CE33" i="20"/>
  <c r="CD33" i="20"/>
  <c r="CC33" i="20"/>
  <c r="CB33" i="20"/>
  <c r="CA33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BM33" i="20"/>
  <c r="BL33" i="20"/>
  <c r="BK33" i="20"/>
  <c r="BJ33" i="20"/>
  <c r="BI33" i="20"/>
  <c r="BH33" i="20"/>
  <c r="BG33" i="20"/>
  <c r="BF33" i="20"/>
  <c r="BE33" i="20"/>
  <c r="BD33" i="20"/>
  <c r="C33" i="20"/>
  <c r="CU32" i="20"/>
  <c r="CT32" i="20"/>
  <c r="CS32" i="20"/>
  <c r="CR32" i="20"/>
  <c r="CQ32" i="20"/>
  <c r="CP32" i="20"/>
  <c r="CO32" i="20"/>
  <c r="CN32" i="20"/>
  <c r="CM32" i="20"/>
  <c r="CL32" i="20"/>
  <c r="CK32" i="20"/>
  <c r="CJ32" i="20"/>
  <c r="CI32" i="20"/>
  <c r="CH32" i="20"/>
  <c r="CG32" i="20"/>
  <c r="CF32" i="20"/>
  <c r="CE32" i="20"/>
  <c r="CD32" i="20"/>
  <c r="CC32" i="20"/>
  <c r="CB32" i="20"/>
  <c r="CA32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BM32" i="20"/>
  <c r="BL32" i="20"/>
  <c r="BK32" i="20"/>
  <c r="BJ32" i="20"/>
  <c r="BI32" i="20"/>
  <c r="BH32" i="20"/>
  <c r="BG32" i="20"/>
  <c r="BF32" i="20"/>
  <c r="BE32" i="20"/>
  <c r="BD32" i="20"/>
  <c r="C32" i="20"/>
  <c r="CU31" i="20"/>
  <c r="CT31" i="20"/>
  <c r="CS31" i="20"/>
  <c r="CR31" i="20"/>
  <c r="CQ31" i="20"/>
  <c r="CP31" i="20"/>
  <c r="CO31" i="20"/>
  <c r="CN31" i="20"/>
  <c r="CM31" i="20"/>
  <c r="CL31" i="20"/>
  <c r="CK31" i="20"/>
  <c r="CJ31" i="20"/>
  <c r="CI31" i="20"/>
  <c r="CH31" i="20"/>
  <c r="CG31" i="20"/>
  <c r="CF31" i="20"/>
  <c r="CE31" i="20"/>
  <c r="CD31" i="20"/>
  <c r="CC31" i="20"/>
  <c r="CB31" i="20"/>
  <c r="CA31" i="20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BM31" i="20"/>
  <c r="BL31" i="20"/>
  <c r="BK31" i="20"/>
  <c r="BJ31" i="20"/>
  <c r="BI31" i="20"/>
  <c r="BH31" i="20"/>
  <c r="BG31" i="20"/>
  <c r="BF31" i="20"/>
  <c r="BE31" i="20"/>
  <c r="BD31" i="20"/>
  <c r="C31" i="20"/>
  <c r="CU30" i="20"/>
  <c r="CT30" i="20"/>
  <c r="CS30" i="20"/>
  <c r="CR30" i="20"/>
  <c r="CQ30" i="20"/>
  <c r="CP30" i="20"/>
  <c r="CO30" i="20"/>
  <c r="CN30" i="20"/>
  <c r="CM30" i="20"/>
  <c r="CL30" i="20"/>
  <c r="CK30" i="20"/>
  <c r="CJ30" i="20"/>
  <c r="CI30" i="20"/>
  <c r="CH30" i="20"/>
  <c r="CG30" i="20"/>
  <c r="CF30" i="20"/>
  <c r="CE30" i="20"/>
  <c r="CD30" i="20"/>
  <c r="CC30" i="20"/>
  <c r="CB30" i="20"/>
  <c r="CA30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BM30" i="20"/>
  <c r="BL30" i="20"/>
  <c r="BK30" i="20"/>
  <c r="BJ30" i="20"/>
  <c r="BI30" i="20"/>
  <c r="BH30" i="20"/>
  <c r="BG30" i="20"/>
  <c r="BF30" i="20"/>
  <c r="BE30" i="20"/>
  <c r="BD30" i="20"/>
  <c r="C30" i="20"/>
  <c r="CU29" i="20"/>
  <c r="CT29" i="20"/>
  <c r="CS29" i="20"/>
  <c r="CR29" i="20"/>
  <c r="CQ29" i="20"/>
  <c r="CP29" i="20"/>
  <c r="CO29" i="20"/>
  <c r="CN29" i="20"/>
  <c r="CM29" i="20"/>
  <c r="CL29" i="20"/>
  <c r="CK29" i="20"/>
  <c r="CJ29" i="20"/>
  <c r="CI29" i="20"/>
  <c r="CH29" i="20"/>
  <c r="CG29" i="20"/>
  <c r="CF29" i="20"/>
  <c r="CE29" i="20"/>
  <c r="CD29" i="20"/>
  <c r="CC29" i="20"/>
  <c r="CB29" i="20"/>
  <c r="CA29" i="20"/>
  <c r="BZ29" i="20"/>
  <c r="BY29" i="20"/>
  <c r="BY43" i="20" s="1"/>
  <c r="BX29" i="20"/>
  <c r="BW29" i="20"/>
  <c r="BV29" i="20"/>
  <c r="BU29" i="20"/>
  <c r="BT29" i="20"/>
  <c r="BS29" i="20"/>
  <c r="BR29" i="20"/>
  <c r="BQ29" i="20"/>
  <c r="BP29" i="20"/>
  <c r="BO29" i="20"/>
  <c r="BN29" i="20"/>
  <c r="BM29" i="20"/>
  <c r="BL29" i="20"/>
  <c r="BK29" i="20"/>
  <c r="BJ29" i="20"/>
  <c r="BI29" i="20"/>
  <c r="BH29" i="20"/>
  <c r="BG29" i="20"/>
  <c r="BF29" i="20"/>
  <c r="BE29" i="20"/>
  <c r="BD29" i="20"/>
  <c r="C29" i="20"/>
  <c r="CU28" i="20"/>
  <c r="CT28" i="20"/>
  <c r="CS28" i="20"/>
  <c r="CR28" i="20"/>
  <c r="CQ28" i="20"/>
  <c r="CP28" i="20"/>
  <c r="CO28" i="20"/>
  <c r="CN28" i="20"/>
  <c r="CM28" i="20"/>
  <c r="CL28" i="20"/>
  <c r="CK28" i="20"/>
  <c r="CJ28" i="20"/>
  <c r="CI28" i="20"/>
  <c r="CH28" i="20"/>
  <c r="CG28" i="20"/>
  <c r="CF28" i="20"/>
  <c r="CE28" i="20"/>
  <c r="CD28" i="20"/>
  <c r="CC28" i="20"/>
  <c r="CB28" i="20"/>
  <c r="CA28" i="20"/>
  <c r="BZ28" i="20"/>
  <c r="BY28" i="20"/>
  <c r="BX28" i="20"/>
  <c r="BW28" i="20"/>
  <c r="BV28" i="20"/>
  <c r="BU28" i="20"/>
  <c r="BT28" i="20"/>
  <c r="BS28" i="20"/>
  <c r="BR28" i="20"/>
  <c r="BQ28" i="20"/>
  <c r="BP28" i="20"/>
  <c r="BO28" i="20"/>
  <c r="BN28" i="20"/>
  <c r="BM28" i="20"/>
  <c r="BL28" i="20"/>
  <c r="BK28" i="20"/>
  <c r="BJ28" i="20"/>
  <c r="BI28" i="20"/>
  <c r="BH28" i="20"/>
  <c r="BG28" i="20"/>
  <c r="BF28" i="20"/>
  <c r="BE28" i="20"/>
  <c r="BD28" i="20"/>
  <c r="C28" i="20"/>
  <c r="CU27" i="20"/>
  <c r="CT27" i="20"/>
  <c r="CS27" i="20"/>
  <c r="CR27" i="20"/>
  <c r="CQ27" i="20"/>
  <c r="CP27" i="20"/>
  <c r="CO27" i="20"/>
  <c r="CN27" i="20"/>
  <c r="CM27" i="20"/>
  <c r="CL27" i="20"/>
  <c r="CK27" i="20"/>
  <c r="CJ27" i="20"/>
  <c r="CI27" i="20"/>
  <c r="CH27" i="20"/>
  <c r="CG27" i="20"/>
  <c r="CF27" i="20"/>
  <c r="CE27" i="20"/>
  <c r="CD27" i="20"/>
  <c r="CC27" i="20"/>
  <c r="CB27" i="20"/>
  <c r="CA27" i="20"/>
  <c r="BZ27" i="20"/>
  <c r="BY27" i="20"/>
  <c r="BX27" i="20"/>
  <c r="BW27" i="20"/>
  <c r="BV27" i="20"/>
  <c r="BU27" i="20"/>
  <c r="BT27" i="20"/>
  <c r="BS27" i="20"/>
  <c r="BR27" i="20"/>
  <c r="BQ27" i="20"/>
  <c r="BP27" i="20"/>
  <c r="BO27" i="20"/>
  <c r="BN27" i="20"/>
  <c r="BM27" i="20"/>
  <c r="BL27" i="20"/>
  <c r="BK27" i="20"/>
  <c r="BJ27" i="20"/>
  <c r="BI27" i="20"/>
  <c r="BH27" i="20"/>
  <c r="BG27" i="20"/>
  <c r="BF27" i="20"/>
  <c r="BE27" i="20"/>
  <c r="BD27" i="20"/>
  <c r="C27" i="20"/>
  <c r="CU26" i="20"/>
  <c r="CT26" i="20"/>
  <c r="CS26" i="20"/>
  <c r="CR26" i="20"/>
  <c r="CQ26" i="20"/>
  <c r="CP26" i="20"/>
  <c r="CO26" i="20"/>
  <c r="CN26" i="20"/>
  <c r="CM26" i="20"/>
  <c r="CL26" i="20"/>
  <c r="CK26" i="20"/>
  <c r="CJ26" i="20"/>
  <c r="CI26" i="20"/>
  <c r="CH26" i="20"/>
  <c r="CG26" i="20"/>
  <c r="CF26" i="20"/>
  <c r="CE26" i="20"/>
  <c r="CD26" i="20"/>
  <c r="CC26" i="20"/>
  <c r="CB26" i="20"/>
  <c r="CA26" i="20"/>
  <c r="BZ26" i="20"/>
  <c r="BY26" i="20"/>
  <c r="BX26" i="20"/>
  <c r="BW26" i="20"/>
  <c r="BV26" i="20"/>
  <c r="BU26" i="20"/>
  <c r="BT26" i="20"/>
  <c r="BS26" i="20"/>
  <c r="BR26" i="20"/>
  <c r="BQ26" i="20"/>
  <c r="BP26" i="20"/>
  <c r="BO26" i="20"/>
  <c r="BN26" i="20"/>
  <c r="BM26" i="20"/>
  <c r="BL26" i="20"/>
  <c r="BK26" i="20"/>
  <c r="BJ26" i="20"/>
  <c r="BI26" i="20"/>
  <c r="BH26" i="20"/>
  <c r="BG26" i="20"/>
  <c r="BF26" i="20"/>
  <c r="BE26" i="20"/>
  <c r="BD26" i="20"/>
  <c r="C26" i="20"/>
  <c r="CU25" i="20"/>
  <c r="CT25" i="20"/>
  <c r="CS25" i="20"/>
  <c r="CR25" i="20"/>
  <c r="CQ25" i="20"/>
  <c r="CP25" i="20"/>
  <c r="CO25" i="20"/>
  <c r="CN25" i="20"/>
  <c r="CM25" i="20"/>
  <c r="CL25" i="20"/>
  <c r="CK25" i="20"/>
  <c r="CJ25" i="20"/>
  <c r="CI25" i="20"/>
  <c r="CH25" i="20"/>
  <c r="CG25" i="20"/>
  <c r="CF25" i="20"/>
  <c r="CE25" i="20"/>
  <c r="CD25" i="20"/>
  <c r="CC25" i="20"/>
  <c r="CB25" i="20"/>
  <c r="CA25" i="20"/>
  <c r="BZ25" i="20"/>
  <c r="BY25" i="20"/>
  <c r="BX25" i="20"/>
  <c r="BW25" i="20"/>
  <c r="BV25" i="20"/>
  <c r="BU25" i="20"/>
  <c r="BT25" i="20"/>
  <c r="BS25" i="20"/>
  <c r="BR25" i="20"/>
  <c r="BQ25" i="20"/>
  <c r="BP25" i="20"/>
  <c r="BO25" i="20"/>
  <c r="BN25" i="20"/>
  <c r="BM25" i="20"/>
  <c r="BL25" i="20"/>
  <c r="BK25" i="20"/>
  <c r="BJ25" i="20"/>
  <c r="BI25" i="20"/>
  <c r="BH25" i="20"/>
  <c r="BG25" i="20"/>
  <c r="BF25" i="20"/>
  <c r="BE25" i="20"/>
  <c r="BD25" i="20"/>
  <c r="C25" i="20"/>
  <c r="CU24" i="20"/>
  <c r="CT24" i="20"/>
  <c r="CS24" i="20"/>
  <c r="CR24" i="20"/>
  <c r="CQ24" i="20"/>
  <c r="CP24" i="20"/>
  <c r="CO24" i="20"/>
  <c r="CN24" i="20"/>
  <c r="CM24" i="20"/>
  <c r="CL24" i="20"/>
  <c r="CK24" i="20"/>
  <c r="CJ24" i="20"/>
  <c r="CI24" i="20"/>
  <c r="CH24" i="20"/>
  <c r="CG24" i="20"/>
  <c r="CF24" i="20"/>
  <c r="CE24" i="20"/>
  <c r="CD24" i="20"/>
  <c r="CC24" i="20"/>
  <c r="CB24" i="20"/>
  <c r="CA24" i="20"/>
  <c r="BZ24" i="20"/>
  <c r="BZ40" i="20" s="1"/>
  <c r="BY24" i="20"/>
  <c r="BX24" i="20"/>
  <c r="BW24" i="20"/>
  <c r="BV24" i="20"/>
  <c r="BU24" i="20"/>
  <c r="BT24" i="20"/>
  <c r="BS24" i="20"/>
  <c r="BR24" i="20"/>
  <c r="BQ24" i="20"/>
  <c r="BP24" i="20"/>
  <c r="BO24" i="20"/>
  <c r="BN24" i="20"/>
  <c r="BM24" i="20"/>
  <c r="BL24" i="20"/>
  <c r="BK24" i="20"/>
  <c r="BJ24" i="20"/>
  <c r="BI24" i="20"/>
  <c r="BH24" i="20"/>
  <c r="BG24" i="20"/>
  <c r="BF24" i="20"/>
  <c r="BE24" i="20"/>
  <c r="BD24" i="20"/>
  <c r="C24" i="20"/>
  <c r="CU23" i="20"/>
  <c r="CT23" i="20"/>
  <c r="CS23" i="20"/>
  <c r="CR23" i="20"/>
  <c r="CR40" i="20" s="1"/>
  <c r="CQ23" i="20"/>
  <c r="CP23" i="20"/>
  <c r="CO23" i="20"/>
  <c r="CN23" i="20"/>
  <c r="CM23" i="20"/>
  <c r="CL23" i="20"/>
  <c r="CK23" i="20"/>
  <c r="CJ23" i="20"/>
  <c r="CI23" i="20"/>
  <c r="CH23" i="20"/>
  <c r="CG23" i="20"/>
  <c r="CF23" i="20"/>
  <c r="CE23" i="20"/>
  <c r="CD23" i="20"/>
  <c r="CC23" i="20"/>
  <c r="CB23" i="20"/>
  <c r="CA23" i="20"/>
  <c r="BZ23" i="20"/>
  <c r="BY23" i="20"/>
  <c r="BX23" i="20"/>
  <c r="BW23" i="20"/>
  <c r="BV23" i="20"/>
  <c r="BU23" i="20"/>
  <c r="BT23" i="20"/>
  <c r="BS23" i="20"/>
  <c r="BR23" i="20"/>
  <c r="BQ23" i="20"/>
  <c r="BP23" i="20"/>
  <c r="BO23" i="20"/>
  <c r="BN23" i="20"/>
  <c r="BM23" i="20"/>
  <c r="BL23" i="20"/>
  <c r="BL40" i="20" s="1"/>
  <c r="BK23" i="20"/>
  <c r="BJ23" i="20"/>
  <c r="BI23" i="20"/>
  <c r="BH23" i="20"/>
  <c r="BG23" i="20"/>
  <c r="BF23" i="20"/>
  <c r="BE23" i="20"/>
  <c r="BD23" i="20"/>
  <c r="C23" i="20"/>
  <c r="CU22" i="20"/>
  <c r="CT22" i="20"/>
  <c r="CS22" i="20"/>
  <c r="CR22" i="20"/>
  <c r="CQ22" i="20"/>
  <c r="CP22" i="20"/>
  <c r="CO22" i="20"/>
  <c r="CN22" i="20"/>
  <c r="CM22" i="20"/>
  <c r="CL22" i="20"/>
  <c r="CK22" i="20"/>
  <c r="CJ22" i="20"/>
  <c r="CI22" i="20"/>
  <c r="CH22" i="20"/>
  <c r="CG22" i="20"/>
  <c r="CF22" i="20"/>
  <c r="CE22" i="20"/>
  <c r="CD22" i="20"/>
  <c r="CC22" i="20"/>
  <c r="CB22" i="20"/>
  <c r="CA22" i="20"/>
  <c r="BZ22" i="20"/>
  <c r="BY22" i="20"/>
  <c r="BX22" i="20"/>
  <c r="BW22" i="20"/>
  <c r="BV22" i="20"/>
  <c r="BU22" i="20"/>
  <c r="BT22" i="20"/>
  <c r="BS22" i="20"/>
  <c r="BR22" i="20"/>
  <c r="BQ22" i="20"/>
  <c r="BP22" i="20"/>
  <c r="BO22" i="20"/>
  <c r="BN22" i="20"/>
  <c r="BM22" i="20"/>
  <c r="BL22" i="20"/>
  <c r="BK22" i="20"/>
  <c r="BJ22" i="20"/>
  <c r="BI22" i="20"/>
  <c r="BH22" i="20"/>
  <c r="BG22" i="20"/>
  <c r="BF22" i="20"/>
  <c r="BE22" i="20"/>
  <c r="BD22" i="20"/>
  <c r="C22" i="20"/>
  <c r="CU21" i="20"/>
  <c r="CT21" i="20"/>
  <c r="CS21" i="20"/>
  <c r="CR21" i="20"/>
  <c r="CQ21" i="20"/>
  <c r="CP21" i="20"/>
  <c r="CO21" i="20"/>
  <c r="CN21" i="20"/>
  <c r="CM21" i="20"/>
  <c r="CL21" i="20"/>
  <c r="CK21" i="20"/>
  <c r="CJ21" i="20"/>
  <c r="CI21" i="20"/>
  <c r="CH21" i="20"/>
  <c r="CG21" i="20"/>
  <c r="CF21" i="20"/>
  <c r="CE21" i="20"/>
  <c r="CD21" i="20"/>
  <c r="CC21" i="20"/>
  <c r="CB21" i="20"/>
  <c r="CA21" i="20"/>
  <c r="BZ21" i="20"/>
  <c r="BY21" i="20"/>
  <c r="BX21" i="20"/>
  <c r="BW21" i="20"/>
  <c r="BV21" i="20"/>
  <c r="BU21" i="20"/>
  <c r="BT21" i="20"/>
  <c r="BS21" i="20"/>
  <c r="BR21" i="20"/>
  <c r="BQ21" i="20"/>
  <c r="BP21" i="20"/>
  <c r="BO21" i="20"/>
  <c r="BN21" i="20"/>
  <c r="BM21" i="20"/>
  <c r="BL21" i="20"/>
  <c r="BK21" i="20"/>
  <c r="BJ21" i="20"/>
  <c r="BI21" i="20"/>
  <c r="BH21" i="20"/>
  <c r="BG21" i="20"/>
  <c r="BF21" i="20"/>
  <c r="BE21" i="20"/>
  <c r="BD21" i="20"/>
  <c r="C21" i="20"/>
  <c r="CU20" i="20"/>
  <c r="CT20" i="20"/>
  <c r="CS20" i="20"/>
  <c r="CR20" i="20"/>
  <c r="CQ20" i="20"/>
  <c r="CP20" i="20"/>
  <c r="CO20" i="20"/>
  <c r="CN20" i="20"/>
  <c r="CM20" i="20"/>
  <c r="CL20" i="20"/>
  <c r="CK20" i="20"/>
  <c r="CJ20" i="20"/>
  <c r="CI20" i="20"/>
  <c r="CH20" i="20"/>
  <c r="CG20" i="20"/>
  <c r="CF20" i="20"/>
  <c r="CE20" i="20"/>
  <c r="CD20" i="20"/>
  <c r="CC20" i="20"/>
  <c r="CB20" i="20"/>
  <c r="CA20" i="20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BM20" i="20"/>
  <c r="BL20" i="20"/>
  <c r="BK20" i="20"/>
  <c r="BJ20" i="20"/>
  <c r="BI20" i="20"/>
  <c r="BH20" i="20"/>
  <c r="BG20" i="20"/>
  <c r="BF20" i="20"/>
  <c r="BE20" i="20"/>
  <c r="BD20" i="20"/>
  <c r="C20" i="20"/>
  <c r="CU19" i="20"/>
  <c r="CT19" i="20"/>
  <c r="CS19" i="20"/>
  <c r="CR19" i="20"/>
  <c r="CQ19" i="20"/>
  <c r="CP19" i="20"/>
  <c r="CO19" i="20"/>
  <c r="CN19" i="20"/>
  <c r="CM19" i="20"/>
  <c r="CL19" i="20"/>
  <c r="CK19" i="20"/>
  <c r="CJ19" i="20"/>
  <c r="CI19" i="20"/>
  <c r="CH19" i="20"/>
  <c r="CG19" i="20"/>
  <c r="CF19" i="20"/>
  <c r="CE19" i="20"/>
  <c r="CD19" i="20"/>
  <c r="CC19" i="20"/>
  <c r="CB19" i="20"/>
  <c r="CA19" i="20"/>
  <c r="BZ19" i="20"/>
  <c r="BY19" i="20"/>
  <c r="BX19" i="20"/>
  <c r="BW19" i="20"/>
  <c r="BV19" i="20"/>
  <c r="BU19" i="20"/>
  <c r="BT19" i="20"/>
  <c r="BS19" i="20"/>
  <c r="BR19" i="20"/>
  <c r="BQ19" i="20"/>
  <c r="BP19" i="20"/>
  <c r="BO19" i="20"/>
  <c r="BN19" i="20"/>
  <c r="BM19" i="20"/>
  <c r="BL19" i="20"/>
  <c r="BK19" i="20"/>
  <c r="BJ19" i="20"/>
  <c r="BI19" i="20"/>
  <c r="BH19" i="20"/>
  <c r="BG19" i="20"/>
  <c r="BF19" i="20"/>
  <c r="BE19" i="20"/>
  <c r="BD19" i="20"/>
  <c r="C19" i="20"/>
  <c r="CU18" i="20"/>
  <c r="CT18" i="20"/>
  <c r="CS18" i="20"/>
  <c r="CR18" i="20"/>
  <c r="CQ18" i="20"/>
  <c r="CP18" i="20"/>
  <c r="CO18" i="20"/>
  <c r="CN18" i="20"/>
  <c r="CM18" i="20"/>
  <c r="CL18" i="20"/>
  <c r="CK18" i="20"/>
  <c r="CJ18" i="20"/>
  <c r="CI18" i="20"/>
  <c r="CH18" i="20"/>
  <c r="CG18" i="20"/>
  <c r="CF18" i="20"/>
  <c r="CE18" i="20"/>
  <c r="CD18" i="20"/>
  <c r="CC18" i="20"/>
  <c r="CB18" i="20"/>
  <c r="CA18" i="20"/>
  <c r="BZ18" i="20"/>
  <c r="BY18" i="20"/>
  <c r="BX18" i="20"/>
  <c r="BW18" i="20"/>
  <c r="BV18" i="20"/>
  <c r="BU18" i="20"/>
  <c r="BT18" i="20"/>
  <c r="BS18" i="20"/>
  <c r="BR18" i="20"/>
  <c r="BQ18" i="20"/>
  <c r="BP18" i="20"/>
  <c r="BO18" i="20"/>
  <c r="BN18" i="20"/>
  <c r="BM18" i="20"/>
  <c r="BL18" i="20"/>
  <c r="BK18" i="20"/>
  <c r="BJ18" i="20"/>
  <c r="BI18" i="20"/>
  <c r="BH18" i="20"/>
  <c r="BG18" i="20"/>
  <c r="BF18" i="20"/>
  <c r="BE18" i="20"/>
  <c r="BD18" i="20"/>
  <c r="C18" i="20"/>
  <c r="CU17" i="20"/>
  <c r="CT17" i="20"/>
  <c r="CS17" i="20"/>
  <c r="CR17" i="20"/>
  <c r="CQ17" i="20"/>
  <c r="CP17" i="20"/>
  <c r="CO17" i="20"/>
  <c r="CN17" i="20"/>
  <c r="CM17" i="20"/>
  <c r="CL17" i="20"/>
  <c r="CK17" i="20"/>
  <c r="CJ17" i="20"/>
  <c r="CI17" i="20"/>
  <c r="CH17" i="20"/>
  <c r="CG17" i="20"/>
  <c r="CF17" i="20"/>
  <c r="CE17" i="20"/>
  <c r="CD17" i="20"/>
  <c r="CC17" i="20"/>
  <c r="CB17" i="20"/>
  <c r="CA17" i="20"/>
  <c r="BZ17" i="20"/>
  <c r="BY17" i="20"/>
  <c r="BX17" i="20"/>
  <c r="BW17" i="20"/>
  <c r="BV17" i="20"/>
  <c r="BU17" i="20"/>
  <c r="BT17" i="20"/>
  <c r="BS17" i="20"/>
  <c r="BR17" i="20"/>
  <c r="BQ17" i="20"/>
  <c r="BP17" i="20"/>
  <c r="BO17" i="20"/>
  <c r="BN17" i="20"/>
  <c r="BM17" i="20"/>
  <c r="BL17" i="20"/>
  <c r="BK17" i="20"/>
  <c r="BJ17" i="20"/>
  <c r="BI17" i="20"/>
  <c r="BH17" i="20"/>
  <c r="BG17" i="20"/>
  <c r="BF17" i="20"/>
  <c r="BE17" i="20"/>
  <c r="BD17" i="20"/>
  <c r="C17" i="20"/>
  <c r="CU16" i="20"/>
  <c r="CT16" i="20"/>
  <c r="CS16" i="20"/>
  <c r="CR16" i="20"/>
  <c r="CQ16" i="20"/>
  <c r="CP16" i="20"/>
  <c r="CO16" i="20"/>
  <c r="CN16" i="20"/>
  <c r="CM16" i="20"/>
  <c r="CL16" i="20"/>
  <c r="CK16" i="20"/>
  <c r="CJ16" i="20"/>
  <c r="CI16" i="20"/>
  <c r="CH16" i="20"/>
  <c r="CG16" i="20"/>
  <c r="CF16" i="20"/>
  <c r="CE16" i="20"/>
  <c r="CD16" i="20"/>
  <c r="CC16" i="20"/>
  <c r="CB16" i="20"/>
  <c r="CA16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BM16" i="20"/>
  <c r="BL16" i="20"/>
  <c r="BK16" i="20"/>
  <c r="BJ16" i="20"/>
  <c r="BI16" i="20"/>
  <c r="BH16" i="20"/>
  <c r="BG16" i="20"/>
  <c r="BF16" i="20"/>
  <c r="BE16" i="20"/>
  <c r="BD16" i="20"/>
  <c r="C16" i="20"/>
  <c r="CU15" i="20"/>
  <c r="CT15" i="20"/>
  <c r="CS15" i="20"/>
  <c r="CR15" i="20"/>
  <c r="CQ15" i="20"/>
  <c r="CP15" i="20"/>
  <c r="CO15" i="20"/>
  <c r="CN15" i="20"/>
  <c r="CM15" i="20"/>
  <c r="CL15" i="20"/>
  <c r="CK15" i="20"/>
  <c r="CJ15" i="20"/>
  <c r="CI15" i="20"/>
  <c r="CH15" i="20"/>
  <c r="CG15" i="20"/>
  <c r="CF15" i="20"/>
  <c r="CE15" i="20"/>
  <c r="CD15" i="20"/>
  <c r="CC15" i="20"/>
  <c r="CB15" i="20"/>
  <c r="CA15" i="20"/>
  <c r="BZ15" i="20"/>
  <c r="BY15" i="20"/>
  <c r="BX15" i="20"/>
  <c r="BW15" i="20"/>
  <c r="BV15" i="20"/>
  <c r="BU15" i="20"/>
  <c r="BT15" i="20"/>
  <c r="BS15" i="20"/>
  <c r="BR15" i="20"/>
  <c r="BQ15" i="20"/>
  <c r="BP15" i="20"/>
  <c r="BO15" i="20"/>
  <c r="BN15" i="20"/>
  <c r="BM15" i="20"/>
  <c r="BL15" i="20"/>
  <c r="BK15" i="20"/>
  <c r="BJ15" i="20"/>
  <c r="BI15" i="20"/>
  <c r="BH15" i="20"/>
  <c r="BG15" i="20"/>
  <c r="BF15" i="20"/>
  <c r="BE15" i="20"/>
  <c r="BD15" i="20"/>
  <c r="C15" i="20"/>
  <c r="CU14" i="20"/>
  <c r="CT14" i="20"/>
  <c r="CS14" i="20"/>
  <c r="CR14" i="20"/>
  <c r="CQ14" i="20"/>
  <c r="CP14" i="20"/>
  <c r="CO14" i="20"/>
  <c r="CN14" i="20"/>
  <c r="CM14" i="20"/>
  <c r="CL14" i="20"/>
  <c r="CK14" i="20"/>
  <c r="CJ14" i="20"/>
  <c r="CI14" i="20"/>
  <c r="CH14" i="20"/>
  <c r="CG14" i="20"/>
  <c r="CF14" i="20"/>
  <c r="CE14" i="20"/>
  <c r="CD14" i="20"/>
  <c r="CC14" i="20"/>
  <c r="CB14" i="20"/>
  <c r="CA14" i="20"/>
  <c r="BZ14" i="20"/>
  <c r="BY14" i="20"/>
  <c r="BX14" i="20"/>
  <c r="BW14" i="20"/>
  <c r="BV14" i="20"/>
  <c r="BU14" i="20"/>
  <c r="BT14" i="20"/>
  <c r="BS14" i="20"/>
  <c r="BR14" i="20"/>
  <c r="BQ14" i="20"/>
  <c r="BP14" i="20"/>
  <c r="BO14" i="20"/>
  <c r="BN14" i="20"/>
  <c r="BM14" i="20"/>
  <c r="BL14" i="20"/>
  <c r="BK14" i="20"/>
  <c r="BJ14" i="20"/>
  <c r="BI14" i="20"/>
  <c r="BH14" i="20"/>
  <c r="BG14" i="20"/>
  <c r="BF14" i="20"/>
  <c r="BE14" i="20"/>
  <c r="BD14" i="20"/>
  <c r="C14" i="20"/>
  <c r="CU13" i="20"/>
  <c r="CT13" i="20"/>
  <c r="CS13" i="20"/>
  <c r="CR13" i="20"/>
  <c r="CQ13" i="20"/>
  <c r="CP13" i="20"/>
  <c r="CO13" i="20"/>
  <c r="CN13" i="20"/>
  <c r="CM13" i="20"/>
  <c r="CL13" i="20"/>
  <c r="CK13" i="20"/>
  <c r="CJ13" i="20"/>
  <c r="CI13" i="20"/>
  <c r="CH13" i="20"/>
  <c r="CG13" i="20"/>
  <c r="CF13" i="20"/>
  <c r="CE13" i="20"/>
  <c r="CD13" i="20"/>
  <c r="CC13" i="20"/>
  <c r="CB13" i="20"/>
  <c r="CA13" i="20"/>
  <c r="BZ13" i="20"/>
  <c r="BY13" i="20"/>
  <c r="BX13" i="20"/>
  <c r="BW13" i="20"/>
  <c r="BV13" i="20"/>
  <c r="BU13" i="20"/>
  <c r="BT13" i="20"/>
  <c r="BS13" i="20"/>
  <c r="BR13" i="20"/>
  <c r="BQ13" i="20"/>
  <c r="BP13" i="20"/>
  <c r="BO13" i="20"/>
  <c r="BN13" i="20"/>
  <c r="BM13" i="20"/>
  <c r="BL13" i="20"/>
  <c r="BK13" i="20"/>
  <c r="BJ13" i="20"/>
  <c r="BI13" i="20"/>
  <c r="BH13" i="20"/>
  <c r="BG13" i="20"/>
  <c r="BF13" i="20"/>
  <c r="BE13" i="20"/>
  <c r="BD13" i="20"/>
  <c r="C13" i="20"/>
  <c r="CU12" i="20"/>
  <c r="CT12" i="20"/>
  <c r="CS12" i="20"/>
  <c r="CR12" i="20"/>
  <c r="CQ12" i="20"/>
  <c r="CP12" i="20"/>
  <c r="CO12" i="20"/>
  <c r="CN12" i="20"/>
  <c r="CM12" i="20"/>
  <c r="CL12" i="20"/>
  <c r="CK12" i="20"/>
  <c r="CJ12" i="20"/>
  <c r="CI12" i="20"/>
  <c r="CH12" i="20"/>
  <c r="CG12" i="20"/>
  <c r="CF12" i="20"/>
  <c r="CE12" i="20"/>
  <c r="CD12" i="20"/>
  <c r="CC12" i="20"/>
  <c r="CB12" i="20"/>
  <c r="CA12" i="20"/>
  <c r="BZ12" i="20"/>
  <c r="BY12" i="20"/>
  <c r="BX12" i="20"/>
  <c r="BW12" i="20"/>
  <c r="BV12" i="20"/>
  <c r="BU12" i="20"/>
  <c r="BT12" i="20"/>
  <c r="BS12" i="20"/>
  <c r="BR12" i="20"/>
  <c r="BQ12" i="20"/>
  <c r="BP12" i="20"/>
  <c r="BO12" i="20"/>
  <c r="BN12" i="20"/>
  <c r="BM12" i="20"/>
  <c r="BL12" i="20"/>
  <c r="BK12" i="20"/>
  <c r="BJ12" i="20"/>
  <c r="BI12" i="20"/>
  <c r="BH12" i="20"/>
  <c r="BG12" i="20"/>
  <c r="BF12" i="20"/>
  <c r="BE12" i="20"/>
  <c r="BD12" i="20"/>
  <c r="C12" i="20"/>
  <c r="CU11" i="20"/>
  <c r="CT11" i="20"/>
  <c r="CS11" i="20"/>
  <c r="CR11" i="20"/>
  <c r="CQ11" i="20"/>
  <c r="CP11" i="20"/>
  <c r="CO11" i="20"/>
  <c r="CN11" i="20"/>
  <c r="CM11" i="20"/>
  <c r="CL11" i="20"/>
  <c r="CK11" i="20"/>
  <c r="CJ11" i="20"/>
  <c r="CI11" i="20"/>
  <c r="CH11" i="20"/>
  <c r="CG11" i="20"/>
  <c r="CF11" i="20"/>
  <c r="CE11" i="20"/>
  <c r="CE40" i="20" s="1"/>
  <c r="CD11" i="20"/>
  <c r="CC11" i="20"/>
  <c r="CB11" i="20"/>
  <c r="CA11" i="20"/>
  <c r="BZ11" i="20"/>
  <c r="BY11" i="20"/>
  <c r="BX11" i="20"/>
  <c r="BW11" i="20"/>
  <c r="BV11" i="20"/>
  <c r="BU11" i="20"/>
  <c r="BT11" i="20"/>
  <c r="BS11" i="20"/>
  <c r="BR11" i="20"/>
  <c r="BQ11" i="20"/>
  <c r="BP11" i="20"/>
  <c r="BO11" i="20"/>
  <c r="BN11" i="20"/>
  <c r="BM11" i="20"/>
  <c r="BL11" i="20"/>
  <c r="BK11" i="20"/>
  <c r="BJ11" i="20"/>
  <c r="BI11" i="20"/>
  <c r="BH11" i="20"/>
  <c r="BG11" i="20"/>
  <c r="BG40" i="20" s="1"/>
  <c r="BF11" i="20"/>
  <c r="BE11" i="20"/>
  <c r="BD11" i="20"/>
  <c r="C11" i="20"/>
  <c r="CU10" i="20"/>
  <c r="CT10" i="20"/>
  <c r="CS10" i="20"/>
  <c r="CR10" i="20"/>
  <c r="CQ10" i="20"/>
  <c r="CP10" i="20"/>
  <c r="CO10" i="20"/>
  <c r="CN10" i="20"/>
  <c r="CM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O10" i="20"/>
  <c r="BN10" i="20"/>
  <c r="BM10" i="20"/>
  <c r="BM43" i="20" s="1"/>
  <c r="BL10" i="20"/>
  <c r="BK10" i="20"/>
  <c r="BJ10" i="20"/>
  <c r="BI10" i="20"/>
  <c r="BH10" i="20"/>
  <c r="BG10" i="20"/>
  <c r="BF10" i="20"/>
  <c r="BE10" i="20"/>
  <c r="BD10" i="20"/>
  <c r="C10" i="20"/>
  <c r="CU9" i="20"/>
  <c r="CT9" i="20"/>
  <c r="CS9" i="20"/>
  <c r="CR9" i="20"/>
  <c r="CQ9" i="20"/>
  <c r="CP9" i="20"/>
  <c r="CO9" i="20"/>
  <c r="CN9" i="20"/>
  <c r="CM9" i="20"/>
  <c r="CL9" i="20"/>
  <c r="CK9" i="20"/>
  <c r="CJ9" i="20"/>
  <c r="CI9" i="20"/>
  <c r="CH9" i="20"/>
  <c r="CG9" i="20"/>
  <c r="CF9" i="20"/>
  <c r="CE9" i="20"/>
  <c r="CD9" i="20"/>
  <c r="CC9" i="20"/>
  <c r="CB9" i="20"/>
  <c r="CA9" i="20"/>
  <c r="BZ9" i="20"/>
  <c r="BY9" i="20"/>
  <c r="BX9" i="20"/>
  <c r="BW9" i="20"/>
  <c r="BV9" i="20"/>
  <c r="BU9" i="20"/>
  <c r="BT9" i="20"/>
  <c r="BS9" i="20"/>
  <c r="BR9" i="20"/>
  <c r="BQ9" i="20"/>
  <c r="BP9" i="20"/>
  <c r="BO9" i="20"/>
  <c r="BN9" i="20"/>
  <c r="BM9" i="20"/>
  <c r="BL9" i="20"/>
  <c r="BK9" i="20"/>
  <c r="BJ9" i="20"/>
  <c r="BI9" i="20"/>
  <c r="BH9" i="20"/>
  <c r="BG9" i="20"/>
  <c r="BF9" i="20"/>
  <c r="BE9" i="20"/>
  <c r="BD9" i="20"/>
  <c r="C9" i="20"/>
  <c r="CU8" i="20"/>
  <c r="CT8" i="20"/>
  <c r="CS8" i="20"/>
  <c r="CR8" i="20"/>
  <c r="CQ8" i="20"/>
  <c r="CP8" i="20"/>
  <c r="CP37" i="20" s="1"/>
  <c r="CO8" i="20"/>
  <c r="CN8" i="20"/>
  <c r="CM8" i="20"/>
  <c r="CL8" i="20"/>
  <c r="CL43" i="20" s="1"/>
  <c r="CK8" i="20"/>
  <c r="CJ8" i="20"/>
  <c r="CI8" i="20"/>
  <c r="CH8" i="20"/>
  <c r="CH38" i="20" s="1"/>
  <c r="CG8" i="20"/>
  <c r="CF8" i="20"/>
  <c r="CE8" i="20"/>
  <c r="CE43" i="20" s="1"/>
  <c r="CD8" i="20"/>
  <c r="CC8" i="20"/>
  <c r="CB8" i="20"/>
  <c r="CA8" i="20"/>
  <c r="BZ8" i="20"/>
  <c r="BY8" i="20"/>
  <c r="BX8" i="20"/>
  <c r="BW8" i="20"/>
  <c r="BV8" i="20"/>
  <c r="BU8" i="20"/>
  <c r="BT8" i="20"/>
  <c r="BS8" i="20"/>
  <c r="BR8" i="20"/>
  <c r="BQ8" i="20"/>
  <c r="BP8" i="20"/>
  <c r="BO8" i="20"/>
  <c r="BN8" i="20"/>
  <c r="BM8" i="20"/>
  <c r="BL8" i="20"/>
  <c r="BK8" i="20"/>
  <c r="BJ8" i="20"/>
  <c r="BJ37" i="20" s="1"/>
  <c r="BI8" i="20"/>
  <c r="BH8" i="20"/>
  <c r="BG8" i="20"/>
  <c r="BF8" i="20"/>
  <c r="BF43" i="20" s="1"/>
  <c r="BE8" i="20"/>
  <c r="BD8" i="20"/>
  <c r="C8" i="20"/>
  <c r="CU7" i="20"/>
  <c r="CU38" i="20" s="1"/>
  <c r="CT7" i="20"/>
  <c r="CS7" i="20"/>
  <c r="CR7" i="20"/>
  <c r="CQ7" i="20"/>
  <c r="CP7" i="20"/>
  <c r="CO7" i="20"/>
  <c r="CN7" i="20"/>
  <c r="CM7" i="20"/>
  <c r="CL7" i="20"/>
  <c r="CK7" i="20"/>
  <c r="CJ7" i="20"/>
  <c r="CI7" i="20"/>
  <c r="CH7" i="20"/>
  <c r="CG7" i="20"/>
  <c r="CF7" i="20"/>
  <c r="CE7" i="20"/>
  <c r="CD7" i="20"/>
  <c r="CC7" i="20"/>
  <c r="CB7" i="20"/>
  <c r="CA7" i="20"/>
  <c r="CA47" i="20" s="1" a="1"/>
  <c r="CA47" i="20" s="1"/>
  <c r="BZ7" i="20"/>
  <c r="BY7" i="20"/>
  <c r="BX7" i="20"/>
  <c r="BW7" i="20"/>
  <c r="BW37" i="20" s="1"/>
  <c r="BV7" i="20"/>
  <c r="BU7" i="20"/>
  <c r="BT7" i="20"/>
  <c r="BS7" i="20"/>
  <c r="BS47" i="20" s="1" a="1"/>
  <c r="BS47" i="20" s="1"/>
  <c r="BR7" i="20"/>
  <c r="BQ7" i="20"/>
  <c r="BP7" i="20"/>
  <c r="BO7" i="20"/>
  <c r="BO38" i="20" s="1"/>
  <c r="BN7" i="20"/>
  <c r="BM7" i="20"/>
  <c r="BL7" i="20"/>
  <c r="BK7" i="20"/>
  <c r="BK47" i="20" s="1" a="1"/>
  <c r="BK47" i="20" s="1"/>
  <c r="BJ7" i="20"/>
  <c r="BI7" i="20"/>
  <c r="BH7" i="20"/>
  <c r="BG7" i="20"/>
  <c r="BF7" i="20"/>
  <c r="BE7" i="20"/>
  <c r="BD7" i="20"/>
  <c r="C7" i="20"/>
  <c r="CU6" i="20"/>
  <c r="CT6" i="20"/>
  <c r="CS6" i="20"/>
  <c r="CR6" i="20"/>
  <c r="CR46" i="20" s="1"/>
  <c r="CQ6" i="20"/>
  <c r="CP6" i="20"/>
  <c r="CO6" i="20"/>
  <c r="CN6" i="20"/>
  <c r="CN46" i="20" s="1"/>
  <c r="CM6" i="20"/>
  <c r="CL6" i="20"/>
  <c r="CK6" i="20"/>
  <c r="CJ6" i="20"/>
  <c r="CJ46" i="20" s="1"/>
  <c r="CI6" i="20"/>
  <c r="CH6" i="20"/>
  <c r="CG6" i="20"/>
  <c r="CF6" i="20"/>
  <c r="CE6" i="20"/>
  <c r="CD6" i="20"/>
  <c r="CC6" i="20"/>
  <c r="CB6" i="20"/>
  <c r="CB46" i="20" s="1"/>
  <c r="CA6" i="20"/>
  <c r="BZ6" i="20"/>
  <c r="BY6" i="20"/>
  <c r="BX6" i="20"/>
  <c r="BW6" i="20"/>
  <c r="BV6" i="20"/>
  <c r="BU6" i="20"/>
  <c r="BT6" i="20"/>
  <c r="BS6" i="20"/>
  <c r="BR6" i="20"/>
  <c r="BQ6" i="20"/>
  <c r="BP6" i="20"/>
  <c r="BO6" i="20"/>
  <c r="BN6" i="20"/>
  <c r="BM6" i="20"/>
  <c r="BL6" i="20"/>
  <c r="BK6" i="20"/>
  <c r="BJ6" i="20"/>
  <c r="BI6" i="20"/>
  <c r="BH6" i="20"/>
  <c r="BH46" i="20" s="1"/>
  <c r="BG6" i="20"/>
  <c r="BF6" i="20"/>
  <c r="BE6" i="20"/>
  <c r="BD6" i="20"/>
  <c r="BD46" i="20" s="1"/>
  <c r="C6" i="20"/>
  <c r="CU5" i="20"/>
  <c r="CT5" i="20"/>
  <c r="CS5" i="20"/>
  <c r="CR5" i="20"/>
  <c r="CQ5" i="20"/>
  <c r="CP5" i="20"/>
  <c r="CO5" i="20"/>
  <c r="CN5" i="20"/>
  <c r="CM5" i="20"/>
  <c r="CL5" i="20"/>
  <c r="CL40" i="20" s="1"/>
  <c r="CK5" i="20"/>
  <c r="CJ5" i="20"/>
  <c r="CI5" i="20"/>
  <c r="CH5" i="20"/>
  <c r="CG5" i="20"/>
  <c r="CF5" i="20"/>
  <c r="CE5" i="20"/>
  <c r="CD5" i="20"/>
  <c r="CC5" i="20"/>
  <c r="CB5" i="20"/>
  <c r="CA5" i="20"/>
  <c r="BZ5" i="20"/>
  <c r="BY5" i="20"/>
  <c r="BX5" i="20"/>
  <c r="BW5" i="20"/>
  <c r="BV5" i="20"/>
  <c r="BU5" i="20"/>
  <c r="BT5" i="20"/>
  <c r="BS5" i="20"/>
  <c r="BR5" i="20"/>
  <c r="BQ5" i="20"/>
  <c r="BP5" i="20"/>
  <c r="BO5" i="20"/>
  <c r="BN5" i="20"/>
  <c r="BM5" i="20"/>
  <c r="BL5" i="20"/>
  <c r="BK5" i="20"/>
  <c r="BJ5" i="20"/>
  <c r="BI5" i="20"/>
  <c r="BH5" i="20"/>
  <c r="BG5" i="20"/>
  <c r="BF5" i="20"/>
  <c r="BE5" i="20"/>
  <c r="BD5" i="20"/>
  <c r="C5" i="20"/>
  <c r="CQ4" i="20"/>
  <c r="CP4" i="20"/>
  <c r="CO4" i="20"/>
  <c r="CN4" i="20"/>
  <c r="CL4" i="20"/>
  <c r="CI4" i="20"/>
  <c r="CG4" i="20"/>
  <c r="CF4" i="20"/>
  <c r="CD4" i="20"/>
  <c r="CA4" i="20"/>
  <c r="BZ4" i="20"/>
  <c r="BY4" i="20"/>
  <c r="BX4" i="20"/>
  <c r="BS4" i="20"/>
  <c r="BR4" i="20"/>
  <c r="BQ4" i="20"/>
  <c r="BP4" i="20"/>
  <c r="BN4" i="20"/>
  <c r="BK4" i="20"/>
  <c r="BJ4" i="20"/>
  <c r="BI4" i="20"/>
  <c r="BH4" i="20"/>
  <c r="BF4" i="20"/>
  <c r="BB4" i="20"/>
  <c r="CU4" i="20" s="1"/>
  <c r="BA4" i="20"/>
  <c r="CT4" i="20" s="1"/>
  <c r="AZ4" i="20"/>
  <c r="CS4" i="20" s="1"/>
  <c r="AY4" i="20"/>
  <c r="CR4" i="20" s="1"/>
  <c r="AX4" i="20"/>
  <c r="AW4" i="20"/>
  <c r="AV4" i="20"/>
  <c r="AU4" i="20"/>
  <c r="AT4" i="20"/>
  <c r="CM4" i="20" s="1"/>
  <c r="AS4" i="20"/>
  <c r="AR4" i="20"/>
  <c r="CK4" i="20" s="1"/>
  <c r="AQ4" i="20"/>
  <c r="CJ4" i="20" s="1"/>
  <c r="AP4" i="20"/>
  <c r="AO4" i="20"/>
  <c r="CH4" i="20" s="1"/>
  <c r="AN4" i="20"/>
  <c r="AM4" i="20"/>
  <c r="AL4" i="20"/>
  <c r="CE4" i="20" s="1"/>
  <c r="AK4" i="20"/>
  <c r="AJ4" i="20"/>
  <c r="CC4" i="20" s="1"/>
  <c r="AI4" i="20"/>
  <c r="CB4" i="20" s="1"/>
  <c r="AH4" i="20"/>
  <c r="AG4" i="20"/>
  <c r="AF4" i="20"/>
  <c r="AE4" i="20"/>
  <c r="AD4" i="20"/>
  <c r="BW4" i="20" s="1"/>
  <c r="AC4" i="20"/>
  <c r="BV4" i="20" s="1"/>
  <c r="AB4" i="20"/>
  <c r="BU4" i="20" s="1"/>
  <c r="AA4" i="20"/>
  <c r="BT4" i="20" s="1"/>
  <c r="Z4" i="20"/>
  <c r="Y4" i="20"/>
  <c r="X4" i="20"/>
  <c r="W4" i="20"/>
  <c r="V4" i="20"/>
  <c r="BO4" i="20" s="1"/>
  <c r="U4" i="20"/>
  <c r="T4" i="20"/>
  <c r="BM4" i="20" s="1"/>
  <c r="S4" i="20"/>
  <c r="BL4" i="20" s="1"/>
  <c r="R4" i="20"/>
  <c r="Q4" i="20"/>
  <c r="P4" i="20"/>
  <c r="O4" i="20"/>
  <c r="N4" i="20"/>
  <c r="BG4" i="20" s="1"/>
  <c r="M4" i="20"/>
  <c r="L4" i="20"/>
  <c r="BE4" i="20" s="1"/>
  <c r="K4" i="20"/>
  <c r="BD4" i="20" s="1"/>
  <c r="CU3" i="20"/>
  <c r="CT3" i="20"/>
  <c r="CS3" i="20"/>
  <c r="CR3" i="20"/>
  <c r="CQ3" i="20"/>
  <c r="CP3" i="20"/>
  <c r="CO3" i="20"/>
  <c r="CN3" i="20"/>
  <c r="CM3" i="20"/>
  <c r="CL3" i="20"/>
  <c r="CK3" i="20"/>
  <c r="CJ3" i="20"/>
  <c r="CI3" i="20"/>
  <c r="CH3" i="20"/>
  <c r="CG3" i="20"/>
  <c r="CF3" i="20"/>
  <c r="CE3" i="20"/>
  <c r="CD3" i="20"/>
  <c r="CC3" i="20"/>
  <c r="CB3" i="20"/>
  <c r="CA3" i="20"/>
  <c r="BZ3" i="20"/>
  <c r="BY3" i="20"/>
  <c r="BX3" i="20"/>
  <c r="BW3" i="20"/>
  <c r="BV3" i="20"/>
  <c r="BU3" i="20"/>
  <c r="BT3" i="20"/>
  <c r="BS3" i="20"/>
  <c r="BR3" i="20"/>
  <c r="BQ3" i="20"/>
  <c r="BP3" i="20"/>
  <c r="BO3" i="20"/>
  <c r="BN3" i="20"/>
  <c r="BM3" i="20"/>
  <c r="BL3" i="20"/>
  <c r="BK3" i="20"/>
  <c r="BJ3" i="20"/>
  <c r="BI3" i="20"/>
  <c r="BH3" i="20"/>
  <c r="BG3" i="20"/>
  <c r="BF3" i="20"/>
  <c r="BE3" i="20"/>
  <c r="BD3" i="20"/>
  <c r="BD92" i="19" a="1"/>
  <c r="BD92" i="19" s="1"/>
  <c r="AX92" i="19" a="1"/>
  <c r="AX92" i="19" s="1"/>
  <c r="AV92" i="19" a="1"/>
  <c r="AV92" i="19" s="1"/>
  <c r="AR92" i="19" a="1"/>
  <c r="AR92" i="19" s="1"/>
  <c r="AJ92" i="19" a="1"/>
  <c r="AJ92" i="19" s="1"/>
  <c r="Q92" i="19" a="1"/>
  <c r="Q92" i="19" s="1"/>
  <c r="DB91" i="19"/>
  <c r="CY91" i="19"/>
  <c r="CT91" i="19"/>
  <c r="CI91" i="19"/>
  <c r="CD91" i="19"/>
  <c r="BZ91" i="19"/>
  <c r="BV91" i="19"/>
  <c r="BS91" i="19"/>
  <c r="BI91" i="19"/>
  <c r="BA91" i="19"/>
  <c r="AW91" i="19"/>
  <c r="AS91" i="19"/>
  <c r="AO91" i="19"/>
  <c r="AD91" i="19"/>
  <c r="V91" i="19"/>
  <c r="U91" i="19"/>
  <c r="P91" i="19"/>
  <c r="I91" i="19"/>
  <c r="E91" i="19"/>
  <c r="BF92" i="19" s="1" a="1"/>
  <c r="BF92" i="19" s="1"/>
  <c r="BG89" i="19" a="1"/>
  <c r="BG89" i="19" s="1"/>
  <c r="AM89" i="19" a="1"/>
  <c r="AM89" i="19" s="1"/>
  <c r="T89" i="19" a="1"/>
  <c r="T89" i="19" s="1"/>
  <c r="CL88" i="19"/>
  <c r="CE88" i="19"/>
  <c r="BJ88" i="19"/>
  <c r="BB88" i="19"/>
  <c r="AF88" i="19"/>
  <c r="Y88" i="19"/>
  <c r="E88" i="19"/>
  <c r="AP89" i="19" s="1" a="1"/>
  <c r="AP89" i="19" s="1"/>
  <c r="AL86" i="19" a="1"/>
  <c r="AL86" i="19" s="1"/>
  <c r="CF85" i="19"/>
  <c r="E85" i="19"/>
  <c r="AR86" i="19" s="1" a="1"/>
  <c r="AR86" i="19" s="1"/>
  <c r="BH83" i="19" a="1"/>
  <c r="BH83" i="19" s="1"/>
  <c r="BG83" i="19"/>
  <c r="BG83" i="19" a="1"/>
  <c r="AZ83" i="19" a="1"/>
  <c r="AZ83" i="19" s="1"/>
  <c r="AX83" i="19" a="1"/>
  <c r="AX83" i="19" s="1"/>
  <c r="AV83" i="19" a="1"/>
  <c r="AV83" i="19" s="1"/>
  <c r="AU83" i="19" a="1"/>
  <c r="AU83" i="19" s="1"/>
  <c r="AQ83" i="19" a="1"/>
  <c r="AQ83" i="19" s="1"/>
  <c r="AM83" i="19" a="1"/>
  <c r="AM83" i="19" s="1"/>
  <c r="AL83" i="19" a="1"/>
  <c r="AL83" i="19" s="1"/>
  <c r="AI83" i="19" a="1"/>
  <c r="AI83" i="19" s="1"/>
  <c r="AH83" i="19" a="1"/>
  <c r="AH83" i="19" s="1"/>
  <c r="DC82" i="19"/>
  <c r="CZ82" i="19"/>
  <c r="CY82" i="19"/>
  <c r="CX82" i="19"/>
  <c r="CT82" i="19"/>
  <c r="CP82" i="19"/>
  <c r="CL82" i="19"/>
  <c r="CJ82" i="19"/>
  <c r="CI82" i="19"/>
  <c r="CH82" i="19"/>
  <c r="CB82" i="19"/>
  <c r="BW82" i="19"/>
  <c r="BV82" i="19"/>
  <c r="BT82" i="19"/>
  <c r="BS82" i="19"/>
  <c r="BM82" i="19"/>
  <c r="BI82" i="19"/>
  <c r="BF82" i="19"/>
  <c r="BE82" i="19"/>
  <c r="BC82" i="19"/>
  <c r="AW82" i="19"/>
  <c r="AU82" i="19"/>
  <c r="AS82" i="19"/>
  <c r="AP82" i="19"/>
  <c r="AO82" i="19"/>
  <c r="AK82" i="19"/>
  <c r="AF82" i="19"/>
  <c r="AE82" i="19"/>
  <c r="AC82" i="19"/>
  <c r="Z82" i="19"/>
  <c r="V82" i="19"/>
  <c r="P82" i="19"/>
  <c r="O82" i="19"/>
  <c r="N82" i="19"/>
  <c r="I82" i="19"/>
  <c r="E82" i="19"/>
  <c r="BC83" i="19" s="1" a="1"/>
  <c r="BC83" i="19" s="1"/>
  <c r="BI80" i="19" a="1"/>
  <c r="BI80" i="19" s="1"/>
  <c r="BD80" i="19" a="1"/>
  <c r="BD80" i="19" s="1"/>
  <c r="BA80" i="19" a="1"/>
  <c r="BA80" i="19" s="1"/>
  <c r="AY80" i="19" a="1"/>
  <c r="AY80" i="19" s="1"/>
  <c r="AW80" i="19" a="1"/>
  <c r="AW80" i="19" s="1"/>
  <c r="AV80" i="19" a="1"/>
  <c r="AV80" i="19" s="1"/>
  <c r="AT80" i="19" a="1"/>
  <c r="AT80" i="19" s="1"/>
  <c r="AQ80" i="19" a="1"/>
  <c r="AQ80" i="19" s="1"/>
  <c r="AP80" i="19" a="1"/>
  <c r="AP80" i="19" s="1"/>
  <c r="AN80" i="19" a="1"/>
  <c r="AN80" i="19" s="1"/>
  <c r="AM80" i="19" a="1"/>
  <c r="AM80" i="19" s="1"/>
  <c r="AK80" i="19" a="1"/>
  <c r="AK80" i="19" s="1"/>
  <c r="AH80" i="19" a="1"/>
  <c r="AH80" i="19" s="1"/>
  <c r="AG80" i="19" a="1"/>
  <c r="AG80" i="19" s="1"/>
  <c r="AD80" i="19" a="1"/>
  <c r="AD80" i="19" s="1"/>
  <c r="DC79" i="19"/>
  <c r="DB79" i="19"/>
  <c r="CZ79" i="19"/>
  <c r="CW79" i="19"/>
  <c r="CV79" i="19"/>
  <c r="CT79" i="19"/>
  <c r="CQ79" i="19"/>
  <c r="CO79" i="19"/>
  <c r="CN79" i="19"/>
  <c r="CJ79" i="19"/>
  <c r="CI79" i="19"/>
  <c r="CH79" i="19"/>
  <c r="CE79" i="19"/>
  <c r="CD79" i="19"/>
  <c r="CA79" i="19"/>
  <c r="BY79" i="19"/>
  <c r="BW79" i="19"/>
  <c r="BV79" i="19"/>
  <c r="BR79" i="19"/>
  <c r="BQ79" i="19"/>
  <c r="BP79" i="19"/>
  <c r="BL79" i="19"/>
  <c r="BJ79" i="19"/>
  <c r="BH79" i="19"/>
  <c r="BF79" i="19"/>
  <c r="BC79" i="19"/>
  <c r="BB79" i="19"/>
  <c r="AY79" i="19"/>
  <c r="AX79" i="19"/>
  <c r="AW79" i="19"/>
  <c r="AS79" i="19"/>
  <c r="AR79" i="19"/>
  <c r="AP79" i="19"/>
  <c r="AM79" i="19"/>
  <c r="AK79" i="19"/>
  <c r="AJ79" i="19"/>
  <c r="AG79" i="19"/>
  <c r="AE79" i="19"/>
  <c r="AD79" i="19"/>
  <c r="AA79" i="19"/>
  <c r="Z79" i="19"/>
  <c r="W79" i="19"/>
  <c r="U79" i="19"/>
  <c r="S79" i="19"/>
  <c r="Q79" i="19"/>
  <c r="L79" i="19"/>
  <c r="I79" i="19"/>
  <c r="H79" i="19"/>
  <c r="E79" i="19"/>
  <c r="BF80" i="19" s="1" a="1"/>
  <c r="BF80" i="19" s="1"/>
  <c r="BJ77" i="19" a="1"/>
  <c r="BJ77" i="19" s="1"/>
  <c r="BE77" i="19" a="1"/>
  <c r="BE77" i="19" s="1"/>
  <c r="BD77" i="19" a="1"/>
  <c r="BD77" i="19" s="1"/>
  <c r="BC77" i="19" a="1"/>
  <c r="BC77" i="19" s="1"/>
  <c r="AW77" i="19" a="1"/>
  <c r="AW77" i="19" s="1"/>
  <c r="AT77" i="19" a="1"/>
  <c r="AT77" i="19" s="1"/>
  <c r="AR77" i="19" a="1"/>
  <c r="AR77" i="19" s="1"/>
  <c r="AP77" i="19" a="1"/>
  <c r="AP77" i="19" s="1"/>
  <c r="AK77" i="19" a="1"/>
  <c r="AK77" i="19" s="1"/>
  <c r="N77" i="19" a="1"/>
  <c r="N77" i="19" s="1"/>
  <c r="DC76" i="19"/>
  <c r="DB76" i="19"/>
  <c r="CY76" i="19"/>
  <c r="CS76" i="19"/>
  <c r="CP76" i="19"/>
  <c r="CK76" i="19"/>
  <c r="CJ76" i="19"/>
  <c r="CD76" i="19"/>
  <c r="BZ76" i="19"/>
  <c r="BW76" i="19"/>
  <c r="BU76" i="19"/>
  <c r="BS76" i="19"/>
  <c r="BG76" i="19"/>
  <c r="BF76" i="19"/>
  <c r="BD76" i="19"/>
  <c r="BB76" i="19"/>
  <c r="AU76" i="19"/>
  <c r="AS76" i="19"/>
  <c r="AO76" i="19"/>
  <c r="AL76" i="19"/>
  <c r="AF76" i="19"/>
  <c r="AA76" i="19"/>
  <c r="Z76" i="19"/>
  <c r="W76" i="19"/>
  <c r="V76" i="19"/>
  <c r="N76" i="19"/>
  <c r="E76" i="19"/>
  <c r="BJ74" i="19" a="1"/>
  <c r="BJ74" i="19" s="1"/>
  <c r="BI74" i="19" a="1"/>
  <c r="BI74" i="19" s="1"/>
  <c r="BF74" i="19" a="1"/>
  <c r="BF74" i="19" s="1"/>
  <c r="AZ74" i="19" a="1"/>
  <c r="AZ74" i="19" s="1"/>
  <c r="AW74" i="19" a="1"/>
  <c r="AW74" i="19" s="1"/>
  <c r="AT74" i="19" a="1"/>
  <c r="AT74" i="19" s="1"/>
  <c r="AS74" i="19" a="1"/>
  <c r="AS74" i="19" s="1"/>
  <c r="AK74" i="19" a="1"/>
  <c r="AK74" i="19" s="1"/>
  <c r="N74" i="19" a="1"/>
  <c r="N74" i="19" s="1"/>
  <c r="I74" i="19" a="1"/>
  <c r="I74" i="19" s="1"/>
  <c r="CY73" i="19"/>
  <c r="CX73" i="19"/>
  <c r="CP73" i="19"/>
  <c r="CJ73" i="19"/>
  <c r="CI73" i="19"/>
  <c r="CF73" i="19"/>
  <c r="CA73" i="19"/>
  <c r="BS73" i="19"/>
  <c r="BO73" i="19"/>
  <c r="BL73" i="19"/>
  <c r="BI73" i="19"/>
  <c r="BG73" i="19"/>
  <c r="AY73" i="19"/>
  <c r="AS73" i="19"/>
  <c r="AP73" i="19"/>
  <c r="AL73" i="19"/>
  <c r="AK73" i="19"/>
  <c r="AB73" i="19"/>
  <c r="V73" i="19"/>
  <c r="T73" i="19"/>
  <c r="Q73" i="19"/>
  <c r="L73" i="19"/>
  <c r="E73" i="19"/>
  <c r="BF71" i="19" a="1"/>
  <c r="BF71" i="19" s="1"/>
  <c r="AZ71" i="19" a="1"/>
  <c r="AZ71" i="19" s="1"/>
  <c r="AX71" i="19" a="1"/>
  <c r="AX71" i="19" s="1"/>
  <c r="AW71" i="19" a="1"/>
  <c r="AW71" i="19" s="1"/>
  <c r="AH71" i="19" a="1"/>
  <c r="AH71" i="19" s="1"/>
  <c r="T71" i="19" a="1"/>
  <c r="T71" i="19" s="1"/>
  <c r="CY70" i="19"/>
  <c r="CQ70" i="19"/>
  <c r="CP70" i="19"/>
  <c r="CA70" i="19"/>
  <c r="BU70" i="19"/>
  <c r="BP70" i="19"/>
  <c r="BN70" i="19"/>
  <c r="BD70" i="19"/>
  <c r="AQ70" i="19"/>
  <c r="AO70" i="19"/>
  <c r="AA70" i="19"/>
  <c r="Y70" i="19"/>
  <c r="U70" i="19"/>
  <c r="E70" i="19"/>
  <c r="CH70" i="19" s="1"/>
  <c r="BJ66" i="19" a="1"/>
  <c r="BJ66" i="19" s="1"/>
  <c r="BH66" i="19" a="1"/>
  <c r="BH66" i="19" s="1"/>
  <c r="BF66" i="19" a="1"/>
  <c r="BF66" i="19" s="1"/>
  <c r="BD66" i="19" a="1"/>
  <c r="BD66" i="19" s="1"/>
  <c r="BC66" i="19" a="1"/>
  <c r="BC66" i="19" s="1"/>
  <c r="AZ66" i="19" a="1"/>
  <c r="AZ66" i="19" s="1"/>
  <c r="AY66" i="19" a="1"/>
  <c r="AY66" i="19" s="1"/>
  <c r="AX66" i="19" a="1"/>
  <c r="AX66" i="19" s="1"/>
  <c r="AV66" i="19" a="1"/>
  <c r="AV66" i="19" s="1"/>
  <c r="AU66" i="19" a="1"/>
  <c r="AU66" i="19" s="1"/>
  <c r="AT66" i="19" a="1"/>
  <c r="AT66" i="19" s="1"/>
  <c r="AQ66" i="19" a="1"/>
  <c r="AQ66" i="19" s="1"/>
  <c r="AP66" i="19" a="1"/>
  <c r="AP66" i="19" s="1"/>
  <c r="AN66" i="19" a="1"/>
  <c r="AN66" i="19" s="1"/>
  <c r="AL66" i="19" a="1"/>
  <c r="AL66" i="19" s="1"/>
  <c r="AJ66" i="19" a="1"/>
  <c r="AJ66" i="19" s="1"/>
  <c r="AI66" i="19" a="1"/>
  <c r="AI66" i="19" s="1"/>
  <c r="T66" i="19" a="1"/>
  <c r="T66" i="19" s="1"/>
  <c r="Q66" i="19" a="1"/>
  <c r="Q66" i="19" s="1"/>
  <c r="N66" i="19" a="1"/>
  <c r="N66" i="19" s="1"/>
  <c r="DB65" i="19"/>
  <c r="DA65" i="19"/>
  <c r="CZ65" i="19"/>
  <c r="CW65" i="19"/>
  <c r="CU65" i="19"/>
  <c r="CT65" i="19"/>
  <c r="CR65" i="19"/>
  <c r="CP65" i="19"/>
  <c r="CO65" i="19"/>
  <c r="CL65" i="19"/>
  <c r="CK65" i="19"/>
  <c r="CJ65" i="19"/>
  <c r="CG65" i="19"/>
  <c r="CE65" i="19"/>
  <c r="CD65" i="19"/>
  <c r="CB65" i="19"/>
  <c r="BZ65" i="19"/>
  <c r="BY65" i="19"/>
  <c r="BV65" i="19"/>
  <c r="BU65" i="19"/>
  <c r="BT65" i="19"/>
  <c r="BQ65" i="19"/>
  <c r="BO65" i="19"/>
  <c r="BN65" i="19"/>
  <c r="BL65" i="19"/>
  <c r="BI65" i="19"/>
  <c r="BH65" i="19"/>
  <c r="BE65" i="19"/>
  <c r="BD65" i="19"/>
  <c r="BC65" i="19"/>
  <c r="AZ65" i="19"/>
  <c r="AX65" i="19"/>
  <c r="AW65" i="19"/>
  <c r="AU65" i="19"/>
  <c r="AS65" i="19"/>
  <c r="AR65" i="19"/>
  <c r="AO65" i="19"/>
  <c r="AN65" i="19"/>
  <c r="AM65" i="19"/>
  <c r="AJ65" i="19"/>
  <c r="AH65" i="19"/>
  <c r="AG65" i="19"/>
  <c r="AE65" i="19"/>
  <c r="AC65" i="19"/>
  <c r="AB65" i="19"/>
  <c r="Y65" i="19"/>
  <c r="X65" i="19"/>
  <c r="W65" i="19"/>
  <c r="T65" i="19"/>
  <c r="Q65" i="19"/>
  <c r="P65" i="19"/>
  <c r="N65" i="19"/>
  <c r="I65" i="19"/>
  <c r="H65" i="19"/>
  <c r="E65" i="19"/>
  <c r="BG66" i="19" s="1" a="1"/>
  <c r="BG66" i="19" s="1"/>
  <c r="BD63" i="19" a="1"/>
  <c r="BD63" i="19" s="1"/>
  <c r="AN63" i="19" a="1"/>
  <c r="AN63" i="19" s="1"/>
  <c r="CY62" i="19"/>
  <c r="CH62" i="19"/>
  <c r="BV62" i="19"/>
  <c r="BB62" i="19"/>
  <c r="AL62" i="19"/>
  <c r="V62" i="19"/>
  <c r="E62" i="19"/>
  <c r="BA63" i="19" s="1" a="1"/>
  <c r="BA63" i="19" s="1"/>
  <c r="BJ58" i="19" a="1"/>
  <c r="BJ58" i="19" s="1"/>
  <c r="AN58" i="19" a="1"/>
  <c r="AN58" i="19" s="1"/>
  <c r="CU57" i="19"/>
  <c r="CB57" i="19"/>
  <c r="BF57" i="19"/>
  <c r="AN57" i="19"/>
  <c r="T57" i="19"/>
  <c r="E57" i="19"/>
  <c r="AS58" i="19" s="1" a="1"/>
  <c r="AS58" i="19" s="1"/>
  <c r="E54" i="19"/>
  <c r="AO55" i="19" s="1" a="1"/>
  <c r="AO55" i="19" s="1"/>
  <c r="E49" i="19"/>
  <c r="Q50" i="19" s="1" a="1"/>
  <c r="Q50" i="19" s="1"/>
  <c r="BF47" i="19" a="1"/>
  <c r="BF47" i="19" s="1"/>
  <c r="BC47" i="19" a="1"/>
  <c r="BC47" i="19" s="1"/>
  <c r="BB47" i="19" a="1"/>
  <c r="BB47" i="19" s="1"/>
  <c r="BA47" i="19" a="1"/>
  <c r="BA47" i="19" s="1"/>
  <c r="AS47" i="19" a="1"/>
  <c r="AS47" i="19" s="1"/>
  <c r="AO47" i="19" a="1"/>
  <c r="AO47" i="19" s="1"/>
  <c r="AN47" i="19" a="1"/>
  <c r="AN47" i="19" s="1"/>
  <c r="AM47" i="19" a="1"/>
  <c r="AM47" i="19" s="1"/>
  <c r="AF47" i="19" a="1"/>
  <c r="AF47" i="19" s="1"/>
  <c r="Q47" i="19" a="1"/>
  <c r="Q47" i="19" s="1"/>
  <c r="L47" i="19" a="1"/>
  <c r="L47" i="19" s="1"/>
  <c r="BJ46" i="19"/>
  <c r="BE46" i="19"/>
  <c r="BB46" i="19"/>
  <c r="AY46" i="19"/>
  <c r="AV46" i="19"/>
  <c r="AS46" i="19"/>
  <c r="AM46" i="19"/>
  <c r="AG46" i="19"/>
  <c r="Y46" i="19"/>
  <c r="N46" i="19"/>
  <c r="E46" i="19"/>
  <c r="AX47" i="19" s="1" a="1"/>
  <c r="AX47" i="19" s="1"/>
  <c r="BH44" i="19" a="1"/>
  <c r="BH44" i="19" s="1"/>
  <c r="AV44" i="19" a="1"/>
  <c r="AV44" i="19" s="1"/>
  <c r="AO44" i="19" a="1"/>
  <c r="AO44" i="19" s="1"/>
  <c r="AJ44" i="19" a="1"/>
  <c r="AJ44" i="19" s="1"/>
  <c r="AX43" i="19"/>
  <c r="AN43" i="19"/>
  <c r="AM43" i="19"/>
  <c r="AB43" i="19"/>
  <c r="E43" i="19"/>
  <c r="BG43" i="19" s="1"/>
  <c r="BB41" i="19" a="1"/>
  <c r="BB41" i="19" s="1"/>
  <c r="AY41" i="19" a="1"/>
  <c r="AY41" i="19" s="1"/>
  <c r="AG41" i="19" a="1"/>
  <c r="AG41" i="19" s="1"/>
  <c r="AD41" i="19" a="1"/>
  <c r="AD41" i="19" s="1"/>
  <c r="AY40" i="19"/>
  <c r="AV40" i="19"/>
  <c r="AM40" i="19"/>
  <c r="AI40" i="19"/>
  <c r="AD40" i="19"/>
  <c r="L40" i="19"/>
  <c r="E40" i="19"/>
  <c r="AQ41" i="19" s="1" a="1"/>
  <c r="AQ41" i="19" s="1"/>
  <c r="BJ38" i="19"/>
  <c r="BI38" i="19"/>
  <c r="BH38" i="19"/>
  <c r="BG38" i="19"/>
  <c r="BF38" i="19"/>
  <c r="BE38" i="19"/>
  <c r="BD38" i="19"/>
  <c r="BC38" i="19"/>
  <c r="BB38" i="19"/>
  <c r="BA38" i="19"/>
  <c r="AZ38" i="19"/>
  <c r="AY38" i="19"/>
  <c r="AX38" i="19"/>
  <c r="AW38" i="19"/>
  <c r="AV38" i="19"/>
  <c r="AU38" i="19"/>
  <c r="AT38" i="19"/>
  <c r="AS38" i="19"/>
  <c r="AR38" i="19"/>
  <c r="AQ38" i="19"/>
  <c r="AP38" i="19"/>
  <c r="AO38" i="19"/>
  <c r="AN38" i="19"/>
  <c r="AM38" i="19"/>
  <c r="AL38" i="19"/>
  <c r="AK38" i="19"/>
  <c r="AJ38" i="19"/>
  <c r="AI38" i="19"/>
  <c r="AH38" i="19"/>
  <c r="AG38" i="19"/>
  <c r="T38" i="19"/>
  <c r="Q38" i="19"/>
  <c r="N38" i="19"/>
  <c r="I38" i="19"/>
  <c r="BJ37" i="19"/>
  <c r="BI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AU37" i="19"/>
  <c r="AT37" i="19"/>
  <c r="AS37" i="19"/>
  <c r="AR37" i="19"/>
  <c r="AQ37" i="19"/>
  <c r="AP37" i="19"/>
  <c r="AO37" i="19"/>
  <c r="AN37" i="19"/>
  <c r="AM37" i="19"/>
  <c r="AL37" i="19"/>
  <c r="AK37" i="19"/>
  <c r="AJ37" i="19"/>
  <c r="AI37" i="19"/>
  <c r="AH37" i="19"/>
  <c r="AG37" i="19"/>
  <c r="AD37" i="19"/>
  <c r="T37" i="19"/>
  <c r="Q37" i="19"/>
  <c r="N37" i="19"/>
  <c r="I37" i="19"/>
  <c r="H37" i="19"/>
  <c r="DC35" i="19"/>
  <c r="CX35" i="19"/>
  <c r="CW35" i="19"/>
  <c r="CV35" i="19"/>
  <c r="CT35" i="19"/>
  <c r="CS35" i="19"/>
  <c r="CN35" i="19"/>
  <c r="CM35" i="19"/>
  <c r="CL35" i="19"/>
  <c r="CH35" i="19"/>
  <c r="CG35" i="19"/>
  <c r="CD35" i="19"/>
  <c r="CC35" i="19"/>
  <c r="BZ35" i="19"/>
  <c r="BX35" i="19"/>
  <c r="BW35" i="19"/>
  <c r="BR35" i="19"/>
  <c r="BQ35" i="19"/>
  <c r="BP35" i="19"/>
  <c r="BN35" i="19"/>
  <c r="BM35" i="19"/>
  <c r="O35" i="19"/>
  <c r="L35" i="19"/>
  <c r="CU35" i="19" s="1"/>
  <c r="C35" i="19"/>
  <c r="DC34" i="19"/>
  <c r="DB34" i="19"/>
  <c r="CX34" i="19"/>
  <c r="CW34" i="19"/>
  <c r="CT34" i="19"/>
  <c r="CS34" i="19"/>
  <c r="CP34" i="19"/>
  <c r="CN34" i="19"/>
  <c r="CM34" i="19"/>
  <c r="CH34" i="19"/>
  <c r="CG34" i="19"/>
  <c r="CF34" i="19"/>
  <c r="CD34" i="19"/>
  <c r="CC34" i="19"/>
  <c r="BX34" i="19"/>
  <c r="BW34" i="19"/>
  <c r="BV34" i="19"/>
  <c r="BR34" i="19"/>
  <c r="BQ34" i="19"/>
  <c r="BN34" i="19"/>
  <c r="BM34" i="19"/>
  <c r="AC34" i="19"/>
  <c r="AB34" i="19"/>
  <c r="BU34" i="19" s="1"/>
  <c r="AA34" i="19"/>
  <c r="BT34" i="19" s="1"/>
  <c r="Z34" i="19"/>
  <c r="BS34" i="19" s="1"/>
  <c r="Y34" i="19"/>
  <c r="X34" i="19"/>
  <c r="W34" i="19"/>
  <c r="BP34" i="19" s="1"/>
  <c r="V34" i="19"/>
  <c r="U34" i="19"/>
  <c r="S34" i="19"/>
  <c r="P34" i="19"/>
  <c r="O34" i="19"/>
  <c r="L34" i="19"/>
  <c r="CU34" i="19" s="1"/>
  <c r="C34" i="19"/>
  <c r="DC33" i="19"/>
  <c r="CZ33" i="19"/>
  <c r="CY33" i="19"/>
  <c r="CW33" i="19"/>
  <c r="CV33" i="19"/>
  <c r="CQ33" i="19"/>
  <c r="CP33" i="19"/>
  <c r="CO33" i="19"/>
  <c r="CM33" i="19"/>
  <c r="CJ33" i="19"/>
  <c r="CG33" i="19"/>
  <c r="CF33" i="19"/>
  <c r="CE33" i="19"/>
  <c r="CA33" i="19"/>
  <c r="BZ33" i="19"/>
  <c r="BW33" i="19"/>
  <c r="BT33" i="19"/>
  <c r="BS33" i="19"/>
  <c r="BQ33" i="19"/>
  <c r="BP33" i="19"/>
  <c r="Y33" i="19"/>
  <c r="BR33" i="19" s="1"/>
  <c r="X33" i="19"/>
  <c r="W33" i="19"/>
  <c r="V33" i="19"/>
  <c r="U33" i="19"/>
  <c r="BN33" i="19" s="1"/>
  <c r="S33" i="19"/>
  <c r="O33" i="19"/>
  <c r="L33" i="19"/>
  <c r="CX33" i="19" s="1"/>
  <c r="C33" i="19"/>
  <c r="DC32" i="19"/>
  <c r="CX32" i="19"/>
  <c r="CW32" i="19"/>
  <c r="CS32" i="19"/>
  <c r="CN32" i="19"/>
  <c r="CM32" i="19"/>
  <c r="CG32" i="19"/>
  <c r="CD32" i="19"/>
  <c r="CC32" i="19"/>
  <c r="BW32" i="19"/>
  <c r="BR32" i="19"/>
  <c r="BM32" i="19"/>
  <c r="Z32" i="19"/>
  <c r="Y32" i="19"/>
  <c r="X32" i="19"/>
  <c r="BQ32" i="19" s="1"/>
  <c r="W32" i="19"/>
  <c r="BP32" i="19" s="1"/>
  <c r="V32" i="19"/>
  <c r="BO32" i="19" s="1"/>
  <c r="U32" i="19"/>
  <c r="S32" i="19"/>
  <c r="O32" i="19"/>
  <c r="L32" i="19"/>
  <c r="DA32" i="19" s="1"/>
  <c r="C32" i="19"/>
  <c r="DC31" i="19"/>
  <c r="BM31" i="19"/>
  <c r="AE31" i="19"/>
  <c r="AD31" i="19"/>
  <c r="AC31" i="19"/>
  <c r="AB31" i="19"/>
  <c r="AA31" i="19"/>
  <c r="Z31" i="19"/>
  <c r="Y31" i="19"/>
  <c r="BR31" i="19" s="1"/>
  <c r="X31" i="19"/>
  <c r="W31" i="19"/>
  <c r="V31" i="19"/>
  <c r="U31" i="19"/>
  <c r="S31" i="19"/>
  <c r="O31" i="19"/>
  <c r="L31" i="19"/>
  <c r="CR31" i="19" s="1"/>
  <c r="C31" i="19"/>
  <c r="DA30" i="19"/>
  <c r="CZ30" i="19"/>
  <c r="CY30" i="19"/>
  <c r="CX30" i="19"/>
  <c r="CW30" i="19"/>
  <c r="CV30" i="19"/>
  <c r="CS30" i="19"/>
  <c r="CR30" i="19"/>
  <c r="CQ30" i="19"/>
  <c r="CP30" i="19"/>
  <c r="CO30" i="19"/>
  <c r="CN30" i="19"/>
  <c r="CK30" i="19"/>
  <c r="CJ30" i="19"/>
  <c r="CI30" i="19"/>
  <c r="CH30" i="19"/>
  <c r="CG30" i="19"/>
  <c r="CF30" i="19"/>
  <c r="CC30" i="19"/>
  <c r="CB30" i="19"/>
  <c r="CA30" i="19"/>
  <c r="BZ30" i="19"/>
  <c r="BY30" i="19"/>
  <c r="BX30" i="19"/>
  <c r="BU30" i="19"/>
  <c r="BR30" i="19"/>
  <c r="BQ30" i="19"/>
  <c r="BM30" i="19"/>
  <c r="BL30" i="19"/>
  <c r="AC30" i="19"/>
  <c r="BV30" i="19" s="1"/>
  <c r="AB30" i="19"/>
  <c r="AA30" i="19"/>
  <c r="BT30" i="19" s="1"/>
  <c r="Z30" i="19"/>
  <c r="BS30" i="19" s="1"/>
  <c r="Y30" i="19"/>
  <c r="X30" i="19"/>
  <c r="W30" i="19"/>
  <c r="BP30" i="19" s="1"/>
  <c r="V30" i="19"/>
  <c r="BO30" i="19" s="1"/>
  <c r="U30" i="19"/>
  <c r="BN30" i="19" s="1"/>
  <c r="S30" i="19"/>
  <c r="P30" i="19"/>
  <c r="O30" i="19"/>
  <c r="L30" i="19"/>
  <c r="DC30" i="19" s="1"/>
  <c r="C30" i="19"/>
  <c r="DC29" i="19"/>
  <c r="DB29" i="19"/>
  <c r="DA29" i="19"/>
  <c r="CZ29" i="19"/>
  <c r="CY29" i="19"/>
  <c r="CX29" i="19"/>
  <c r="CU29" i="19"/>
  <c r="CT29" i="19"/>
  <c r="CS29" i="19"/>
  <c r="CR29" i="19"/>
  <c r="CQ29" i="19"/>
  <c r="CP29" i="19"/>
  <c r="CM29" i="19"/>
  <c r="CL29" i="19"/>
  <c r="CK29" i="19"/>
  <c r="CJ29" i="19"/>
  <c r="CI29" i="19"/>
  <c r="CH29" i="19"/>
  <c r="CF29" i="19"/>
  <c r="CE29" i="19"/>
  <c r="CD29" i="19"/>
  <c r="CC29" i="19"/>
  <c r="CB29" i="19"/>
  <c r="CA29" i="19"/>
  <c r="BZ29" i="19"/>
  <c r="BX29" i="19"/>
  <c r="BW29" i="19"/>
  <c r="BV29" i="19"/>
  <c r="BU29" i="19"/>
  <c r="BT29" i="19"/>
  <c r="BR29" i="19"/>
  <c r="BN29" i="19"/>
  <c r="BM29" i="19"/>
  <c r="AA29" i="19"/>
  <c r="Z29" i="19"/>
  <c r="BS29" i="19" s="1"/>
  <c r="Y29" i="19"/>
  <c r="X29" i="19"/>
  <c r="BQ29" i="19" s="1"/>
  <c r="W29" i="19"/>
  <c r="BP29" i="19" s="1"/>
  <c r="V29" i="19"/>
  <c r="BO29" i="19" s="1"/>
  <c r="U29" i="19"/>
  <c r="S29" i="19"/>
  <c r="BL29" i="19" s="1"/>
  <c r="P29" i="19"/>
  <c r="O29" i="19"/>
  <c r="L29" i="19"/>
  <c r="CW29" i="19" s="1"/>
  <c r="C29" i="19"/>
  <c r="DC28" i="19"/>
  <c r="DB28" i="19"/>
  <c r="DA28" i="19"/>
  <c r="CY28" i="19"/>
  <c r="CX28" i="19"/>
  <c r="CU28" i="19"/>
  <c r="CS28" i="19"/>
  <c r="CR28" i="19"/>
  <c r="CQ28" i="19"/>
  <c r="CM28" i="19"/>
  <c r="CL28" i="19"/>
  <c r="CK28" i="19"/>
  <c r="CI28" i="19"/>
  <c r="CH28" i="19"/>
  <c r="CE28" i="19"/>
  <c r="CC28" i="19"/>
  <c r="CB28" i="19"/>
  <c r="CA28" i="19"/>
  <c r="BW28" i="19"/>
  <c r="BV28" i="19"/>
  <c r="BU28" i="19"/>
  <c r="BS28" i="19"/>
  <c r="BR28" i="19"/>
  <c r="BM28" i="19"/>
  <c r="Z28" i="19"/>
  <c r="Y28" i="19"/>
  <c r="X28" i="19"/>
  <c r="BQ28" i="19" s="1"/>
  <c r="W28" i="19"/>
  <c r="BP28" i="19" s="1"/>
  <c r="V28" i="19"/>
  <c r="BO28" i="19" s="1"/>
  <c r="U28" i="19"/>
  <c r="BN28" i="19" s="1"/>
  <c r="S28" i="19"/>
  <c r="BL28" i="19" s="1"/>
  <c r="P28" i="19"/>
  <c r="O28" i="19"/>
  <c r="L28" i="19"/>
  <c r="CT28" i="19" s="1"/>
  <c r="C28" i="19"/>
  <c r="DB27" i="19"/>
  <c r="DA27" i="19"/>
  <c r="CY27" i="19"/>
  <c r="CX27" i="19"/>
  <c r="CW27" i="19"/>
  <c r="CS27" i="19"/>
  <c r="CR27" i="19"/>
  <c r="CQ27" i="19"/>
  <c r="CO27" i="19"/>
  <c r="CL27" i="19"/>
  <c r="CK27" i="19"/>
  <c r="CI27" i="19"/>
  <c r="CH27" i="19"/>
  <c r="CG27" i="19"/>
  <c r="CC27" i="19"/>
  <c r="CB27" i="19"/>
  <c r="CA27" i="19"/>
  <c r="BY27" i="19"/>
  <c r="BV27" i="19"/>
  <c r="BU27" i="19"/>
  <c r="BS27" i="19"/>
  <c r="BR27" i="19"/>
  <c r="BM27" i="19"/>
  <c r="BL27" i="19"/>
  <c r="Z27" i="19"/>
  <c r="Y27" i="19"/>
  <c r="X27" i="19"/>
  <c r="BQ27" i="19" s="1"/>
  <c r="W27" i="19"/>
  <c r="BP27" i="19" s="1"/>
  <c r="V27" i="19"/>
  <c r="BO27" i="19" s="1"/>
  <c r="U27" i="19"/>
  <c r="BN27" i="19" s="1"/>
  <c r="S27" i="19"/>
  <c r="P27" i="19"/>
  <c r="O27" i="19"/>
  <c r="L27" i="19"/>
  <c r="C27" i="19"/>
  <c r="DA26" i="19"/>
  <c r="CZ26" i="19"/>
  <c r="CX26" i="19"/>
  <c r="CW26" i="19"/>
  <c r="CV26" i="19"/>
  <c r="CR26" i="19"/>
  <c r="CQ26" i="19"/>
  <c r="CP26" i="19"/>
  <c r="CN26" i="19"/>
  <c r="CK26" i="19"/>
  <c r="CJ26" i="19"/>
  <c r="CH26" i="19"/>
  <c r="CG26" i="19"/>
  <c r="CF26" i="19"/>
  <c r="CC26" i="19"/>
  <c r="CB26" i="19"/>
  <c r="CA26" i="19"/>
  <c r="BY26" i="19"/>
  <c r="BX26" i="19"/>
  <c r="BV26" i="19"/>
  <c r="BS26" i="19"/>
  <c r="BR26" i="19"/>
  <c r="BP26" i="19"/>
  <c r="BN26" i="19"/>
  <c r="BM26" i="19"/>
  <c r="AF26" i="19"/>
  <c r="AE26" i="19"/>
  <c r="AE46" i="19" s="1"/>
  <c r="AD26" i="19"/>
  <c r="BW26" i="19" s="1"/>
  <c r="AC26" i="19"/>
  <c r="AB26" i="19"/>
  <c r="AA26" i="19"/>
  <c r="BT26" i="19" s="1"/>
  <c r="Z26" i="19"/>
  <c r="Y26" i="19"/>
  <c r="X26" i="19"/>
  <c r="BQ26" i="19" s="1"/>
  <c r="W26" i="19"/>
  <c r="V26" i="19"/>
  <c r="BO26" i="19" s="1"/>
  <c r="U26" i="19"/>
  <c r="S26" i="19"/>
  <c r="P26" i="19"/>
  <c r="O26" i="19"/>
  <c r="L26" i="19"/>
  <c r="CS26" i="19" s="1"/>
  <c r="C26" i="19"/>
  <c r="DC25" i="19"/>
  <c r="DB25" i="19"/>
  <c r="CY25" i="19"/>
  <c r="CX25" i="19"/>
  <c r="CU25" i="19"/>
  <c r="CT25" i="19"/>
  <c r="CS25" i="19"/>
  <c r="CP25" i="19"/>
  <c r="CO25" i="19"/>
  <c r="CL25" i="19"/>
  <c r="CK25" i="19"/>
  <c r="CI25" i="19"/>
  <c r="CG25" i="19"/>
  <c r="CF25" i="19"/>
  <c r="CC25" i="19"/>
  <c r="CA25" i="19"/>
  <c r="BZ25" i="19"/>
  <c r="BX25" i="19"/>
  <c r="BW25" i="19"/>
  <c r="BT25" i="19"/>
  <c r="BS25" i="19"/>
  <c r="BR25" i="19"/>
  <c r="BP25" i="19"/>
  <c r="BO25" i="19"/>
  <c r="BL25" i="19"/>
  <c r="V25" i="19"/>
  <c r="U25" i="19"/>
  <c r="BN25" i="19" s="1"/>
  <c r="S25" i="19"/>
  <c r="P25" i="19"/>
  <c r="O25" i="19"/>
  <c r="L25" i="19"/>
  <c r="CV25" i="19" s="1"/>
  <c r="C25" i="19"/>
  <c r="DC24" i="19"/>
  <c r="DB24" i="19"/>
  <c r="DA24" i="19"/>
  <c r="CY24" i="19"/>
  <c r="CX24" i="19"/>
  <c r="CU24" i="19"/>
  <c r="CT24" i="19"/>
  <c r="CS24" i="19"/>
  <c r="CQ24" i="19"/>
  <c r="CP24" i="19"/>
  <c r="CM24" i="19"/>
  <c r="CL24" i="19"/>
  <c r="CK24" i="19"/>
  <c r="CI24" i="19"/>
  <c r="CH24" i="19"/>
  <c r="CE24" i="19"/>
  <c r="CD24" i="19"/>
  <c r="CC24" i="19"/>
  <c r="CA24" i="19"/>
  <c r="BZ24" i="19"/>
  <c r="BW24" i="19"/>
  <c r="BV24" i="19"/>
  <c r="BU24" i="19"/>
  <c r="BS24" i="19"/>
  <c r="BR24" i="19"/>
  <c r="BM24" i="19"/>
  <c r="AA24" i="19"/>
  <c r="BT24" i="19" s="1"/>
  <c r="Z24" i="19"/>
  <c r="Y24" i="19"/>
  <c r="X24" i="19"/>
  <c r="W24" i="19"/>
  <c r="BP24" i="19" s="1"/>
  <c r="V24" i="19"/>
  <c r="BO24" i="19" s="1"/>
  <c r="U24" i="19"/>
  <c r="BN24" i="19" s="1"/>
  <c r="S24" i="19"/>
  <c r="BL24" i="19" s="1"/>
  <c r="P24" i="19"/>
  <c r="O24" i="19"/>
  <c r="L24" i="19"/>
  <c r="CW24" i="19" s="1"/>
  <c r="C24" i="19"/>
  <c r="CY23" i="19"/>
  <c r="CP23" i="19"/>
  <c r="CI23" i="19"/>
  <c r="CA23" i="19"/>
  <c r="BZ23" i="19"/>
  <c r="BS23" i="19"/>
  <c r="Y23" i="19"/>
  <c r="X23" i="19"/>
  <c r="BQ23" i="19" s="1"/>
  <c r="W23" i="19"/>
  <c r="BP23" i="19" s="1"/>
  <c r="V23" i="19"/>
  <c r="U23" i="19"/>
  <c r="S23" i="19"/>
  <c r="O23" i="19"/>
  <c r="L23" i="19"/>
  <c r="CQ23" i="19" s="1"/>
  <c r="C23" i="19"/>
  <c r="DA22" i="19"/>
  <c r="CZ22" i="19"/>
  <c r="CY22" i="19"/>
  <c r="CW22" i="19"/>
  <c r="CV22" i="19"/>
  <c r="CS22" i="19"/>
  <c r="CR22" i="19"/>
  <c r="CQ22" i="19"/>
  <c r="CO22" i="19"/>
  <c r="CN22" i="19"/>
  <c r="CK22" i="19"/>
  <c r="CJ22" i="19"/>
  <c r="CI22" i="19"/>
  <c r="CG22" i="19"/>
  <c r="CF22" i="19"/>
  <c r="CC22" i="19"/>
  <c r="CB22" i="19"/>
  <c r="CA22" i="19"/>
  <c r="BY22" i="19"/>
  <c r="BX22" i="19"/>
  <c r="BU22" i="19"/>
  <c r="BQ22" i="19"/>
  <c r="BP22" i="19"/>
  <c r="BM22" i="19"/>
  <c r="BL22" i="19"/>
  <c r="AC22" i="19"/>
  <c r="BV22" i="19" s="1"/>
  <c r="AB22" i="19"/>
  <c r="AA22" i="19"/>
  <c r="BT22" i="19" s="1"/>
  <c r="Z22" i="19"/>
  <c r="BS22" i="19" s="1"/>
  <c r="Y22" i="19"/>
  <c r="BR22" i="19" s="1"/>
  <c r="X22" i="19"/>
  <c r="W22" i="19"/>
  <c r="V22" i="19"/>
  <c r="BO22" i="19" s="1"/>
  <c r="U22" i="19"/>
  <c r="BN22" i="19" s="1"/>
  <c r="S22" i="19"/>
  <c r="P22" i="19"/>
  <c r="O22" i="19"/>
  <c r="L22" i="19"/>
  <c r="DC22" i="19" s="1"/>
  <c r="C22" i="19"/>
  <c r="DB21" i="19"/>
  <c r="DA21" i="19"/>
  <c r="CY21" i="19"/>
  <c r="CX21" i="19"/>
  <c r="CT21" i="19"/>
  <c r="CS21" i="19"/>
  <c r="CQ21" i="19"/>
  <c r="CP21" i="19"/>
  <c r="CL21" i="19"/>
  <c r="CK21" i="19"/>
  <c r="CI21" i="19"/>
  <c r="CH21" i="19"/>
  <c r="CD21" i="19"/>
  <c r="CC21" i="19"/>
  <c r="CA21" i="19"/>
  <c r="BZ21" i="19"/>
  <c r="BS21" i="19"/>
  <c r="BR21" i="19"/>
  <c r="BM21" i="19"/>
  <c r="AC21" i="19"/>
  <c r="BV21" i="19" s="1"/>
  <c r="AB21" i="19"/>
  <c r="BU21" i="19" s="1"/>
  <c r="AA21" i="19"/>
  <c r="BT21" i="19" s="1"/>
  <c r="Z21" i="19"/>
  <c r="Y21" i="19"/>
  <c r="X21" i="19"/>
  <c r="BQ21" i="19" s="1"/>
  <c r="W21" i="19"/>
  <c r="BP21" i="19" s="1"/>
  <c r="V21" i="19"/>
  <c r="U21" i="19"/>
  <c r="BN21" i="19" s="1"/>
  <c r="S21" i="19"/>
  <c r="BL21" i="19" s="1"/>
  <c r="O21" i="19"/>
  <c r="L21" i="19"/>
  <c r="CW21" i="19" s="1"/>
  <c r="C21" i="19"/>
  <c r="DA20" i="19"/>
  <c r="CZ20" i="19"/>
  <c r="CS20" i="19"/>
  <c r="CR20" i="19"/>
  <c r="CK20" i="19"/>
  <c r="CJ20" i="19"/>
  <c r="CC20" i="19"/>
  <c r="CB20" i="19"/>
  <c r="BU20" i="19"/>
  <c r="BT20" i="19"/>
  <c r="BM20" i="19"/>
  <c r="BL20" i="19"/>
  <c r="AC20" i="19"/>
  <c r="BV20" i="19" s="1"/>
  <c r="AB20" i="19"/>
  <c r="AA20" i="19"/>
  <c r="Z20" i="19"/>
  <c r="BS20" i="19" s="1"/>
  <c r="Y20" i="19"/>
  <c r="BR20" i="19" s="1"/>
  <c r="X20" i="19"/>
  <c r="W20" i="19"/>
  <c r="BP20" i="19" s="1"/>
  <c r="V20" i="19"/>
  <c r="BO20" i="19" s="1"/>
  <c r="U20" i="19"/>
  <c r="BN20" i="19" s="1"/>
  <c r="S20" i="19"/>
  <c r="O20" i="19"/>
  <c r="L20" i="19"/>
  <c r="CY20" i="19" s="1"/>
  <c r="C20" i="19"/>
  <c r="DC19" i="19"/>
  <c r="DB19" i="19"/>
  <c r="DA19" i="19"/>
  <c r="CY19" i="19"/>
  <c r="CX19" i="19"/>
  <c r="CW19" i="19"/>
  <c r="CU19" i="19"/>
  <c r="CT19" i="19"/>
  <c r="CS19" i="19"/>
  <c r="CQ19" i="19"/>
  <c r="CP19" i="19"/>
  <c r="CO19" i="19"/>
  <c r="CM19" i="19"/>
  <c r="CL19" i="19"/>
  <c r="CK19" i="19"/>
  <c r="CI19" i="19"/>
  <c r="CH19" i="19"/>
  <c r="CG19" i="19"/>
  <c r="CE19" i="19"/>
  <c r="CD19" i="19"/>
  <c r="CC19" i="19"/>
  <c r="CA19" i="19"/>
  <c r="BZ19" i="19"/>
  <c r="BY19" i="19"/>
  <c r="BW19" i="19"/>
  <c r="BV19" i="19"/>
  <c r="BR19" i="19"/>
  <c r="BO19" i="19"/>
  <c r="BN19" i="19"/>
  <c r="BM19" i="19"/>
  <c r="AB19" i="19"/>
  <c r="BU19" i="19" s="1"/>
  <c r="AA19" i="19"/>
  <c r="BT19" i="19" s="1"/>
  <c r="Z19" i="19"/>
  <c r="BS19" i="19" s="1"/>
  <c r="Y19" i="19"/>
  <c r="X19" i="19"/>
  <c r="BQ19" i="19" s="1"/>
  <c r="W19" i="19"/>
  <c r="BP19" i="19" s="1"/>
  <c r="V19" i="19"/>
  <c r="U19" i="19"/>
  <c r="S19" i="19"/>
  <c r="BL19" i="19" s="1"/>
  <c r="P19" i="19"/>
  <c r="O19" i="19"/>
  <c r="L19" i="19"/>
  <c r="CZ19" i="19" s="1"/>
  <c r="C19" i="19"/>
  <c r="DC18" i="19"/>
  <c r="CZ18" i="19"/>
  <c r="CY18" i="19"/>
  <c r="CX18" i="19"/>
  <c r="CV18" i="19"/>
  <c r="CU18" i="19"/>
  <c r="CR18" i="19"/>
  <c r="CQ18" i="19"/>
  <c r="CP18" i="19"/>
  <c r="CN18" i="19"/>
  <c r="CM18" i="19"/>
  <c r="CJ18" i="19"/>
  <c r="CI18" i="19"/>
  <c r="CH18" i="19"/>
  <c r="CF18" i="19"/>
  <c r="CE18" i="19"/>
  <c r="CB18" i="19"/>
  <c r="CA18" i="19"/>
  <c r="BZ18" i="19"/>
  <c r="BX18" i="19"/>
  <c r="BW18" i="19"/>
  <c r="BT18" i="19"/>
  <c r="BS18" i="19"/>
  <c r="BR18" i="19"/>
  <c r="BP18" i="19"/>
  <c r="BO18" i="19"/>
  <c r="BL18" i="19"/>
  <c r="V18" i="19"/>
  <c r="U18" i="19"/>
  <c r="BN18" i="19" s="1"/>
  <c r="S18" i="19"/>
  <c r="P18" i="19"/>
  <c r="O18" i="19"/>
  <c r="L18" i="19"/>
  <c r="DB18" i="19" s="1"/>
  <c r="C18" i="19"/>
  <c r="DC17" i="19"/>
  <c r="DB17" i="19"/>
  <c r="DA17" i="19"/>
  <c r="CY17" i="19"/>
  <c r="CX17" i="19"/>
  <c r="CW17" i="19"/>
  <c r="CU17" i="19"/>
  <c r="CT17" i="19"/>
  <c r="CS17" i="19"/>
  <c r="CQ17" i="19"/>
  <c r="CP17" i="19"/>
  <c r="CO17" i="19"/>
  <c r="CM17" i="19"/>
  <c r="CL17" i="19"/>
  <c r="CK17" i="19"/>
  <c r="CI17" i="19"/>
  <c r="CH17" i="19"/>
  <c r="CG17" i="19"/>
  <c r="CE17" i="19"/>
  <c r="CD17" i="19"/>
  <c r="CC17" i="19"/>
  <c r="CA17" i="19"/>
  <c r="BZ17" i="19"/>
  <c r="BY17" i="19"/>
  <c r="BW17" i="19"/>
  <c r="BV17" i="19"/>
  <c r="BS17" i="19"/>
  <c r="BR17" i="19"/>
  <c r="BN17" i="19"/>
  <c r="BM17" i="19"/>
  <c r="AB17" i="19"/>
  <c r="BU17" i="19" s="1"/>
  <c r="AA17" i="19"/>
  <c r="BT17" i="19" s="1"/>
  <c r="Z17" i="19"/>
  <c r="Y17" i="19"/>
  <c r="X17" i="19"/>
  <c r="BQ17" i="19" s="1"/>
  <c r="W17" i="19"/>
  <c r="BP17" i="19" s="1"/>
  <c r="V17" i="19"/>
  <c r="BO17" i="19" s="1"/>
  <c r="U17" i="19"/>
  <c r="S17" i="19"/>
  <c r="BL17" i="19" s="1"/>
  <c r="P17" i="19"/>
  <c r="O17" i="19"/>
  <c r="L17" i="19"/>
  <c r="CV17" i="19" s="1"/>
  <c r="C17" i="19"/>
  <c r="DC16" i="19"/>
  <c r="DB16" i="19"/>
  <c r="CZ16" i="19"/>
  <c r="CY16" i="19"/>
  <c r="CV16" i="19"/>
  <c r="CU16" i="19"/>
  <c r="CT16" i="19"/>
  <c r="CR16" i="19"/>
  <c r="CQ16" i="19"/>
  <c r="CN16" i="19"/>
  <c r="CM16" i="19"/>
  <c r="CL16" i="19"/>
  <c r="CJ16" i="19"/>
  <c r="CI16" i="19"/>
  <c r="CF16" i="19"/>
  <c r="CE16" i="19"/>
  <c r="CD16" i="19"/>
  <c r="CB16" i="19"/>
  <c r="CA16" i="19"/>
  <c r="BX16" i="19"/>
  <c r="BW16" i="19"/>
  <c r="BV16" i="19"/>
  <c r="BT16" i="19"/>
  <c r="BN16" i="19"/>
  <c r="BL16" i="19"/>
  <c r="Z16" i="19"/>
  <c r="BS16" i="19" s="1"/>
  <c r="Y16" i="19"/>
  <c r="BR16" i="19" s="1"/>
  <c r="X16" i="19"/>
  <c r="BQ16" i="19" s="1"/>
  <c r="W16" i="19"/>
  <c r="BP16" i="19" s="1"/>
  <c r="V16" i="19"/>
  <c r="BO16" i="19" s="1"/>
  <c r="U16" i="19"/>
  <c r="S16" i="19"/>
  <c r="P16" i="19"/>
  <c r="O16" i="19"/>
  <c r="L16" i="19"/>
  <c r="CX16" i="19" s="1"/>
  <c r="C16" i="19"/>
  <c r="DB15" i="19"/>
  <c r="DA15" i="19"/>
  <c r="CY15" i="19"/>
  <c r="CX15" i="19"/>
  <c r="CT15" i="19"/>
  <c r="CS15" i="19"/>
  <c r="CQ15" i="19"/>
  <c r="CP15" i="19"/>
  <c r="CL15" i="19"/>
  <c r="CK15" i="19"/>
  <c r="CI15" i="19"/>
  <c r="CH15" i="19"/>
  <c r="CD15" i="19"/>
  <c r="CC15" i="19"/>
  <c r="CA15" i="19"/>
  <c r="BZ15" i="19"/>
  <c r="BS15" i="19"/>
  <c r="BR15" i="19"/>
  <c r="BM15" i="19"/>
  <c r="AC15" i="19"/>
  <c r="AB15" i="19"/>
  <c r="AA15" i="19"/>
  <c r="BT15" i="19" s="1"/>
  <c r="Z15" i="19"/>
  <c r="Y15" i="19"/>
  <c r="X15" i="19"/>
  <c r="BQ15" i="19" s="1"/>
  <c r="W15" i="19"/>
  <c r="BP15" i="19" s="1"/>
  <c r="V15" i="19"/>
  <c r="U15" i="19"/>
  <c r="BN15" i="19" s="1"/>
  <c r="S15" i="19"/>
  <c r="BL15" i="19" s="1"/>
  <c r="O15" i="19"/>
  <c r="L15" i="19"/>
  <c r="CW15" i="19" s="1"/>
  <c r="C15" i="19"/>
  <c r="DC14" i="19"/>
  <c r="DA14" i="19"/>
  <c r="CZ14" i="19"/>
  <c r="CY14" i="19"/>
  <c r="CX14" i="19"/>
  <c r="CW14" i="19"/>
  <c r="CV14" i="19"/>
  <c r="CU14" i="19"/>
  <c r="CS14" i="19"/>
  <c r="CR14" i="19"/>
  <c r="CQ14" i="19"/>
  <c r="CP14" i="19"/>
  <c r="CO14" i="19"/>
  <c r="CN14" i="19"/>
  <c r="CM14" i="19"/>
  <c r="CK14" i="19"/>
  <c r="CJ14" i="19"/>
  <c r="CI14" i="19"/>
  <c r="CH14" i="19"/>
  <c r="CG14" i="19"/>
  <c r="CF14" i="19"/>
  <c r="CE14" i="19"/>
  <c r="CC14" i="19"/>
  <c r="CB14" i="19"/>
  <c r="CA14" i="19"/>
  <c r="BZ14" i="19"/>
  <c r="BY14" i="19"/>
  <c r="BX14" i="19"/>
  <c r="BW14" i="19"/>
  <c r="BU14" i="19"/>
  <c r="BT14" i="19"/>
  <c r="BR14" i="19"/>
  <c r="BO14" i="19"/>
  <c r="BM14" i="19"/>
  <c r="BL14" i="19"/>
  <c r="AD14" i="19"/>
  <c r="AD71" i="19" s="1" a="1"/>
  <c r="AD71" i="19" s="1"/>
  <c r="AC14" i="19"/>
  <c r="BV14" i="19" s="1"/>
  <c r="AB14" i="19"/>
  <c r="AB37" i="19" s="1"/>
  <c r="AA14" i="19"/>
  <c r="Z14" i="19"/>
  <c r="Y14" i="19"/>
  <c r="X14" i="19"/>
  <c r="BQ14" i="19" s="1"/>
  <c r="W14" i="19"/>
  <c r="BP14" i="19" s="1"/>
  <c r="V14" i="19"/>
  <c r="U14" i="19"/>
  <c r="BN14" i="19" s="1"/>
  <c r="S14" i="19"/>
  <c r="P14" i="19"/>
  <c r="O14" i="19"/>
  <c r="L14" i="19"/>
  <c r="DB14" i="19" s="1"/>
  <c r="C14" i="19"/>
  <c r="DC13" i="19"/>
  <c r="CY13" i="19"/>
  <c r="CX13" i="19"/>
  <c r="CV13" i="19"/>
  <c r="CU13" i="19"/>
  <c r="CQ13" i="19"/>
  <c r="CP13" i="19"/>
  <c r="CN13" i="19"/>
  <c r="CM13" i="19"/>
  <c r="CI13" i="19"/>
  <c r="CH13" i="19"/>
  <c r="CF13" i="19"/>
  <c r="CE13" i="19"/>
  <c r="CA13" i="19"/>
  <c r="BZ13" i="19"/>
  <c r="BX13" i="19"/>
  <c r="BW13" i="19"/>
  <c r="BS13" i="19"/>
  <c r="BR13" i="19"/>
  <c r="BP13" i="19"/>
  <c r="BO13" i="19"/>
  <c r="X13" i="19"/>
  <c r="BQ13" i="19" s="1"/>
  <c r="W13" i="19"/>
  <c r="V13" i="19"/>
  <c r="U13" i="19"/>
  <c r="BN13" i="19" s="1"/>
  <c r="S13" i="19"/>
  <c r="O13" i="19"/>
  <c r="L13" i="19"/>
  <c r="DB13" i="19" s="1"/>
  <c r="C13" i="19"/>
  <c r="DC12" i="19"/>
  <c r="DA12" i="19"/>
  <c r="CZ12" i="19"/>
  <c r="CW12" i="19"/>
  <c r="CV12" i="19"/>
  <c r="CU12" i="19"/>
  <c r="CS12" i="19"/>
  <c r="CR12" i="19"/>
  <c r="CO12" i="19"/>
  <c r="CN12" i="19"/>
  <c r="CM12" i="19"/>
  <c r="CK12" i="19"/>
  <c r="CJ12" i="19"/>
  <c r="CG12" i="19"/>
  <c r="CF12" i="19"/>
  <c r="CE12" i="19"/>
  <c r="CC12" i="19"/>
  <c r="CB12" i="19"/>
  <c r="BY12" i="19"/>
  <c r="BX12" i="19"/>
  <c r="BW12" i="19"/>
  <c r="BU12" i="19"/>
  <c r="BT12" i="19"/>
  <c r="BQ12" i="19"/>
  <c r="BP12" i="19"/>
  <c r="BO12" i="19"/>
  <c r="BM12" i="19"/>
  <c r="BL12" i="19"/>
  <c r="Y12" i="19"/>
  <c r="BR12" i="19" s="1"/>
  <c r="X12" i="19"/>
  <c r="W12" i="19"/>
  <c r="V12" i="19"/>
  <c r="U12" i="19"/>
  <c r="BN12" i="19" s="1"/>
  <c r="S12" i="19"/>
  <c r="P12" i="19"/>
  <c r="O12" i="19"/>
  <c r="L12" i="19"/>
  <c r="CX12" i="19" s="1"/>
  <c r="C12" i="19"/>
  <c r="DC11" i="19"/>
  <c r="DB11" i="19"/>
  <c r="DA11" i="19"/>
  <c r="CY11" i="19"/>
  <c r="CX11" i="19"/>
  <c r="CW11" i="19"/>
  <c r="CV11" i="19"/>
  <c r="CU11" i="19"/>
  <c r="CT11" i="19"/>
  <c r="CS11" i="19"/>
  <c r="CQ11" i="19"/>
  <c r="CP11" i="19"/>
  <c r="CO11" i="19"/>
  <c r="CN11" i="19"/>
  <c r="CM11" i="19"/>
  <c r="CL11" i="19"/>
  <c r="CK11" i="19"/>
  <c r="CI11" i="19"/>
  <c r="CH11" i="19"/>
  <c r="CG11" i="19"/>
  <c r="CF11" i="19"/>
  <c r="CE11" i="19"/>
  <c r="CD11" i="19"/>
  <c r="CC11" i="19"/>
  <c r="CA11" i="19"/>
  <c r="BZ11" i="19"/>
  <c r="BY11" i="19"/>
  <c r="BX11" i="19"/>
  <c r="BW11" i="19"/>
  <c r="BV11" i="19"/>
  <c r="BU11" i="19"/>
  <c r="BS11" i="19"/>
  <c r="BR11" i="19"/>
  <c r="BO11" i="19"/>
  <c r="BN11" i="19"/>
  <c r="BM11" i="19"/>
  <c r="X11" i="19"/>
  <c r="BQ11" i="19" s="1"/>
  <c r="W11" i="19"/>
  <c r="BP11" i="19" s="1"/>
  <c r="V11" i="19"/>
  <c r="U11" i="19"/>
  <c r="S11" i="19"/>
  <c r="BL11" i="19" s="1"/>
  <c r="P11" i="19"/>
  <c r="O11" i="19"/>
  <c r="L11" i="19"/>
  <c r="CZ11" i="19" s="1"/>
  <c r="C11" i="19"/>
  <c r="DC10" i="19"/>
  <c r="CX10" i="19"/>
  <c r="CV10" i="19"/>
  <c r="CU10" i="19"/>
  <c r="CP10" i="19"/>
  <c r="CN10" i="19"/>
  <c r="CM10" i="19"/>
  <c r="CH10" i="19"/>
  <c r="CF10" i="19"/>
  <c r="CE10" i="19"/>
  <c r="BZ10" i="19"/>
  <c r="BX10" i="19"/>
  <c r="BW10" i="19"/>
  <c r="BR10" i="19"/>
  <c r="BP10" i="19"/>
  <c r="Y10" i="19"/>
  <c r="X10" i="19"/>
  <c r="BQ10" i="19" s="1"/>
  <c r="W10" i="19"/>
  <c r="V10" i="19"/>
  <c r="BO10" i="19" s="1"/>
  <c r="U10" i="19"/>
  <c r="BN10" i="19" s="1"/>
  <c r="S10" i="19"/>
  <c r="O10" i="19"/>
  <c r="L10" i="19"/>
  <c r="DB10" i="19" s="1"/>
  <c r="C10" i="19"/>
  <c r="DB9" i="19"/>
  <c r="DA9" i="19"/>
  <c r="CX9" i="19"/>
  <c r="CW9" i="19"/>
  <c r="CV9" i="19"/>
  <c r="CT9" i="19"/>
  <c r="CS9" i="19"/>
  <c r="CP9" i="19"/>
  <c r="CO9" i="19"/>
  <c r="CN9" i="19"/>
  <c r="CL9" i="19"/>
  <c r="CK9" i="19"/>
  <c r="CH9" i="19"/>
  <c r="CG9" i="19"/>
  <c r="CF9" i="19"/>
  <c r="CD9" i="19"/>
  <c r="CC9" i="19"/>
  <c r="BZ9" i="19"/>
  <c r="BY9" i="19"/>
  <c r="BX9" i="19"/>
  <c r="BV9" i="19"/>
  <c r="BU9" i="19"/>
  <c r="BR9" i="19"/>
  <c r="BQ9" i="19"/>
  <c r="BP9" i="19"/>
  <c r="BN9" i="19"/>
  <c r="BM9" i="19"/>
  <c r="Y9" i="19"/>
  <c r="X9" i="19"/>
  <c r="W9" i="19"/>
  <c r="V9" i="19"/>
  <c r="BO9" i="19" s="1"/>
  <c r="U9" i="19"/>
  <c r="P9" i="19"/>
  <c r="O9" i="19"/>
  <c r="L9" i="19"/>
  <c r="CZ9" i="19" s="1"/>
  <c r="C9" i="19"/>
  <c r="DC8" i="19"/>
  <c r="DB8" i="19"/>
  <c r="DA8" i="19"/>
  <c r="CY8" i="19"/>
  <c r="CX8" i="19"/>
  <c r="CW8" i="19"/>
  <c r="CV8" i="19"/>
  <c r="CU8" i="19"/>
  <c r="CT8" i="19"/>
  <c r="CS8" i="19"/>
  <c r="CQ8" i="19"/>
  <c r="CP8" i="19"/>
  <c r="CO8" i="19"/>
  <c r="CN8" i="19"/>
  <c r="CM8" i="19"/>
  <c r="CL8" i="19"/>
  <c r="CK8" i="19"/>
  <c r="CI8" i="19"/>
  <c r="CH8" i="19"/>
  <c r="CG8" i="19"/>
  <c r="CF8" i="19"/>
  <c r="CE8" i="19"/>
  <c r="CD8" i="19"/>
  <c r="CC8" i="19"/>
  <c r="CA8" i="19"/>
  <c r="BZ8" i="19"/>
  <c r="BY8" i="19"/>
  <c r="BX8" i="19"/>
  <c r="BW8" i="19"/>
  <c r="BV8" i="19"/>
  <c r="BU8" i="19"/>
  <c r="BS8" i="19"/>
  <c r="BR8" i="19"/>
  <c r="BO8" i="19"/>
  <c r="BN8" i="19"/>
  <c r="BM8" i="19"/>
  <c r="X8" i="19"/>
  <c r="BQ8" i="19" s="1"/>
  <c r="W8" i="19"/>
  <c r="W44" i="19" s="1" a="1"/>
  <c r="W44" i="19" s="1"/>
  <c r="V8" i="19"/>
  <c r="U8" i="19"/>
  <c r="S8" i="19"/>
  <c r="BL8" i="19" s="1"/>
  <c r="P8" i="19"/>
  <c r="O8" i="19"/>
  <c r="L8" i="19"/>
  <c r="C8" i="19"/>
  <c r="DC7" i="19"/>
  <c r="CX7" i="19"/>
  <c r="CV7" i="19"/>
  <c r="CU7" i="19"/>
  <c r="CP7" i="19"/>
  <c r="CN7" i="19"/>
  <c r="CM7" i="19"/>
  <c r="CH7" i="19"/>
  <c r="CF7" i="19"/>
  <c r="CE7" i="19"/>
  <c r="BZ7" i="19"/>
  <c r="BX7" i="19"/>
  <c r="BW7" i="19"/>
  <c r="BR7" i="19"/>
  <c r="BP7" i="19"/>
  <c r="Y7" i="19"/>
  <c r="X7" i="19"/>
  <c r="BQ7" i="19" s="1"/>
  <c r="W7" i="19"/>
  <c r="V7" i="19"/>
  <c r="BO7" i="19" s="1"/>
  <c r="U7" i="19"/>
  <c r="BN7" i="19" s="1"/>
  <c r="S7" i="19"/>
  <c r="O7" i="19"/>
  <c r="L7" i="19"/>
  <c r="DB7" i="19" s="1"/>
  <c r="C7" i="19"/>
  <c r="DB6" i="19"/>
  <c r="DA6" i="19"/>
  <c r="CS6" i="19"/>
  <c r="CN6" i="19"/>
  <c r="CK6" i="19"/>
  <c r="CF6" i="19"/>
  <c r="CD6" i="19"/>
  <c r="BV6" i="19"/>
  <c r="BU6" i="19"/>
  <c r="BM6" i="19"/>
  <c r="AA6" i="19"/>
  <c r="Z6" i="19"/>
  <c r="Y6" i="19"/>
  <c r="X6" i="19"/>
  <c r="W6" i="19"/>
  <c r="V6" i="19"/>
  <c r="U6" i="19"/>
  <c r="U46" i="19" s="1"/>
  <c r="S6" i="19"/>
  <c r="BL6" i="19" s="1"/>
  <c r="O6" i="19"/>
  <c r="L6" i="19"/>
  <c r="CT6" i="19" s="1"/>
  <c r="C6" i="19"/>
  <c r="DB5" i="19"/>
  <c r="DA5" i="19"/>
  <c r="CX5" i="19"/>
  <c r="CW5" i="19"/>
  <c r="CV5" i="19"/>
  <c r="CT5" i="19"/>
  <c r="CS5" i="19"/>
  <c r="CP5" i="19"/>
  <c r="CO5" i="19"/>
  <c r="CN5" i="19"/>
  <c r="CL5" i="19"/>
  <c r="CK5" i="19"/>
  <c r="CH5" i="19"/>
  <c r="CG5" i="19"/>
  <c r="CF5" i="19"/>
  <c r="CD5" i="19"/>
  <c r="CC5" i="19"/>
  <c r="BZ5" i="19"/>
  <c r="BY5" i="19"/>
  <c r="BX5" i="19"/>
  <c r="BV5" i="19"/>
  <c r="BU5" i="19"/>
  <c r="BR5" i="19"/>
  <c r="BQ5" i="19"/>
  <c r="BP5" i="19"/>
  <c r="BN5" i="19"/>
  <c r="BM5" i="19"/>
  <c r="X5" i="19"/>
  <c r="W5" i="19"/>
  <c r="W66" i="19" s="1" a="1"/>
  <c r="W66" i="19" s="1"/>
  <c r="V5" i="19"/>
  <c r="U5" i="19"/>
  <c r="U37" i="19" s="1"/>
  <c r="S5" i="19"/>
  <c r="P5" i="19"/>
  <c r="O5" i="19"/>
  <c r="L5" i="19"/>
  <c r="CY5" i="19" s="1"/>
  <c r="C5" i="19"/>
  <c r="DB4" i="19"/>
  <c r="DA4" i="19"/>
  <c r="CY4" i="19"/>
  <c r="CV4" i="19"/>
  <c r="CT4" i="19"/>
  <c r="CS4" i="19"/>
  <c r="CQ4" i="19"/>
  <c r="CN4" i="19"/>
  <c r="CK4" i="19"/>
  <c r="CI4" i="19"/>
  <c r="CF4" i="19"/>
  <c r="CD4" i="19"/>
  <c r="CC4" i="19"/>
  <c r="CA4" i="19"/>
  <c r="BX4" i="19"/>
  <c r="BU4" i="19"/>
  <c r="BS4" i="19"/>
  <c r="BP4" i="19"/>
  <c r="BN4" i="19"/>
  <c r="BM4" i="19"/>
  <c r="BJ4" i="19"/>
  <c r="DC4" i="19" s="1"/>
  <c r="BI4" i="19"/>
  <c r="BH4" i="19"/>
  <c r="BG4" i="19"/>
  <c r="CZ4" i="19" s="1"/>
  <c r="BF4" i="19"/>
  <c r="BE4" i="19"/>
  <c r="CX4" i="19" s="1"/>
  <c r="BD4" i="19"/>
  <c r="CW4" i="19" s="1"/>
  <c r="BC4" i="19"/>
  <c r="BB4" i="19"/>
  <c r="CU4" i="19" s="1"/>
  <c r="BA4" i="19"/>
  <c r="AZ4" i="19"/>
  <c r="AY4" i="19"/>
  <c r="CR4" i="19" s="1"/>
  <c r="AX4" i="19"/>
  <c r="AW4" i="19"/>
  <c r="CP4" i="19" s="1"/>
  <c r="AV4" i="19"/>
  <c r="CO4" i="19" s="1"/>
  <c r="AU4" i="19"/>
  <c r="AT4" i="19"/>
  <c r="CM4" i="19" s="1"/>
  <c r="AS4" i="19"/>
  <c r="CL4" i="19" s="1"/>
  <c r="AR4" i="19"/>
  <c r="AQ4" i="19"/>
  <c r="CJ4" i="19" s="1"/>
  <c r="AP4" i="19"/>
  <c r="AO4" i="19"/>
  <c r="CH4" i="19" s="1"/>
  <c r="AN4" i="19"/>
  <c r="CG4" i="19" s="1"/>
  <c r="AM4" i="19"/>
  <c r="AL4" i="19"/>
  <c r="CE4" i="19" s="1"/>
  <c r="AK4" i="19"/>
  <c r="AJ4" i="19"/>
  <c r="AI4" i="19"/>
  <c r="CB4" i="19" s="1"/>
  <c r="AH4" i="19"/>
  <c r="AG4" i="19"/>
  <c r="BZ4" i="19" s="1"/>
  <c r="AF4" i="19"/>
  <c r="BY4" i="19" s="1"/>
  <c r="AE4" i="19"/>
  <c r="AD4" i="19"/>
  <c r="BW4" i="19" s="1"/>
  <c r="AC4" i="19"/>
  <c r="BV4" i="19" s="1"/>
  <c r="AB4" i="19"/>
  <c r="AA4" i="19"/>
  <c r="BT4" i="19" s="1"/>
  <c r="Z4" i="19"/>
  <c r="Y4" i="19"/>
  <c r="BR4" i="19" s="1"/>
  <c r="X4" i="19"/>
  <c r="BQ4" i="19" s="1"/>
  <c r="W4" i="19"/>
  <c r="V4" i="19"/>
  <c r="BO4" i="19" s="1"/>
  <c r="U4" i="19"/>
  <c r="T4" i="19"/>
  <c r="S4" i="19"/>
  <c r="BL4" i="19" s="1"/>
  <c r="DC3" i="19"/>
  <c r="DB3" i="19"/>
  <c r="DA3" i="19"/>
  <c r="CZ3" i="19"/>
  <c r="CY3" i="19"/>
  <c r="CX3" i="19"/>
  <c r="CW3" i="19"/>
  <c r="CV3" i="19"/>
  <c r="CU3" i="19"/>
  <c r="CT3" i="19"/>
  <c r="CS3" i="19"/>
  <c r="CR3" i="19"/>
  <c r="CQ3" i="19"/>
  <c r="CP3" i="19"/>
  <c r="CO3" i="19"/>
  <c r="CN3" i="19"/>
  <c r="CM3" i="19"/>
  <c r="CL3" i="19"/>
  <c r="CK3" i="19"/>
  <c r="CJ3" i="19"/>
  <c r="CI3" i="19"/>
  <c r="CH3" i="19"/>
  <c r="CG3" i="19"/>
  <c r="CF3" i="19"/>
  <c r="CE3" i="19"/>
  <c r="CD3" i="19"/>
  <c r="CC3" i="19"/>
  <c r="CB3" i="19"/>
  <c r="CA3" i="19"/>
  <c r="BZ3" i="19"/>
  <c r="BY3" i="19"/>
  <c r="BX3" i="19"/>
  <c r="BW3" i="19"/>
  <c r="BV3" i="19"/>
  <c r="BU3" i="19"/>
  <c r="BT3" i="19"/>
  <c r="BS3" i="19"/>
  <c r="BR3" i="19"/>
  <c r="BQ3" i="19"/>
  <c r="BP3" i="19"/>
  <c r="BO3" i="19"/>
  <c r="BN3" i="19"/>
  <c r="BM3" i="19"/>
  <c r="BL3" i="19"/>
  <c r="W54" i="19" l="1"/>
  <c r="CL54" i="19"/>
  <c r="AS40" i="19"/>
  <c r="BI40" i="19"/>
  <c r="AT41" i="19" a="1"/>
  <c r="AT41" i="19" s="1"/>
  <c r="Q43" i="19"/>
  <c r="BH43" i="19"/>
  <c r="H46" i="19"/>
  <c r="AQ46" i="19"/>
  <c r="BG46" i="19"/>
  <c r="AJ47" i="19" a="1"/>
  <c r="AJ47" i="19" s="1"/>
  <c r="AV47" i="19" a="1"/>
  <c r="AV47" i="19" s="1"/>
  <c r="AJ58" i="19" a="1"/>
  <c r="AJ58" i="19" s="1"/>
  <c r="AT70" i="19"/>
  <c r="AO85" i="19"/>
  <c r="Q88" i="19"/>
  <c r="AU88" i="19"/>
  <c r="BW88" i="19"/>
  <c r="DA88" i="19"/>
  <c r="BB89" i="19" a="1"/>
  <c r="BB89" i="19" s="1"/>
  <c r="AE57" i="19"/>
  <c r="BQ57" i="19"/>
  <c r="CK57" i="19"/>
  <c r="DC57" i="19"/>
  <c r="AO46" i="19"/>
  <c r="AI47" i="19" a="1"/>
  <c r="AI47" i="19" s="1"/>
  <c r="BJ47" i="19" a="1"/>
  <c r="BJ47" i="19" s="1"/>
  <c r="AD54" i="19"/>
  <c r="BH54" i="19"/>
  <c r="CP54" i="19"/>
  <c r="AR55" i="19" a="1"/>
  <c r="AR55" i="19" s="1"/>
  <c r="I57" i="19"/>
  <c r="AF57" i="19"/>
  <c r="AY57" i="19"/>
  <c r="BR57" i="19"/>
  <c r="AG58" i="19" a="1"/>
  <c r="AG58" i="19" s="1"/>
  <c r="BB58" i="19" a="1"/>
  <c r="BB58" i="19" s="1"/>
  <c r="AA62" i="19"/>
  <c r="BG62" i="19"/>
  <c r="CN62" i="19"/>
  <c r="AR63" i="19" a="1"/>
  <c r="AR63" i="19" s="1"/>
  <c r="AB40" i="19"/>
  <c r="AE54" i="19"/>
  <c r="BP54" i="19"/>
  <c r="CS54" i="19"/>
  <c r="AV55" i="19" a="1"/>
  <c r="AV55" i="19" s="1"/>
  <c r="N57" i="19"/>
  <c r="AG57" i="19"/>
  <c r="BD57" i="19"/>
  <c r="BX57" i="19"/>
  <c r="CP57" i="19"/>
  <c r="BF58" i="19" a="1"/>
  <c r="BF58" i="19" s="1"/>
  <c r="AF62" i="19"/>
  <c r="BH62" i="19"/>
  <c r="CO62" i="19"/>
  <c r="AV63" i="19" a="1"/>
  <c r="AV63" i="19" s="1"/>
  <c r="BA71" i="19" a="1"/>
  <c r="BA71" i="19" s="1"/>
  <c r="AL71" i="19" a="1"/>
  <c r="AL71" i="19" s="1"/>
  <c r="DB70" i="19"/>
  <c r="CL70" i="19"/>
  <c r="BS70" i="19"/>
  <c r="BB70" i="19"/>
  <c r="AL70" i="19"/>
  <c r="S70" i="19"/>
  <c r="BJ71" i="19" a="1"/>
  <c r="BJ71" i="19" s="1"/>
  <c r="AT71" i="19" a="1"/>
  <c r="AT71" i="19" s="1"/>
  <c r="AG71" i="19" a="1"/>
  <c r="AG71" i="19" s="1"/>
  <c r="CS70" i="19"/>
  <c r="CC70" i="19"/>
  <c r="BM70" i="19"/>
  <c r="AS70" i="19"/>
  <c r="AC70" i="19"/>
  <c r="I70" i="19"/>
  <c r="BE71" i="19" a="1"/>
  <c r="BE71" i="19" s="1"/>
  <c r="AK71" i="19" a="1"/>
  <c r="AK71" i="19" s="1"/>
  <c r="CT70" i="19"/>
  <c r="BZ70" i="19"/>
  <c r="BA70" i="19"/>
  <c r="AD70" i="19"/>
  <c r="AS71" i="19" a="1"/>
  <c r="AS71" i="19" s="1"/>
  <c r="I71" i="19" a="1"/>
  <c r="I71" i="19" s="1"/>
  <c r="CF70" i="19"/>
  <c r="BG70" i="19"/>
  <c r="AN70" i="19"/>
  <c r="O70" i="19"/>
  <c r="AR71" i="19" a="1"/>
  <c r="AR71" i="19" s="1"/>
  <c r="DA70" i="19"/>
  <c r="CD70" i="19"/>
  <c r="BE70" i="19"/>
  <c r="AG70" i="19"/>
  <c r="L70" i="19"/>
  <c r="AJ71" i="19" a="1"/>
  <c r="AJ71" i="19" s="1"/>
  <c r="AC40" i="19"/>
  <c r="AT40" i="19"/>
  <c r="BJ40" i="19"/>
  <c r="AW41" i="19" a="1"/>
  <c r="AW41" i="19" s="1"/>
  <c r="AA43" i="19"/>
  <c r="AD44" i="19" a="1"/>
  <c r="AD44" i="19" s="1"/>
  <c r="L46" i="19"/>
  <c r="AR46" i="19"/>
  <c r="BH46" i="19"/>
  <c r="AK47" i="19" a="1"/>
  <c r="AK47" i="19" s="1"/>
  <c r="AW47" i="19" a="1"/>
  <c r="AW47" i="19" s="1"/>
  <c r="T50" i="19" a="1"/>
  <c r="T50" i="19" s="1"/>
  <c r="AI54" i="19"/>
  <c r="BQ54" i="19"/>
  <c r="CZ54" i="19"/>
  <c r="AX55" i="19" a="1"/>
  <c r="AX55" i="19" s="1"/>
  <c r="S57" i="19"/>
  <c r="AM57" i="19"/>
  <c r="BE57" i="19"/>
  <c r="BY57" i="19"/>
  <c r="CR57" i="19"/>
  <c r="AL58" i="19" a="1"/>
  <c r="AL58" i="19" s="1"/>
  <c r="BG58" i="19" a="1"/>
  <c r="BG58" i="19" s="1"/>
  <c r="AG62" i="19"/>
  <c r="BN62" i="19"/>
  <c r="CX62" i="19"/>
  <c r="P70" i="19"/>
  <c r="AY70" i="19"/>
  <c r="CN70" i="19"/>
  <c r="AN71" i="19" a="1"/>
  <c r="AN71" i="19" s="1"/>
  <c r="BF77" i="19" a="1"/>
  <c r="BF77" i="19" s="1"/>
  <c r="AV77" i="19" a="1"/>
  <c r="AV77" i="19" s="1"/>
  <c r="AM77" i="19" a="1"/>
  <c r="AM77" i="19" s="1"/>
  <c r="DA76" i="19"/>
  <c r="CN76" i="19"/>
  <c r="CB76" i="19"/>
  <c r="BP76" i="19"/>
  <c r="BC76" i="19"/>
  <c r="AP76" i="19"/>
  <c r="AE76" i="19"/>
  <c r="Q76" i="19"/>
  <c r="BB77" i="19" a="1"/>
  <c r="BB77" i="19" s="1"/>
  <c r="AG77" i="19" a="1"/>
  <c r="AG77" i="19" s="1"/>
  <c r="CT76" i="19"/>
  <c r="CI76" i="19"/>
  <c r="BV76" i="19"/>
  <c r="BI76" i="19"/>
  <c r="AW76" i="19"/>
  <c r="AK76" i="19"/>
  <c r="X76" i="19"/>
  <c r="I76" i="19"/>
  <c r="BH77" i="19" a="1"/>
  <c r="BH77" i="19" s="1"/>
  <c r="AU77" i="19" a="1"/>
  <c r="AU77" i="19" s="1"/>
  <c r="AI77" i="19" a="1"/>
  <c r="AI77" i="19" s="1"/>
  <c r="CR76" i="19"/>
  <c r="CA76" i="19"/>
  <c r="BL76" i="19"/>
  <c r="AT76" i="19"/>
  <c r="AC76" i="19"/>
  <c r="L76" i="19"/>
  <c r="BA77" i="19" a="1"/>
  <c r="BA77" i="19" s="1"/>
  <c r="AN77" i="19" a="1"/>
  <c r="AN77" i="19" s="1"/>
  <c r="CX76" i="19"/>
  <c r="CF76" i="19"/>
  <c r="BR76" i="19"/>
  <c r="AY76" i="19"/>
  <c r="AI76" i="19"/>
  <c r="S76" i="19"/>
  <c r="AY77" i="19" a="1"/>
  <c r="AY77" i="19" s="1"/>
  <c r="AL77" i="19" a="1"/>
  <c r="AL77" i="19" s="1"/>
  <c r="CV76" i="19"/>
  <c r="CE76" i="19"/>
  <c r="BN76" i="19"/>
  <c r="AX76" i="19"/>
  <c r="AG76" i="19"/>
  <c r="P76" i="19"/>
  <c r="AN76" i="19"/>
  <c r="BM76" i="19"/>
  <c r="CM76" i="19"/>
  <c r="AO77" i="19" a="1"/>
  <c r="AO77" i="19" s="1"/>
  <c r="BH85" i="19"/>
  <c r="U88" i="19"/>
  <c r="AV88" i="19"/>
  <c r="CA88" i="19"/>
  <c r="DB88" i="19"/>
  <c r="BC89" i="19" a="1"/>
  <c r="BC89" i="19" s="1"/>
  <c r="AO54" i="19"/>
  <c r="BT54" i="19"/>
  <c r="DA54" i="19"/>
  <c r="H54" i="19"/>
  <c r="AQ54" i="19"/>
  <c r="CA54" i="19"/>
  <c r="T55" i="19" a="1"/>
  <c r="T55" i="19" s="1"/>
  <c r="BE55" i="19" a="1"/>
  <c r="BE55" i="19" s="1"/>
  <c r="U57" i="19"/>
  <c r="AP57" i="19"/>
  <c r="BI57" i="19"/>
  <c r="CC57" i="19"/>
  <c r="CX57" i="19"/>
  <c r="AQ58" i="19" a="1"/>
  <c r="AQ58" i="19" s="1"/>
  <c r="AS63" i="19" a="1"/>
  <c r="AS63" i="19" s="1"/>
  <c r="CQ62" i="19"/>
  <c r="BR62" i="19"/>
  <c r="AO62" i="19"/>
  <c r="O62" i="19"/>
  <c r="AQ62" i="19"/>
  <c r="BX62" i="19"/>
  <c r="I63" i="19" a="1"/>
  <c r="I63" i="19" s="1"/>
  <c r="BF63" i="19" a="1"/>
  <c r="BF63" i="19" s="1"/>
  <c r="AG86" i="19" a="1"/>
  <c r="AG86" i="19" s="1"/>
  <c r="AE88" i="19"/>
  <c r="BF88" i="19"/>
  <c r="CK88" i="19"/>
  <c r="AL89" i="19" a="1"/>
  <c r="AL89" i="19" s="1"/>
  <c r="BG55" i="19" a="1"/>
  <c r="BG55" i="19" s="1"/>
  <c r="DA57" i="19"/>
  <c r="BB55" i="19" a="1"/>
  <c r="BB55" i="19" s="1"/>
  <c r="AJ40" i="19"/>
  <c r="AZ40" i="19"/>
  <c r="AI41" i="19" a="1"/>
  <c r="AI41" i="19" s="1"/>
  <c r="BE41" i="19" a="1"/>
  <c r="BE41" i="19" s="1"/>
  <c r="O54" i="19"/>
  <c r="AV54" i="19"/>
  <c r="CB54" i="19"/>
  <c r="AD55" i="19" a="1"/>
  <c r="AD55" i="19" s="1"/>
  <c r="Y57" i="19"/>
  <c r="AQ57" i="19"/>
  <c r="BN57" i="19"/>
  <c r="CF57" i="19"/>
  <c r="AR58" i="19" a="1"/>
  <c r="AR58" i="19" s="1"/>
  <c r="P62" i="19"/>
  <c r="AW62" i="19"/>
  <c r="BY62" i="19"/>
  <c r="Q63" i="19" a="1"/>
  <c r="Q63" i="19" s="1"/>
  <c r="BI63" i="19" a="1"/>
  <c r="BI63" i="19" s="1"/>
  <c r="X55" i="19" a="1"/>
  <c r="X55" i="19" s="1"/>
  <c r="S40" i="19"/>
  <c r="I40" i="19"/>
  <c r="AL40" i="19"/>
  <c r="BC40" i="19"/>
  <c r="AL41" i="19" a="1"/>
  <c r="AL41" i="19" s="1"/>
  <c r="BG41" i="19" a="1"/>
  <c r="BG41" i="19" s="1"/>
  <c r="AW43" i="19"/>
  <c r="BB44" i="19" a="1"/>
  <c r="BB44" i="19" s="1"/>
  <c r="AI46" i="19"/>
  <c r="BA46" i="19"/>
  <c r="T47" i="19" a="1"/>
  <c r="T47" i="19" s="1"/>
  <c r="AQ47" i="19" a="1"/>
  <c r="AQ47" i="19" s="1"/>
  <c r="BE47" i="19" a="1"/>
  <c r="BE47" i="19" s="1"/>
  <c r="T54" i="19"/>
  <c r="BA54" i="19"/>
  <c r="CH54" i="19"/>
  <c r="AI55" i="19" a="1"/>
  <c r="AI55" i="19" s="1"/>
  <c r="BI55" i="19" a="1"/>
  <c r="BI55" i="19" s="1"/>
  <c r="AB57" i="19"/>
  <c r="AU57" i="19"/>
  <c r="BP57" i="19"/>
  <c r="CJ57" i="19"/>
  <c r="DB57" i="19"/>
  <c r="AU58" i="19" a="1"/>
  <c r="AU58" i="19" s="1"/>
  <c r="U62" i="19"/>
  <c r="AZ62" i="19"/>
  <c r="CG62" i="19"/>
  <c r="AK63" i="19" a="1"/>
  <c r="AK63" i="19" s="1"/>
  <c r="AF70" i="19"/>
  <c r="BR70" i="19"/>
  <c r="Q71" i="19" a="1"/>
  <c r="Q71" i="19" s="1"/>
  <c r="BD71" i="19" a="1"/>
  <c r="BD71" i="19" s="1"/>
  <c r="AH88" i="19"/>
  <c r="BL88" i="19"/>
  <c r="CM88" i="19"/>
  <c r="BD54" i="19"/>
  <c r="AX57" i="19"/>
  <c r="BA58" i="19" a="1"/>
  <c r="BA58" i="19" s="1"/>
  <c r="DB85" i="19"/>
  <c r="AY85" i="19"/>
  <c r="AW86" i="19" a="1"/>
  <c r="AW86" i="19" s="1"/>
  <c r="CE85" i="19"/>
  <c r="S85" i="19"/>
  <c r="BH86" i="19" a="1"/>
  <c r="BH86" i="19" s="1"/>
  <c r="BV85" i="19"/>
  <c r="BB86" i="19" a="1"/>
  <c r="BB86" i="19" s="1"/>
  <c r="BI85" i="19"/>
  <c r="CY85" i="19"/>
  <c r="AC85" i="19"/>
  <c r="CP85" i="19"/>
  <c r="Q85" i="19"/>
  <c r="CW88" i="19"/>
  <c r="BH89" i="19" a="1"/>
  <c r="BH89" i="19" s="1"/>
  <c r="AY89" i="19" a="1"/>
  <c r="AY89" i="19" s="1"/>
  <c r="AN89" i="19" a="1"/>
  <c r="AN89" i="19" s="1"/>
  <c r="N89" i="19" a="1"/>
  <c r="N89" i="19" s="1"/>
  <c r="CT88" i="19"/>
  <c r="CJ88" i="19"/>
  <c r="BZ88" i="19"/>
  <c r="BN88" i="19"/>
  <c r="BC88" i="19"/>
  <c r="AS88" i="19"/>
  <c r="AG88" i="19"/>
  <c r="W88" i="19"/>
  <c r="I88" i="19"/>
  <c r="BD89" i="19" a="1"/>
  <c r="BD89" i="19" s="1"/>
  <c r="AT89" i="19" a="1"/>
  <c r="AT89" i="19" s="1"/>
  <c r="AI89" i="19" a="1"/>
  <c r="AI89" i="19" s="1"/>
  <c r="CZ88" i="19"/>
  <c r="CP88" i="19"/>
  <c r="CD88" i="19"/>
  <c r="BT88" i="19"/>
  <c r="BI88" i="19"/>
  <c r="AW88" i="19"/>
  <c r="AM88" i="19"/>
  <c r="AC88" i="19"/>
  <c r="P88" i="19"/>
  <c r="BF89" i="19" a="1"/>
  <c r="BF89" i="19" s="1"/>
  <c r="AR89" i="19" a="1"/>
  <c r="AR89" i="19" s="1"/>
  <c r="Q89" i="19" a="1"/>
  <c r="Q89" i="19" s="1"/>
  <c r="CR88" i="19"/>
  <c r="CC88" i="19"/>
  <c r="BO88" i="19"/>
  <c r="BA88" i="19"/>
  <c r="AL88" i="19"/>
  <c r="X88" i="19"/>
  <c r="AQ89" i="19" a="1"/>
  <c r="AQ89" i="19" s="1"/>
  <c r="DC88" i="19"/>
  <c r="CQ88" i="19"/>
  <c r="CB88" i="19"/>
  <c r="BM88" i="19"/>
  <c r="AX88" i="19"/>
  <c r="AK88" i="19"/>
  <c r="V88" i="19"/>
  <c r="AX89" i="19" a="1"/>
  <c r="AX89" i="19" s="1"/>
  <c r="AJ89" i="19" a="1"/>
  <c r="AJ89" i="19" s="1"/>
  <c r="CX88" i="19"/>
  <c r="CI88" i="19"/>
  <c r="BU88" i="19"/>
  <c r="BE88" i="19"/>
  <c r="AP88" i="19"/>
  <c r="AD88" i="19"/>
  <c r="N88" i="19"/>
  <c r="BJ89" i="19" a="1"/>
  <c r="BJ89" i="19" s="1"/>
  <c r="AV89" i="19" a="1"/>
  <c r="AV89" i="19" s="1"/>
  <c r="AH89" i="19" a="1"/>
  <c r="AH89" i="19" s="1"/>
  <c r="CU88" i="19"/>
  <c r="CH88" i="19"/>
  <c r="BS88" i="19"/>
  <c r="BD88" i="19"/>
  <c r="AO88" i="19"/>
  <c r="Z88" i="19"/>
  <c r="L88" i="19"/>
  <c r="AN88" i="19"/>
  <c r="BR88" i="19"/>
  <c r="CS88" i="19"/>
  <c r="AU89" i="19" a="1"/>
  <c r="AU89" i="19" s="1"/>
  <c r="BD40" i="19"/>
  <c r="AO41" i="19" a="1"/>
  <c r="AO41" i="19" s="1"/>
  <c r="BJ41" i="19" a="1"/>
  <c r="BJ41" i="19" s="1"/>
  <c r="T40" i="19"/>
  <c r="AN40" i="19"/>
  <c r="BH40" i="19"/>
  <c r="AT47" i="19" a="1"/>
  <c r="AT47" i="19" s="1"/>
  <c r="CO57" i="19"/>
  <c r="AL85" i="19"/>
  <c r="O88" i="19"/>
  <c r="AT88" i="19"/>
  <c r="BV88" i="19"/>
  <c r="CY88" i="19"/>
  <c r="AZ89" i="19" a="1"/>
  <c r="AZ89" i="19" s="1"/>
  <c r="BH74" i="19" a="1"/>
  <c r="BH74" i="19" s="1"/>
  <c r="AU74" i="19" a="1"/>
  <c r="AU74" i="19" s="1"/>
  <c r="AI74" i="19" a="1"/>
  <c r="AI74" i="19" s="1"/>
  <c r="CU73" i="19"/>
  <c r="CE73" i="19"/>
  <c r="BN73" i="19"/>
  <c r="AX73" i="19"/>
  <c r="AG73" i="19"/>
  <c r="N73" i="19"/>
  <c r="BA74" i="19" a="1"/>
  <c r="BA74" i="19" s="1"/>
  <c r="AR74" i="19" a="1"/>
  <c r="AR74" i="19" s="1"/>
  <c r="DC73" i="19"/>
  <c r="CL73" i="19"/>
  <c r="BW73" i="19"/>
  <c r="BE73" i="19"/>
  <c r="AO73" i="19"/>
  <c r="Y73" i="19"/>
  <c r="AC73" i="19"/>
  <c r="AZ73" i="19"/>
  <c r="BX73" i="19"/>
  <c r="CR73" i="19"/>
  <c r="AM74" i="19" a="1"/>
  <c r="AM74" i="19" s="1"/>
  <c r="BC74" i="19" a="1"/>
  <c r="BC74" i="19" s="1"/>
  <c r="W82" i="19"/>
  <c r="AL82" i="19"/>
  <c r="BA82" i="19"/>
  <c r="BN82" i="19"/>
  <c r="CC82" i="19"/>
  <c r="CR82" i="19"/>
  <c r="N83" i="19" a="1"/>
  <c r="N83" i="19" s="1"/>
  <c r="AG91" i="19"/>
  <c r="BJ91" i="19"/>
  <c r="CP91" i="19"/>
  <c r="AL92" i="19" a="1"/>
  <c r="AL92" i="19" s="1"/>
  <c r="AY47" i="20" a="1"/>
  <c r="AY47" i="20" s="1"/>
  <c r="AN47" i="20" a="1"/>
  <c r="AN47" i="20" s="1"/>
  <c r="AI46" i="20"/>
  <c r="I52" i="20"/>
  <c r="U52" i="20"/>
  <c r="AH52" i="20"/>
  <c r="AT52" i="20"/>
  <c r="BG52" i="20"/>
  <c r="BS52" i="20"/>
  <c r="CF52" i="20"/>
  <c r="CQ52" i="20"/>
  <c r="Q53" i="20" a="1"/>
  <c r="Q53" i="20" s="1"/>
  <c r="AA53" i="20" a="1"/>
  <c r="AA53" i="20" s="1"/>
  <c r="AK53" i="20" a="1"/>
  <c r="AK53" i="20" s="1"/>
  <c r="AW53" i="20" a="1"/>
  <c r="AW53" i="20" s="1"/>
  <c r="S58" i="20"/>
  <c r="AH58" i="20"/>
  <c r="BB58" i="20"/>
  <c r="BW58" i="20"/>
  <c r="CP58" i="20"/>
  <c r="T59" i="20" a="1"/>
  <c r="T59" i="20" s="1"/>
  <c r="AL59" i="20" a="1"/>
  <c r="AL59" i="20" s="1"/>
  <c r="AZ59" i="20" a="1"/>
  <c r="AZ59" i="20" s="1"/>
  <c r="N70" i="20"/>
  <c r="AC70" i="20"/>
  <c r="AT70" i="20"/>
  <c r="BM70" i="20"/>
  <c r="AN74" i="20" a="1"/>
  <c r="AN74" i="20" s="1"/>
  <c r="W74" i="20" a="1"/>
  <c r="W74" i="20" s="1"/>
  <c r="CM73" i="20"/>
  <c r="BU73" i="20"/>
  <c r="BA73" i="20"/>
  <c r="AG73" i="20"/>
  <c r="P73" i="20"/>
  <c r="AC74" i="20" a="1"/>
  <c r="AC74" i="20" s="1"/>
  <c r="L74" i="20" a="1"/>
  <c r="L74" i="20" s="1"/>
  <c r="CD73" i="20"/>
  <c r="BK73" i="20"/>
  <c r="AS73" i="20"/>
  <c r="X73" i="20"/>
  <c r="AO74" i="20" a="1"/>
  <c r="AO74" i="20" s="1"/>
  <c r="S74" i="20" a="1"/>
  <c r="S74" i="20" s="1"/>
  <c r="CA73" i="20"/>
  <c r="BD73" i="20"/>
  <c r="AD73" i="20"/>
  <c r="AY74" i="20" a="1"/>
  <c r="AY74" i="20" s="1"/>
  <c r="AB74" i="20" a="1"/>
  <c r="AB74" i="20" s="1"/>
  <c r="CP73" i="20"/>
  <c r="BO73" i="20"/>
  <c r="AN73" i="20"/>
  <c r="Q73" i="20"/>
  <c r="AM73" i="20"/>
  <c r="BV73" i="20"/>
  <c r="T74" i="20" a="1"/>
  <c r="T74" i="20" s="1"/>
  <c r="AW74" i="20" a="1"/>
  <c r="AW74" i="20" s="1"/>
  <c r="O86" i="20" a="1"/>
  <c r="O86" i="20" s="1"/>
  <c r="AT46" i="21"/>
  <c r="I73" i="19"/>
  <c r="AH73" i="19"/>
  <c r="BB73" i="19"/>
  <c r="BZ73" i="19"/>
  <c r="CW73" i="19"/>
  <c r="AN74" i="19" a="1"/>
  <c r="AN74" i="19" s="1"/>
  <c r="BD74" i="19" a="1"/>
  <c r="BD74" i="19" s="1"/>
  <c r="CW82" i="19"/>
  <c r="BB83" i="19" a="1"/>
  <c r="BB83" i="19" s="1"/>
  <c r="AT83" i="19" a="1"/>
  <c r="AT83" i="19" s="1"/>
  <c r="AJ83" i="19" a="1"/>
  <c r="AJ83" i="19" s="1"/>
  <c r="DA82" i="19"/>
  <c r="CQ82" i="19"/>
  <c r="CE82" i="19"/>
  <c r="BU82" i="19"/>
  <c r="BJ82" i="19"/>
  <c r="AX82" i="19"/>
  <c r="AN82" i="19"/>
  <c r="AD82" i="19"/>
  <c r="Q82" i="19"/>
  <c r="BF83" i="19" a="1"/>
  <c r="BF83" i="19" s="1"/>
  <c r="AP83" i="19" a="1"/>
  <c r="AP83" i="19" s="1"/>
  <c r="Q83" i="19" a="1"/>
  <c r="Q83" i="19" s="1"/>
  <c r="CU82" i="19"/>
  <c r="CK82" i="19"/>
  <c r="CA82" i="19"/>
  <c r="BO82" i="19"/>
  <c r="BD82" i="19"/>
  <c r="AT82" i="19"/>
  <c r="AH82" i="19"/>
  <c r="X82" i="19"/>
  <c r="L82" i="19"/>
  <c r="Y82" i="19"/>
  <c r="AM82" i="19"/>
  <c r="BB82" i="19"/>
  <c r="BR82" i="19"/>
  <c r="CD82" i="19"/>
  <c r="CS82" i="19"/>
  <c r="T83" i="19" a="1"/>
  <c r="T83" i="19" s="1"/>
  <c r="AR83" i="19" a="1"/>
  <c r="AR83" i="19" s="1"/>
  <c r="BD83" i="19" a="1"/>
  <c r="BD83" i="19" s="1"/>
  <c r="DA91" i="19"/>
  <c r="BJ92" i="19" a="1"/>
  <c r="BJ92" i="19" s="1"/>
  <c r="AT92" i="19" a="1"/>
  <c r="AT92" i="19" s="1"/>
  <c r="T92" i="19" a="1"/>
  <c r="T92" i="19" s="1"/>
  <c r="CL91" i="19"/>
  <c r="BR91" i="19"/>
  <c r="AT91" i="19"/>
  <c r="Y91" i="19"/>
  <c r="BB92" i="19" a="1"/>
  <c r="BB92" i="19" s="1"/>
  <c r="AN92" i="19" a="1"/>
  <c r="AN92" i="19" s="1"/>
  <c r="CX91" i="19"/>
  <c r="CA91" i="19"/>
  <c r="BE91" i="19"/>
  <c r="AK91" i="19"/>
  <c r="L91" i="19"/>
  <c r="AL91" i="19"/>
  <c r="BN91" i="19"/>
  <c r="CQ91" i="19"/>
  <c r="AP92" i="19" a="1"/>
  <c r="AP92" i="19" s="1"/>
  <c r="BH92" i="19" a="1"/>
  <c r="BH92" i="19" s="1"/>
  <c r="K52" i="20"/>
  <c r="W52" i="20"/>
  <c r="AI52" i="20"/>
  <c r="AU52" i="20"/>
  <c r="BI52" i="20"/>
  <c r="BT52" i="20"/>
  <c r="CG52" i="20"/>
  <c r="CT52" i="20"/>
  <c r="R53" i="20" a="1"/>
  <c r="R53" i="20" s="1"/>
  <c r="AB53" i="20" a="1"/>
  <c r="AB53" i="20" s="1"/>
  <c r="AM53" i="20" a="1"/>
  <c r="AM53" i="20" s="1"/>
  <c r="AX53" i="20" a="1"/>
  <c r="AX53" i="20" s="1"/>
  <c r="U58" i="20"/>
  <c r="AM58" i="20"/>
  <c r="BD58" i="20"/>
  <c r="BX58" i="20"/>
  <c r="CR58" i="20"/>
  <c r="V59" i="20" a="1"/>
  <c r="V59" i="20" s="1"/>
  <c r="AW62" i="20" a="1"/>
  <c r="AW62" i="20" s="1"/>
  <c r="AK61" i="20"/>
  <c r="CH61" i="20"/>
  <c r="AP62" i="20" a="1"/>
  <c r="AP62" i="20" s="1"/>
  <c r="AW55" i="21"/>
  <c r="AA54" i="21"/>
  <c r="M54" i="21"/>
  <c r="Q55" i="21"/>
  <c r="AJ55" i="21"/>
  <c r="AI55" i="21"/>
  <c r="S55" i="21"/>
  <c r="AS54" i="21"/>
  <c r="H54" i="21"/>
  <c r="AN70" i="21"/>
  <c r="AO70" i="21"/>
  <c r="AI71" i="21"/>
  <c r="R70" i="21"/>
  <c r="AL71" i="21"/>
  <c r="S71" i="21"/>
  <c r="R71" i="21"/>
  <c r="O71" i="21"/>
  <c r="AH70" i="21"/>
  <c r="U70" i="21"/>
  <c r="T70" i="21"/>
  <c r="L52" i="20"/>
  <c r="Y52" i="20"/>
  <c r="AK52" i="20"/>
  <c r="AW52" i="20"/>
  <c r="BJ52" i="20"/>
  <c r="BW52" i="20"/>
  <c r="CH52" i="20"/>
  <c r="CU52" i="20"/>
  <c r="AC53" i="20" a="1"/>
  <c r="AC53" i="20" s="1"/>
  <c r="AO53" i="20" a="1"/>
  <c r="AO53" i="20" s="1"/>
  <c r="AX59" i="20" a="1"/>
  <c r="AX59" i="20" s="1"/>
  <c r="AJ59" i="20" a="1"/>
  <c r="AJ59" i="20" s="1"/>
  <c r="W59" i="20" a="1"/>
  <c r="W59" i="20" s="1"/>
  <c r="L59" i="20" a="1"/>
  <c r="L59" i="20" s="1"/>
  <c r="CI58" i="20"/>
  <c r="BU58" i="20"/>
  <c r="BH58" i="20"/>
  <c r="AQ58" i="20"/>
  <c r="AD58" i="20"/>
  <c r="R58" i="20"/>
  <c r="BB59" i="20" a="1"/>
  <c r="BB59" i="20" s="1"/>
  <c r="AE59" i="20" a="1"/>
  <c r="AE59" i="20" s="1"/>
  <c r="S59" i="20" a="1"/>
  <c r="S59" i="20" s="1"/>
  <c r="CQ58" i="20"/>
  <c r="CC58" i="20"/>
  <c r="BM58" i="20"/>
  <c r="AY58" i="20"/>
  <c r="AL58" i="20"/>
  <c r="W58" i="20"/>
  <c r="K58" i="20"/>
  <c r="V58" i="20"/>
  <c r="AN58" i="20"/>
  <c r="BJ58" i="20"/>
  <c r="BZ58" i="20"/>
  <c r="CS58" i="20"/>
  <c r="X59" i="20" a="1"/>
  <c r="X59" i="20" s="1"/>
  <c r="AN59" i="20" a="1"/>
  <c r="AN59" i="20" s="1"/>
  <c r="BY85" i="20"/>
  <c r="Z85" i="20"/>
  <c r="V86" i="20" a="1"/>
  <c r="V86" i="20" s="1"/>
  <c r="BH85" i="20"/>
  <c r="L85" i="20"/>
  <c r="CN85" i="20"/>
  <c r="AN85" i="20"/>
  <c r="AW86" i="20" a="1"/>
  <c r="AW86" i="20" s="1"/>
  <c r="BU85" i="20"/>
  <c r="AP86" i="20" a="1"/>
  <c r="AP86" i="20" s="1"/>
  <c r="BG85" i="20"/>
  <c r="AE86" i="20" a="1"/>
  <c r="AE86" i="20" s="1"/>
  <c r="BF85" i="20"/>
  <c r="CO85" i="20"/>
  <c r="Y85" i="20"/>
  <c r="AU47" i="21"/>
  <c r="AI47" i="21"/>
  <c r="X47" i="21"/>
  <c r="J47" i="21"/>
  <c r="AO46" i="21"/>
  <c r="AC46" i="21"/>
  <c r="P46" i="21"/>
  <c r="AQ47" i="21"/>
  <c r="AB47" i="21"/>
  <c r="P47" i="21"/>
  <c r="AQ46" i="21"/>
  <c r="AD46" i="21"/>
  <c r="N46" i="21"/>
  <c r="AY47" i="21"/>
  <c r="AJ47" i="21"/>
  <c r="W47" i="21"/>
  <c r="AX46" i="21"/>
  <c r="AK46" i="21"/>
  <c r="V46" i="21"/>
  <c r="J46" i="21"/>
  <c r="J48" i="21" s="1"/>
  <c r="AG47" i="21"/>
  <c r="O47" i="21"/>
  <c r="AL46" i="21"/>
  <c r="T46" i="21"/>
  <c r="AX47" i="21"/>
  <c r="AF47" i="21"/>
  <c r="N47" i="21"/>
  <c r="AH46" i="21"/>
  <c r="S46" i="21"/>
  <c r="AT47" i="21"/>
  <c r="AA47" i="21"/>
  <c r="AY46" i="21"/>
  <c r="AG46" i="21"/>
  <c r="M46" i="21"/>
  <c r="AR47" i="21"/>
  <c r="Z47" i="21"/>
  <c r="AW46" i="21"/>
  <c r="AF46" i="21"/>
  <c r="L46" i="21"/>
  <c r="AL47" i="21"/>
  <c r="R47" i="21"/>
  <c r="AP46" i="21"/>
  <c r="X46" i="21"/>
  <c r="Q47" i="21"/>
  <c r="N52" i="20"/>
  <c r="Z52" i="20"/>
  <c r="AL52" i="20"/>
  <c r="AY52" i="20"/>
  <c r="BK52" i="20"/>
  <c r="BX52" i="20"/>
  <c r="CJ52" i="20"/>
  <c r="I53" i="20" a="1"/>
  <c r="I53" i="20" s="1"/>
  <c r="T53" i="20" a="1"/>
  <c r="T53" i="20" s="1"/>
  <c r="AE53" i="20" a="1"/>
  <c r="AE53" i="20" s="1"/>
  <c r="AP53" i="20" a="1"/>
  <c r="AP53" i="20" s="1"/>
  <c r="BA53" i="20" a="1"/>
  <c r="BA53" i="20" s="1"/>
  <c r="H58" i="20"/>
  <c r="X58" i="20"/>
  <c r="AP58" i="20"/>
  <c r="BK58" i="20"/>
  <c r="CE58" i="20"/>
  <c r="CU58" i="20"/>
  <c r="AB59" i="20" a="1"/>
  <c r="AB59" i="20" s="1"/>
  <c r="AR59" i="20" a="1"/>
  <c r="AR59" i="20" s="1"/>
  <c r="AJ64" i="20"/>
  <c r="X85" i="20"/>
  <c r="K46" i="21"/>
  <c r="S47" i="21"/>
  <c r="O52" i="20"/>
  <c r="AB52" i="20"/>
  <c r="AM52" i="20"/>
  <c r="AZ52" i="20"/>
  <c r="BN52" i="20"/>
  <c r="BY52" i="20"/>
  <c r="CL52" i="20"/>
  <c r="L53" i="20" a="1"/>
  <c r="L53" i="20" s="1"/>
  <c r="U53" i="20" a="1"/>
  <c r="U53" i="20" s="1"/>
  <c r="AF53" i="20" a="1"/>
  <c r="AF53" i="20" s="1"/>
  <c r="BB53" i="20" a="1"/>
  <c r="BB53" i="20" s="1"/>
  <c r="I58" i="20"/>
  <c r="AA58" i="20"/>
  <c r="AS58" i="20"/>
  <c r="BL58" i="20"/>
  <c r="CF58" i="20"/>
  <c r="N59" i="20" a="1"/>
  <c r="N59" i="20" s="1"/>
  <c r="AD59" i="20" a="1"/>
  <c r="AD59" i="20" s="1"/>
  <c r="AT59" i="20" a="1"/>
  <c r="AT59" i="20" s="1"/>
  <c r="AK85" i="20"/>
  <c r="U46" i="21"/>
  <c r="Y47" i="21"/>
  <c r="Q52" i="20"/>
  <c r="AC52" i="20"/>
  <c r="AP52" i="20"/>
  <c r="BA52" i="20"/>
  <c r="BO52" i="20"/>
  <c r="CA52" i="20"/>
  <c r="CM52" i="20"/>
  <c r="M53" i="20" a="1"/>
  <c r="M53" i="20" s="1"/>
  <c r="W53" i="20" a="1"/>
  <c r="W53" i="20" s="1"/>
  <c r="AG53" i="20" a="1"/>
  <c r="AG53" i="20" s="1"/>
  <c r="AS53" i="20" a="1"/>
  <c r="AS53" i="20" s="1"/>
  <c r="M58" i="20"/>
  <c r="AC58" i="20"/>
  <c r="AV58" i="20"/>
  <c r="BO58" i="20"/>
  <c r="CH58" i="20"/>
  <c r="O59" i="20" a="1"/>
  <c r="O59" i="20" s="1"/>
  <c r="AH59" i="20" a="1"/>
  <c r="AH59" i="20" s="1"/>
  <c r="AU59" i="20" a="1"/>
  <c r="AU59" i="20" s="1"/>
  <c r="BJ61" i="20"/>
  <c r="AU71" i="20" a="1"/>
  <c r="AU71" i="20" s="1"/>
  <c r="AD71" i="20" a="1"/>
  <c r="AD71" i="20" s="1"/>
  <c r="CM70" i="20"/>
  <c r="BX70" i="20"/>
  <c r="AZ71" i="20" a="1"/>
  <c r="AZ71" i="20" s="1"/>
  <c r="AL71" i="20" a="1"/>
  <c r="AL71" i="20" s="1"/>
  <c r="T71" i="20" a="1"/>
  <c r="T71" i="20" s="1"/>
  <c r="CS70" i="20"/>
  <c r="CF70" i="20"/>
  <c r="BR70" i="20"/>
  <c r="AX71" i="20" a="1"/>
  <c r="AX71" i="20" s="1"/>
  <c r="AF71" i="20" a="1"/>
  <c r="AF71" i="20" s="1"/>
  <c r="K71" i="20" a="1"/>
  <c r="K71" i="20" s="1"/>
  <c r="CE70" i="20"/>
  <c r="BL70" i="20"/>
  <c r="AX70" i="20"/>
  <c r="AK70" i="20"/>
  <c r="X70" i="20"/>
  <c r="M70" i="20"/>
  <c r="AR71" i="20" a="1"/>
  <c r="AR71" i="20" s="1"/>
  <c r="R71" i="20" a="1"/>
  <c r="R71" i="20" s="1"/>
  <c r="CP70" i="20"/>
  <c r="BU70" i="20"/>
  <c r="BE70" i="20"/>
  <c r="AQ70" i="20"/>
  <c r="AE70" i="20"/>
  <c r="S70" i="20"/>
  <c r="W70" i="20"/>
  <c r="AN70" i="20"/>
  <c r="BG70" i="20"/>
  <c r="CB70" i="20"/>
  <c r="N71" i="20" a="1"/>
  <c r="N71" i="20" s="1"/>
  <c r="AT71" i="20" a="1"/>
  <c r="AT71" i="20" s="1"/>
  <c r="AI80" i="20" a="1"/>
  <c r="AI80" i="20" s="1"/>
  <c r="AI79" i="20"/>
  <c r="BB79" i="20"/>
  <c r="AS85" i="20"/>
  <c r="Y46" i="21"/>
  <c r="AH47" i="21"/>
  <c r="AA73" i="19"/>
  <c r="AT73" i="19"/>
  <c r="BR73" i="19"/>
  <c r="CN73" i="19"/>
  <c r="AG74" i="19" a="1"/>
  <c r="AG74" i="19" s="1"/>
  <c r="AY74" i="19" a="1"/>
  <c r="AY74" i="19" s="1"/>
  <c r="U82" i="19"/>
  <c r="AG82" i="19"/>
  <c r="AV82" i="19"/>
  <c r="BL82" i="19"/>
  <c r="BZ82" i="19"/>
  <c r="CM82" i="19"/>
  <c r="DB82" i="19"/>
  <c r="AN83" i="19" a="1"/>
  <c r="AN83" i="19" s="1"/>
  <c r="AY83" i="19" a="1"/>
  <c r="AY83" i="19" s="1"/>
  <c r="BJ83" i="19" a="1"/>
  <c r="BJ83" i="19" s="1"/>
  <c r="AC91" i="19"/>
  <c r="BB91" i="19"/>
  <c r="CH91" i="19"/>
  <c r="AH92" i="19" a="1"/>
  <c r="AH92" i="19" s="1"/>
  <c r="AZ92" i="19" a="1"/>
  <c r="AZ92" i="19" s="1"/>
  <c r="AK44" i="20" a="1"/>
  <c r="AK44" i="20" s="1"/>
  <c r="Y43" i="20"/>
  <c r="AX43" i="20"/>
  <c r="AA44" i="20" a="1"/>
  <c r="AA44" i="20" s="1"/>
  <c r="S52" i="20"/>
  <c r="AD52" i="20"/>
  <c r="AQ52" i="20"/>
  <c r="BD52" i="20"/>
  <c r="BP52" i="20"/>
  <c r="CB52" i="20"/>
  <c r="CO52" i="20"/>
  <c r="N53" i="20" a="1"/>
  <c r="N53" i="20" s="1"/>
  <c r="X53" i="20" a="1"/>
  <c r="X53" i="20" s="1"/>
  <c r="AI53" i="20" a="1"/>
  <c r="AI53" i="20" s="1"/>
  <c r="N58" i="20"/>
  <c r="AE58" i="20"/>
  <c r="AX58" i="20"/>
  <c r="BS58" i="20"/>
  <c r="CJ58" i="20"/>
  <c r="R59" i="20" a="1"/>
  <c r="R59" i="20" s="1"/>
  <c r="AI59" i="20" a="1"/>
  <c r="AI59" i="20" s="1"/>
  <c r="AY59" i="20" a="1"/>
  <c r="AY59" i="20" s="1"/>
  <c r="BV61" i="20"/>
  <c r="I70" i="20"/>
  <c r="Z70" i="20"/>
  <c r="AP70" i="20"/>
  <c r="BJ70" i="20"/>
  <c r="CH70" i="20"/>
  <c r="P71" i="20" a="1"/>
  <c r="P71" i="20" s="1"/>
  <c r="AV71" i="20" a="1"/>
  <c r="AV71" i="20" s="1"/>
  <c r="CC85" i="20"/>
  <c r="AB46" i="21"/>
  <c r="AO47" i="21"/>
  <c r="CS52" i="20"/>
  <c r="AU53" i="20" a="1"/>
  <c r="AU53" i="20" s="1"/>
  <c r="AL53" i="20" a="1"/>
  <c r="AL53" i="20" s="1"/>
  <c r="AD53" i="20" a="1"/>
  <c r="AD53" i="20" s="1"/>
  <c r="V53" i="20" a="1"/>
  <c r="V53" i="20" s="1"/>
  <c r="O53" i="20" a="1"/>
  <c r="O53" i="20" s="1"/>
  <c r="CR52" i="20"/>
  <c r="CI52" i="20"/>
  <c r="BZ52" i="20"/>
  <c r="BQ52" i="20"/>
  <c r="BH52" i="20"/>
  <c r="AX52" i="20"/>
  <c r="AO52" i="20"/>
  <c r="AE52" i="20"/>
  <c r="V52" i="20"/>
  <c r="M52" i="20"/>
  <c r="AY53" i="20" a="1"/>
  <c r="AY53" i="20" s="1"/>
  <c r="AQ53" i="20" a="1"/>
  <c r="AQ53" i="20" s="1"/>
  <c r="AH53" i="20" a="1"/>
  <c r="AH53" i="20" s="1"/>
  <c r="Z53" i="20" a="1"/>
  <c r="Z53" i="20" s="1"/>
  <c r="S53" i="20" a="1"/>
  <c r="S53" i="20" s="1"/>
  <c r="K53" i="20" a="1"/>
  <c r="K53" i="20" s="1"/>
  <c r="CN52" i="20"/>
  <c r="CE52" i="20"/>
  <c r="BV52" i="20"/>
  <c r="BL52" i="20"/>
  <c r="BB52" i="20"/>
  <c r="AS52" i="20"/>
  <c r="AJ52" i="20"/>
  <c r="AA52" i="20"/>
  <c r="R52" i="20"/>
  <c r="H52" i="20"/>
  <c r="T52" i="20"/>
  <c r="AG52" i="20"/>
  <c r="AR52" i="20"/>
  <c r="BF52" i="20"/>
  <c r="BR52" i="20"/>
  <c r="CD52" i="20"/>
  <c r="CP52" i="20"/>
  <c r="P53" i="20" a="1"/>
  <c r="P53" i="20" s="1"/>
  <c r="Y53" i="20" a="1"/>
  <c r="Y53" i="20" s="1"/>
  <c r="CM85" i="20"/>
  <c r="AN46" i="21"/>
  <c r="AP47" i="21"/>
  <c r="O65" i="19"/>
  <c r="Z65" i="19"/>
  <c r="AK65" i="19"/>
  <c r="AV65" i="19"/>
  <c r="BF65" i="19"/>
  <c r="BR65" i="19"/>
  <c r="CC65" i="19"/>
  <c r="CM65" i="19"/>
  <c r="CX65" i="19"/>
  <c r="AH66" i="19" a="1"/>
  <c r="AH66" i="19" s="1"/>
  <c r="AR66" i="19" a="1"/>
  <c r="AR66" i="19" s="1"/>
  <c r="BB66" i="19" a="1"/>
  <c r="BB66" i="19" s="1"/>
  <c r="V79" i="19"/>
  <c r="AI79" i="19"/>
  <c r="AT79" i="19"/>
  <c r="BG79" i="19"/>
  <c r="BT79" i="19"/>
  <c r="CF79" i="19"/>
  <c r="CR79" i="19"/>
  <c r="Q80" i="19" a="1"/>
  <c r="Q80" i="19" s="1"/>
  <c r="AO80" i="19" a="1"/>
  <c r="AO80" i="19" s="1"/>
  <c r="AX80" i="19" a="1"/>
  <c r="AX80" i="19" s="1"/>
  <c r="U40" i="20"/>
  <c r="AG40" i="20"/>
  <c r="AT40" i="20"/>
  <c r="M41" i="20" a="1"/>
  <c r="M41" i="20" s="1"/>
  <c r="X41" i="20" a="1"/>
  <c r="X41" i="20" s="1"/>
  <c r="AI41" i="20" a="1"/>
  <c r="AI41" i="20" s="1"/>
  <c r="AS41" i="20" a="1"/>
  <c r="AS41" i="20" s="1"/>
  <c r="CK41" i="20" a="1"/>
  <c r="CK41" i="20" s="1"/>
  <c r="Q55" i="20"/>
  <c r="AK55" i="20"/>
  <c r="BI55" i="20"/>
  <c r="CD55" i="20"/>
  <c r="M56" i="20" a="1"/>
  <c r="M56" i="20" s="1"/>
  <c r="AK56" i="20" a="1"/>
  <c r="AK56" i="20" s="1"/>
  <c r="Y82" i="20"/>
  <c r="BE82" i="20"/>
  <c r="CL82" i="20"/>
  <c r="P42" i="21"/>
  <c r="AK42" i="21"/>
  <c r="O43" i="21"/>
  <c r="AF43" i="21"/>
  <c r="AT63" i="21"/>
  <c r="AM63" i="21"/>
  <c r="W63" i="21"/>
  <c r="AS62" i="21"/>
  <c r="AG62" i="21"/>
  <c r="S62" i="21"/>
  <c r="AQ63" i="21"/>
  <c r="Z63" i="21"/>
  <c r="AV62" i="21"/>
  <c r="AF62" i="21"/>
  <c r="M62" i="21"/>
  <c r="AI63" i="21"/>
  <c r="O63" i="21"/>
  <c r="AO62" i="21"/>
  <c r="X62" i="21"/>
  <c r="H62" i="21"/>
  <c r="Z62" i="21"/>
  <c r="J63" i="21"/>
  <c r="AE63" i="21"/>
  <c r="AX83" i="21"/>
  <c r="AO83" i="21"/>
  <c r="AE83" i="21"/>
  <c r="T83" i="21"/>
  <c r="AY82" i="21"/>
  <c r="AO82" i="21"/>
  <c r="AD82" i="21"/>
  <c r="S82" i="21"/>
  <c r="H82" i="21"/>
  <c r="AR83" i="21"/>
  <c r="AF83" i="21"/>
  <c r="S83" i="21"/>
  <c r="AW82" i="21"/>
  <c r="AK82" i="21"/>
  <c r="Y82" i="21"/>
  <c r="M82" i="21"/>
  <c r="AW83" i="21"/>
  <c r="AK83" i="21"/>
  <c r="Y83" i="21"/>
  <c r="M83" i="21"/>
  <c r="AQ82" i="21"/>
  <c r="AE82" i="21"/>
  <c r="R82" i="21"/>
  <c r="W82" i="21"/>
  <c r="AM82" i="21"/>
  <c r="O83" i="21"/>
  <c r="AC83" i="21"/>
  <c r="AU83" i="21"/>
  <c r="AP83" i="20" a="1"/>
  <c r="AP83" i="20" s="1"/>
  <c r="W83" i="20" a="1"/>
  <c r="W83" i="20" s="1"/>
  <c r="CM82" i="20"/>
  <c r="BR82" i="20"/>
  <c r="AU82" i="20"/>
  <c r="AJ83" i="20" a="1"/>
  <c r="AJ83" i="20" s="1"/>
  <c r="K83" i="20" a="1"/>
  <c r="K83" i="20" s="1"/>
  <c r="BX82" i="20"/>
  <c r="AV82" i="20"/>
  <c r="Z82" i="20"/>
  <c r="AQ83" i="20" a="1"/>
  <c r="AQ83" i="20" s="1"/>
  <c r="S83" i="20" a="1"/>
  <c r="S83" i="20" s="1"/>
  <c r="CK82" i="20"/>
  <c r="BH82" i="20"/>
  <c r="AK82" i="20"/>
  <c r="P82" i="20"/>
  <c r="AI82" i="20"/>
  <c r="BO82" i="20"/>
  <c r="M83" i="20" a="1"/>
  <c r="M83" i="20" s="1"/>
  <c r="AX43" i="21"/>
  <c r="AJ43" i="21"/>
  <c r="Y43" i="21"/>
  <c r="N43" i="21"/>
  <c r="AP42" i="21"/>
  <c r="AD42" i="21"/>
  <c r="S42" i="21"/>
  <c r="AT43" i="21"/>
  <c r="AG43" i="21"/>
  <c r="R43" i="21"/>
  <c r="AV42" i="21"/>
  <c r="AG42" i="21"/>
  <c r="T42" i="21"/>
  <c r="AO43" i="21"/>
  <c r="Z43" i="21"/>
  <c r="J43" i="21"/>
  <c r="AN42" i="21"/>
  <c r="Y42" i="21"/>
  <c r="L42" i="21"/>
  <c r="X42" i="21"/>
  <c r="AQ42" i="21"/>
  <c r="S43" i="21"/>
  <c r="AL43" i="21"/>
  <c r="U65" i="19"/>
  <c r="AF65" i="19"/>
  <c r="AP65" i="19"/>
  <c r="BA65" i="19"/>
  <c r="BM65" i="19"/>
  <c r="BW65" i="19"/>
  <c r="CH65" i="19"/>
  <c r="CS65" i="19"/>
  <c r="DC65" i="19"/>
  <c r="AM66" i="19" a="1"/>
  <c r="AM66" i="19" s="1"/>
  <c r="P79" i="19"/>
  <c r="AB79" i="19"/>
  <c r="AO79" i="19"/>
  <c r="BA79" i="19"/>
  <c r="BN79" i="19"/>
  <c r="BZ79" i="19"/>
  <c r="CM79" i="19"/>
  <c r="CX79" i="19"/>
  <c r="AI80" i="19" a="1"/>
  <c r="AI80" i="19" s="1"/>
  <c r="AR80" i="19" a="1"/>
  <c r="AR80" i="19" s="1"/>
  <c r="N40" i="20"/>
  <c r="Z40" i="20"/>
  <c r="AM40" i="20"/>
  <c r="BA40" i="20"/>
  <c r="S41" i="20" a="1"/>
  <c r="S41" i="20" s="1"/>
  <c r="AC41" i="20" a="1"/>
  <c r="AC41" i="20" s="1"/>
  <c r="AB55" i="20"/>
  <c r="AW55" i="20"/>
  <c r="BR55" i="20"/>
  <c r="CO55" i="20"/>
  <c r="U56" i="20" a="1"/>
  <c r="U56" i="20" s="1"/>
  <c r="N82" i="20"/>
  <c r="AL82" i="20"/>
  <c r="BS82" i="20"/>
  <c r="P83" i="20" a="1"/>
  <c r="P83" i="20" s="1"/>
  <c r="AU83" i="20" a="1"/>
  <c r="AU83" i="20" s="1"/>
  <c r="J42" i="21"/>
  <c r="J44" i="21" s="1"/>
  <c r="AB42" i="21"/>
  <c r="AT42" i="21"/>
  <c r="W43" i="21"/>
  <c r="AP43" i="21"/>
  <c r="O82" i="21"/>
  <c r="AG82" i="21"/>
  <c r="AU82" i="21"/>
  <c r="W83" i="21"/>
  <c r="AM83" i="21"/>
  <c r="O82" i="20"/>
  <c r="AS82" i="20"/>
  <c r="CA82" i="20"/>
  <c r="R83" i="20" a="1"/>
  <c r="R83" i="20" s="1"/>
  <c r="AV83" i="20" a="1"/>
  <c r="AV83" i="20" s="1"/>
  <c r="K42" i="21"/>
  <c r="AC42" i="21"/>
  <c r="AW42" i="21"/>
  <c r="X43" i="21"/>
  <c r="AQ43" i="21"/>
  <c r="L76" i="20"/>
  <c r="Z76" i="20"/>
  <c r="AK76" i="20"/>
  <c r="AY76" i="20"/>
  <c r="BN76" i="20"/>
  <c r="BY76" i="20"/>
  <c r="CM76" i="20"/>
  <c r="M77" i="20" a="1"/>
  <c r="M77" i="20" s="1"/>
  <c r="W77" i="20" a="1"/>
  <c r="W77" i="20" s="1"/>
  <c r="AH77" i="20" a="1"/>
  <c r="AH77" i="20" s="1"/>
  <c r="AR77" i="20" a="1"/>
  <c r="AR77" i="20" s="1"/>
  <c r="M58" i="21"/>
  <c r="AF58" i="21"/>
  <c r="AS58" i="21"/>
  <c r="V59" i="21"/>
  <c r="AQ67" i="21"/>
  <c r="Z67" i="21"/>
  <c r="AV66" i="21"/>
  <c r="AC66" i="21"/>
  <c r="H66" i="21"/>
  <c r="AF66" i="21"/>
  <c r="K67" i="21"/>
  <c r="AE67" i="21"/>
  <c r="AX79" i="21"/>
  <c r="AQ79" i="21"/>
  <c r="AF79" i="21"/>
  <c r="U79" i="21"/>
  <c r="K79" i="21"/>
  <c r="AP78" i="21"/>
  <c r="AE78" i="21"/>
  <c r="U78" i="21"/>
  <c r="J78" i="21"/>
  <c r="J80" i="21" s="1"/>
  <c r="S78" i="21"/>
  <c r="AG78" i="21"/>
  <c r="AS78" i="21"/>
  <c r="O79" i="21"/>
  <c r="AA79" i="21"/>
  <c r="AM79" i="21"/>
  <c r="AY79" i="21"/>
  <c r="AQ91" i="21"/>
  <c r="AX91" i="21"/>
  <c r="AK91" i="21"/>
  <c r="X91" i="21"/>
  <c r="M91" i="21"/>
  <c r="AP90" i="21"/>
  <c r="AC90" i="21"/>
  <c r="R90" i="21"/>
  <c r="AP91" i="21"/>
  <c r="AE91" i="21"/>
  <c r="R91" i="21"/>
  <c r="AV90" i="21"/>
  <c r="AJ90" i="21"/>
  <c r="X90" i="21"/>
  <c r="K90" i="21"/>
  <c r="W90" i="21"/>
  <c r="AM90" i="21"/>
  <c r="N91" i="21"/>
  <c r="AC91" i="21"/>
  <c r="AU91" i="21"/>
  <c r="M98" i="21"/>
  <c r="AI98" i="21"/>
  <c r="P99" i="21"/>
  <c r="AI99" i="21"/>
  <c r="AO94" i="21"/>
  <c r="AA95" i="21"/>
  <c r="P94" i="21"/>
  <c r="AO95" i="21"/>
  <c r="S76" i="20"/>
  <c r="AG76" i="20"/>
  <c r="AR76" i="20"/>
  <c r="BG76" i="20"/>
  <c r="BR76" i="20"/>
  <c r="CF76" i="20"/>
  <c r="CT76" i="20"/>
  <c r="R77" i="20" a="1"/>
  <c r="R77" i="20" s="1"/>
  <c r="AA77" i="20" a="1"/>
  <c r="AA77" i="20" s="1"/>
  <c r="AM77" i="20" a="1"/>
  <c r="AM77" i="20" s="1"/>
  <c r="AW59" i="21"/>
  <c r="AY59" i="21"/>
  <c r="AI59" i="21"/>
  <c r="W59" i="21"/>
  <c r="AY58" i="21"/>
  <c r="AI58" i="21"/>
  <c r="U58" i="21"/>
  <c r="H58" i="21"/>
  <c r="X58" i="21"/>
  <c r="AO58" i="21"/>
  <c r="N59" i="21"/>
  <c r="AE59" i="21"/>
  <c r="AT59" i="21"/>
  <c r="R66" i="21"/>
  <c r="AO66" i="21"/>
  <c r="W67" i="21"/>
  <c r="AP67" i="21"/>
  <c r="N78" i="21"/>
  <c r="Z78" i="21"/>
  <c r="AL78" i="21"/>
  <c r="AX78" i="21"/>
  <c r="T79" i="21"/>
  <c r="AG79" i="21"/>
  <c r="AS79" i="21"/>
  <c r="O90" i="21"/>
  <c r="AF90" i="21"/>
  <c r="AU90" i="21"/>
  <c r="V91" i="21"/>
  <c r="AL91" i="21"/>
  <c r="M94" i="21"/>
  <c r="AQ95" i="21"/>
  <c r="Z98" i="21"/>
  <c r="AS98" i="21"/>
  <c r="Y99" i="21"/>
  <c r="Z94" i="21"/>
  <c r="AS99" i="21"/>
  <c r="AU99" i="21"/>
  <c r="AE99" i="21"/>
  <c r="O99" i="21"/>
  <c r="AO98" i="21"/>
  <c r="Y98" i="21"/>
  <c r="H98" i="21"/>
  <c r="AM99" i="21"/>
  <c r="W99" i="21"/>
  <c r="AW98" i="21"/>
  <c r="AG98" i="21"/>
  <c r="Q98" i="21"/>
  <c r="AA98" i="21"/>
  <c r="AX98" i="21"/>
  <c r="AA99" i="21"/>
  <c r="AW99" i="21"/>
  <c r="AA94" i="21"/>
  <c r="J98" i="21"/>
  <c r="J100" i="21" s="1"/>
  <c r="AC98" i="21"/>
  <c r="AY98" i="21"/>
  <c r="AF99" i="21"/>
  <c r="AY99" i="21"/>
  <c r="AT74" i="21"/>
  <c r="R86" i="21"/>
  <c r="AC86" i="21"/>
  <c r="AM86" i="21"/>
  <c r="AY86" i="21"/>
  <c r="V87" i="21"/>
  <c r="AG87" i="21"/>
  <c r="U102" i="21"/>
  <c r="AK102" i="21"/>
  <c r="K103" i="21"/>
  <c r="AA103" i="21"/>
  <c r="AQ103" i="21"/>
  <c r="K92" i="21"/>
  <c r="K64" i="21"/>
  <c r="K104" i="21"/>
  <c r="N49" i="20"/>
  <c r="BR49" i="19"/>
  <c r="U49" i="19"/>
  <c r="AR50" i="19" a="1"/>
  <c r="AR50" i="19" s="1"/>
  <c r="AD49" i="20"/>
  <c r="N54" i="21"/>
  <c r="AD54" i="21"/>
  <c r="AT54" i="21"/>
  <c r="W55" i="21"/>
  <c r="AL55" i="21"/>
  <c r="W49" i="19"/>
  <c r="BC50" i="19" a="1"/>
  <c r="BC50" i="19" s="1"/>
  <c r="AT49" i="20"/>
  <c r="P54" i="21"/>
  <c r="AH54" i="21"/>
  <c r="AW54" i="21"/>
  <c r="Y55" i="21"/>
  <c r="AN55" i="21"/>
  <c r="AH49" i="19"/>
  <c r="Q54" i="21"/>
  <c r="AI54" i="21"/>
  <c r="AY54" i="21"/>
  <c r="Z55" i="21"/>
  <c r="AT55" i="21"/>
  <c r="AR49" i="19"/>
  <c r="S54" i="21"/>
  <c r="AJ54" i="21"/>
  <c r="L55" i="21"/>
  <c r="AA55" i="21"/>
  <c r="AU55" i="21"/>
  <c r="BF49" i="19"/>
  <c r="X54" i="21"/>
  <c r="AK54" i="21"/>
  <c r="N55" i="21"/>
  <c r="AD55" i="21"/>
  <c r="AV55" i="21"/>
  <c r="AE50" i="19" a="1"/>
  <c r="AE50" i="19" s="1"/>
  <c r="Y54" i="21"/>
  <c r="AO54" i="21"/>
  <c r="P55" i="21"/>
  <c r="AH55" i="21"/>
  <c r="AK50" i="21"/>
  <c r="AB51" i="21"/>
  <c r="I46" i="19"/>
  <c r="AN46" i="19"/>
  <c r="AZ46" i="19"/>
  <c r="I47" i="19" a="1"/>
  <c r="I47" i="19" s="1"/>
  <c r="AR47" i="19" a="1"/>
  <c r="AR47" i="19" s="1"/>
  <c r="AZ47" i="19" a="1"/>
  <c r="AZ47" i="19" s="1"/>
  <c r="BG47" i="19" a="1"/>
  <c r="BG47" i="19" s="1"/>
  <c r="S46" i="20"/>
  <c r="AK46" i="20"/>
  <c r="I47" i="20" a="1"/>
  <c r="I47" i="20" s="1"/>
  <c r="T47" i="20" a="1"/>
  <c r="T47" i="20" s="1"/>
  <c r="AE47" i="20" a="1"/>
  <c r="AE47" i="20" s="1"/>
  <c r="AP47" i="20" a="1"/>
  <c r="AP47" i="20" s="1"/>
  <c r="CQ47" i="20" a="1"/>
  <c r="CQ47" i="20" s="1"/>
  <c r="P50" i="21"/>
  <c r="AN50" i="21"/>
  <c r="AD51" i="21"/>
  <c r="U46" i="20"/>
  <c r="AM46" i="20"/>
  <c r="K47" i="20" a="1"/>
  <c r="K47" i="20" s="1"/>
  <c r="V47" i="20" a="1"/>
  <c r="V47" i="20" s="1"/>
  <c r="AF47" i="20" a="1"/>
  <c r="AF47" i="20" s="1"/>
  <c r="AQ47" i="20" a="1"/>
  <c r="AQ47" i="20" s="1"/>
  <c r="Q50" i="21"/>
  <c r="AX50" i="21"/>
  <c r="AN51" i="21"/>
  <c r="W46" i="20"/>
  <c r="AQ46" i="20"/>
  <c r="L47" i="20" a="1"/>
  <c r="L47" i="20" s="1"/>
  <c r="W47" i="20" a="1"/>
  <c r="W47" i="20" s="1"/>
  <c r="AH47" i="20" a="1"/>
  <c r="AH47" i="20" s="1"/>
  <c r="AT47" i="20" a="1"/>
  <c r="AT47" i="20" s="1"/>
  <c r="R50" i="21"/>
  <c r="AY50" i="21"/>
  <c r="AQ51" i="21"/>
  <c r="AA46" i="20"/>
  <c r="AS46" i="20"/>
  <c r="N47" i="20" a="1"/>
  <c r="N47" i="20" s="1"/>
  <c r="X47" i="20" a="1"/>
  <c r="X47" i="20" s="1"/>
  <c r="AI47" i="20" a="1"/>
  <c r="AI47" i="20" s="1"/>
  <c r="AU47" i="20" a="1"/>
  <c r="AU47" i="20" s="1"/>
  <c r="S50" i="21"/>
  <c r="K51" i="21"/>
  <c r="AU51" i="21"/>
  <c r="K46" i="20"/>
  <c r="AC46" i="20"/>
  <c r="AU46" i="20"/>
  <c r="O47" i="20" a="1"/>
  <c r="O47" i="20" s="1"/>
  <c r="Z47" i="20" a="1"/>
  <c r="Z47" i="20" s="1"/>
  <c r="AJ47" i="20" a="1"/>
  <c r="AJ47" i="20" s="1"/>
  <c r="AV47" i="20" a="1"/>
  <c r="AV47" i="20" s="1"/>
  <c r="V50" i="21"/>
  <c r="P51" i="21"/>
  <c r="AV51" i="21"/>
  <c r="M46" i="20"/>
  <c r="AE46" i="20"/>
  <c r="AV46" i="20"/>
  <c r="P47" i="20" a="1"/>
  <c r="P47" i="20" s="1"/>
  <c r="AA47" i="20" a="1"/>
  <c r="AA47" i="20" s="1"/>
  <c r="AL47" i="20" a="1"/>
  <c r="AL47" i="20" s="1"/>
  <c r="AX47" i="20" a="1"/>
  <c r="AX47" i="20" s="1"/>
  <c r="AG50" i="21"/>
  <c r="Z51" i="21"/>
  <c r="AJ46" i="19"/>
  <c r="AW46" i="19"/>
  <c r="BI46" i="19"/>
  <c r="AH47" i="19" a="1"/>
  <c r="AH47" i="19" s="1"/>
  <c r="O46" i="20"/>
  <c r="AF46" i="20"/>
  <c r="AY46" i="20"/>
  <c r="R47" i="20" a="1"/>
  <c r="R47" i="20" s="1"/>
  <c r="AB47" i="20" a="1"/>
  <c r="AB47" i="20" s="1"/>
  <c r="AM47" i="20" a="1"/>
  <c r="AM47" i="20" s="1"/>
  <c r="AJ50" i="21"/>
  <c r="BZ40" i="19"/>
  <c r="CR49" i="19"/>
  <c r="CS49" i="19"/>
  <c r="BN6" i="19"/>
  <c r="BV31" i="19"/>
  <c r="CY40" i="19"/>
  <c r="V46" i="19"/>
  <c r="BO6" i="19"/>
  <c r="BP6" i="19"/>
  <c r="CL6" i="19"/>
  <c r="BL13" i="19"/>
  <c r="S38" i="19"/>
  <c r="S66" i="19" a="1"/>
  <c r="S66" i="19" s="1"/>
  <c r="AC38" i="19"/>
  <c r="BV15" i="19"/>
  <c r="AC58" i="19" a="1"/>
  <c r="AC58" i="19" s="1"/>
  <c r="CH23" i="19"/>
  <c r="CH40" i="19" s="1"/>
  <c r="BT31" i="19"/>
  <c r="BT49" i="19" s="1"/>
  <c r="BW31" i="19"/>
  <c r="W38" i="19"/>
  <c r="BP40" i="19"/>
  <c r="L41" i="19" a="1"/>
  <c r="L41" i="19" s="1"/>
  <c r="X46" i="19"/>
  <c r="AG49" i="19"/>
  <c r="Y50" i="19" a="1"/>
  <c r="Y50" i="19" s="1"/>
  <c r="AW50" i="19" a="1"/>
  <c r="AW50" i="19" s="1"/>
  <c r="U58" i="19" a="1"/>
  <c r="U58" i="19" s="1"/>
  <c r="O92" i="19" a="1"/>
  <c r="O92" i="19" s="1"/>
  <c r="O89" i="19" a="1"/>
  <c r="O89" i="19" s="1"/>
  <c r="O80" i="19" a="1"/>
  <c r="O80" i="19" s="1"/>
  <c r="O66" i="19" a="1"/>
  <c r="O66" i="19" s="1"/>
  <c r="O37" i="19"/>
  <c r="O83" i="19" a="1"/>
  <c r="O83" i="19" s="1"/>
  <c r="O77" i="19" a="1"/>
  <c r="O77" i="19" s="1"/>
  <c r="O40" i="19"/>
  <c r="O47" i="19" a="1"/>
  <c r="O47" i="19" s="1"/>
  <c r="O38" i="19"/>
  <c r="O58" i="19" a="1"/>
  <c r="O58" i="19" s="1"/>
  <c r="BU31" i="19"/>
  <c r="CF31" i="19"/>
  <c r="X38" i="19"/>
  <c r="P37" i="19"/>
  <c r="CO74" i="19" a="1"/>
  <c r="CO74" i="19" s="1"/>
  <c r="CO66" i="19" a="1"/>
  <c r="CO66" i="19" s="1"/>
  <c r="BN31" i="19"/>
  <c r="CG31" i="19"/>
  <c r="X66" i="19" a="1"/>
  <c r="X66" i="19" s="1"/>
  <c r="AB38" i="19"/>
  <c r="AB63" i="19" a="1"/>
  <c r="AB63" i="19" s="1"/>
  <c r="CW38" i="19"/>
  <c r="W46" i="19"/>
  <c r="BQ6" i="19"/>
  <c r="X71" i="19" a="1"/>
  <c r="X71" i="19" s="1"/>
  <c r="S41" i="19" a="1"/>
  <c r="S41" i="19" s="1"/>
  <c r="U47" i="19" a="1"/>
  <c r="U47" i="19" s="1"/>
  <c r="Y80" i="19" a="1"/>
  <c r="Y80" i="19" s="1"/>
  <c r="Y77" i="19" a="1"/>
  <c r="Y77" i="19" s="1"/>
  <c r="Y38" i="19"/>
  <c r="Y71" i="19" a="1"/>
  <c r="Y71" i="19" s="1"/>
  <c r="BR6" i="19"/>
  <c r="BR71" i="19" s="1" a="1"/>
  <c r="BR71" i="19" s="1"/>
  <c r="Y47" i="19" a="1"/>
  <c r="Y47" i="19" s="1"/>
  <c r="Y37" i="19"/>
  <c r="BX6" i="19"/>
  <c r="AV49" i="19"/>
  <c r="CY31" i="19"/>
  <c r="CY80" i="19" s="1" a="1"/>
  <c r="CY80" i="19" s="1"/>
  <c r="CQ31" i="19"/>
  <c r="CI31" i="19"/>
  <c r="CA31" i="19"/>
  <c r="CX31" i="19"/>
  <c r="CP31" i="19"/>
  <c r="CH31" i="19"/>
  <c r="BZ31" i="19"/>
  <c r="DA31" i="19"/>
  <c r="CO31" i="19"/>
  <c r="CE31" i="19"/>
  <c r="CW31" i="19"/>
  <c r="CM31" i="19"/>
  <c r="CV31" i="19"/>
  <c r="CZ31" i="19"/>
  <c r="CN31" i="19"/>
  <c r="CD31" i="19"/>
  <c r="CD49" i="19" s="1"/>
  <c r="CC31" i="19"/>
  <c r="CL31" i="19"/>
  <c r="BP31" i="19"/>
  <c r="BP49" i="19" s="1"/>
  <c r="CB31" i="19"/>
  <c r="CU31" i="19"/>
  <c r="CK31" i="19"/>
  <c r="BY31" i="19"/>
  <c r="BO31" i="19"/>
  <c r="BO49" i="19" s="1"/>
  <c r="P31" i="19"/>
  <c r="CT31" i="19"/>
  <c r="CJ31" i="19"/>
  <c r="BX31" i="19"/>
  <c r="BP66" i="19" a="1"/>
  <c r="BP66" i="19" s="1"/>
  <c r="CS46" i="19"/>
  <c r="U77" i="19" a="1"/>
  <c r="U77" i="19" s="1"/>
  <c r="U80" i="19" a="1"/>
  <c r="U80" i="19" s="1"/>
  <c r="U71" i="19" a="1"/>
  <c r="U71" i="19" s="1"/>
  <c r="U74" i="19" a="1"/>
  <c r="U74" i="19" s="1"/>
  <c r="U38" i="19"/>
  <c r="CF38" i="19"/>
  <c r="CS89" i="19" a="1"/>
  <c r="CS89" i="19" s="1"/>
  <c r="CS80" i="19" a="1"/>
  <c r="CS80" i="19" s="1"/>
  <c r="CS47" i="19" a="1"/>
  <c r="CS47" i="19" s="1"/>
  <c r="H8" i="22"/>
  <c r="CZ6" i="19"/>
  <c r="CR6" i="19"/>
  <c r="CJ6" i="19"/>
  <c r="CB6" i="19"/>
  <c r="BT6" i="19"/>
  <c r="CO6" i="19"/>
  <c r="CY6" i="19"/>
  <c r="CQ6" i="19"/>
  <c r="CI6" i="19"/>
  <c r="CA6" i="19"/>
  <c r="P6" i="19"/>
  <c r="CX6" i="19"/>
  <c r="CH6" i="19"/>
  <c r="BY6" i="19"/>
  <c r="CP6" i="19"/>
  <c r="BZ6" i="19"/>
  <c r="CW6" i="19"/>
  <c r="CG6" i="19"/>
  <c r="L37" i="19"/>
  <c r="DC6" i="19"/>
  <c r="CU6" i="19"/>
  <c r="CM6" i="19"/>
  <c r="CE6" i="19"/>
  <c r="BW6" i="19"/>
  <c r="CC6" i="19"/>
  <c r="CV6" i="19"/>
  <c r="O46" i="19"/>
  <c r="BS14" i="19"/>
  <c r="Z37" i="19"/>
  <c r="Z44" i="19" a="1"/>
  <c r="Z44" i="19" s="1"/>
  <c r="Z55" i="19" a="1"/>
  <c r="Z55" i="19" s="1"/>
  <c r="BU15" i="19"/>
  <c r="CW23" i="19"/>
  <c r="CO23" i="19"/>
  <c r="CO40" i="19" s="1"/>
  <c r="CG23" i="19"/>
  <c r="BY23" i="19"/>
  <c r="CU23" i="19"/>
  <c r="CU40" i="19" s="1"/>
  <c r="BW23" i="19"/>
  <c r="CT23" i="19"/>
  <c r="BV23" i="19"/>
  <c r="CV23" i="19"/>
  <c r="CV40" i="19" s="1"/>
  <c r="CN23" i="19"/>
  <c r="CN40" i="19" s="1"/>
  <c r="CF23" i="19"/>
  <c r="BX23" i="19"/>
  <c r="CM23" i="19"/>
  <c r="CM40" i="19" s="1"/>
  <c r="BO23" i="19"/>
  <c r="DB23" i="19"/>
  <c r="CL23" i="19"/>
  <c r="BN23" i="19"/>
  <c r="DC23" i="19"/>
  <c r="DC40" i="19" s="1"/>
  <c r="CE23" i="19"/>
  <c r="CD23" i="19"/>
  <c r="DA23" i="19"/>
  <c r="DA40" i="19" s="1"/>
  <c r="CS23" i="19"/>
  <c r="CK23" i="19"/>
  <c r="CK40" i="19" s="1"/>
  <c r="CC23" i="19"/>
  <c r="CC40" i="19" s="1"/>
  <c r="BU23" i="19"/>
  <c r="BM23" i="19"/>
  <c r="BM40" i="19" s="1"/>
  <c r="P23" i="19"/>
  <c r="CZ23" i="19"/>
  <c r="CR23" i="19"/>
  <c r="CR41" i="19" s="1" a="1"/>
  <c r="CR41" i="19" s="1"/>
  <c r="CJ23" i="19"/>
  <c r="CB23" i="19"/>
  <c r="BT23" i="19"/>
  <c r="BR23" i="19"/>
  <c r="CX23" i="19"/>
  <c r="CS31" i="19"/>
  <c r="L38" i="19"/>
  <c r="W40" i="19"/>
  <c r="Y41" i="19" a="1"/>
  <c r="Y41" i="19" s="1"/>
  <c r="L77" i="19" a="1"/>
  <c r="L77" i="19" s="1"/>
  <c r="CW92" i="19" a="1"/>
  <c r="CW92" i="19" s="1"/>
  <c r="CW66" i="19" a="1"/>
  <c r="CW66" i="19" s="1"/>
  <c r="W47" i="19" a="1"/>
  <c r="W47" i="19" s="1"/>
  <c r="BP8" i="19"/>
  <c r="CW40" i="19"/>
  <c r="V89" i="19" a="1"/>
  <c r="V89" i="19" s="1"/>
  <c r="V92" i="19" a="1"/>
  <c r="V92" i="19" s="1"/>
  <c r="V83" i="19" a="1"/>
  <c r="V83" i="19" s="1"/>
  <c r="V77" i="19" a="1"/>
  <c r="V77" i="19" s="1"/>
  <c r="V86" i="19" a="1"/>
  <c r="V86" i="19" s="1"/>
  <c r="V38" i="19"/>
  <c r="V41" i="19" a="1"/>
  <c r="V41" i="19" s="1"/>
  <c r="V66" i="19" a="1"/>
  <c r="V66" i="19" s="1"/>
  <c r="V47" i="19" a="1"/>
  <c r="V47" i="19" s="1"/>
  <c r="V37" i="19"/>
  <c r="BO5" i="19"/>
  <c r="CG74" i="19" a="1"/>
  <c r="CG74" i="19" s="1"/>
  <c r="CG37" i="19"/>
  <c r="AA46" i="19"/>
  <c r="AA37" i="19"/>
  <c r="BQ31" i="19"/>
  <c r="BL31" i="19"/>
  <c r="DB31" i="19"/>
  <c r="X40" i="19"/>
  <c r="AA47" i="19" a="1"/>
  <c r="AA47" i="19" s="1"/>
  <c r="BJ49" i="19"/>
  <c r="BB49" i="19"/>
  <c r="AT49" i="19"/>
  <c r="AL49" i="19"/>
  <c r="AD49" i="19"/>
  <c r="V49" i="19"/>
  <c r="L49" i="19"/>
  <c r="BD50" i="19" a="1"/>
  <c r="BD50" i="19" s="1"/>
  <c r="AU50" i="19" a="1"/>
  <c r="AU50" i="19" s="1"/>
  <c r="AP50" i="19" a="1"/>
  <c r="AP50" i="19" s="1"/>
  <c r="AG50" i="19" a="1"/>
  <c r="AG50" i="19" s="1"/>
  <c r="X50" i="19" a="1"/>
  <c r="X50" i="19" s="1"/>
  <c r="N50" i="19" a="1"/>
  <c r="N50" i="19" s="1"/>
  <c r="BN49" i="19"/>
  <c r="BD49" i="19"/>
  <c r="AU49" i="19"/>
  <c r="AK49" i="19"/>
  <c r="AB49" i="19"/>
  <c r="S49" i="19"/>
  <c r="CF50" i="19" a="1"/>
  <c r="CF50" i="19" s="1"/>
  <c r="BR50" i="19" a="1"/>
  <c r="BR50" i="19" s="1"/>
  <c r="BH50" i="19" a="1"/>
  <c r="BH50" i="19" s="1"/>
  <c r="AY50" i="19" a="1"/>
  <c r="AY50" i="19" s="1"/>
  <c r="AT50" i="19" a="1"/>
  <c r="AT50" i="19" s="1"/>
  <c r="AK50" i="19" a="1"/>
  <c r="AK50" i="19" s="1"/>
  <c r="AB50" i="19" a="1"/>
  <c r="AB50" i="19" s="1"/>
  <c r="S50" i="19" a="1"/>
  <c r="S50" i="19" s="1"/>
  <c r="L50" i="19" a="1"/>
  <c r="L50" i="19" s="1"/>
  <c r="BC49" i="19"/>
  <c r="AS49" i="19"/>
  <c r="AJ49" i="19"/>
  <c r="AA49" i="19"/>
  <c r="Q49" i="19"/>
  <c r="BI50" i="19" a="1"/>
  <c r="BI50" i="19" s="1"/>
  <c r="BB50" i="19" a="1"/>
  <c r="BB50" i="19" s="1"/>
  <c r="AQ50" i="19" a="1"/>
  <c r="AQ50" i="19" s="1"/>
  <c r="AJ50" i="19" a="1"/>
  <c r="AJ50" i="19" s="1"/>
  <c r="AD50" i="19" a="1"/>
  <c r="AD50" i="19" s="1"/>
  <c r="BE49" i="19"/>
  <c r="AQ49" i="19"/>
  <c r="AF49" i="19"/>
  <c r="T49" i="19"/>
  <c r="AN50" i="19" a="1"/>
  <c r="AN50" i="19" s="1"/>
  <c r="AN49" i="19"/>
  <c r="AV50" i="19" a="1"/>
  <c r="AV50" i="19" s="1"/>
  <c r="AO50" i="19" a="1"/>
  <c r="AO50" i="19" s="1"/>
  <c r="W50" i="19" a="1"/>
  <c r="W50" i="19" s="1"/>
  <c r="BA49" i="19"/>
  <c r="AP49" i="19"/>
  <c r="AE49" i="19"/>
  <c r="O50" i="19" a="1"/>
  <c r="O50" i="19" s="1"/>
  <c r="Z49" i="19"/>
  <c r="BG50" i="19" a="1"/>
  <c r="BG50" i="19" s="1"/>
  <c r="BA50" i="19" a="1"/>
  <c r="BA50" i="19" s="1"/>
  <c r="AI50" i="19" a="1"/>
  <c r="AI50" i="19" s="1"/>
  <c r="AC50" i="19" a="1"/>
  <c r="AC50" i="19" s="1"/>
  <c r="V50" i="19" a="1"/>
  <c r="V50" i="19" s="1"/>
  <c r="AZ49" i="19"/>
  <c r="AO49" i="19"/>
  <c r="AC49" i="19"/>
  <c r="O49" i="19"/>
  <c r="AH50" i="19" a="1"/>
  <c r="AH50" i="19" s="1"/>
  <c r="AY49" i="19"/>
  <c r="N49" i="19"/>
  <c r="BF50" i="19" a="1"/>
  <c r="BF50" i="19" s="1"/>
  <c r="AZ50" i="19" a="1"/>
  <c r="AZ50" i="19" s="1"/>
  <c r="AS50" i="19" a="1"/>
  <c r="AS50" i="19" s="1"/>
  <c r="AA50" i="19" a="1"/>
  <c r="AA50" i="19" s="1"/>
  <c r="U50" i="19" a="1"/>
  <c r="U50" i="19" s="1"/>
  <c r="BX49" i="19"/>
  <c r="BI49" i="19"/>
  <c r="AX49" i="19"/>
  <c r="AM49" i="19"/>
  <c r="Y49" i="19"/>
  <c r="I49" i="19"/>
  <c r="BE50" i="19" a="1"/>
  <c r="BE50" i="19" s="1"/>
  <c r="AX50" i="19" a="1"/>
  <c r="AX50" i="19" s="1"/>
  <c r="AM50" i="19" a="1"/>
  <c r="AM50" i="19" s="1"/>
  <c r="AF50" i="19" a="1"/>
  <c r="AF50" i="19" s="1"/>
  <c r="Z50" i="19" a="1"/>
  <c r="Z50" i="19" s="1"/>
  <c r="CH49" i="19"/>
  <c r="BH49" i="19"/>
  <c r="AW49" i="19"/>
  <c r="AI49" i="19"/>
  <c r="X49" i="19"/>
  <c r="H49" i="19"/>
  <c r="BG49" i="19"/>
  <c r="I50" i="19" a="1"/>
  <c r="I50" i="19" s="1"/>
  <c r="AL50" i="19" a="1"/>
  <c r="AL50" i="19" s="1"/>
  <c r="BJ50" i="19" a="1"/>
  <c r="BJ50" i="19" s="1"/>
  <c r="V74" i="19" a="1"/>
  <c r="V74" i="19" s="1"/>
  <c r="S77" i="19" a="1"/>
  <c r="S77" i="19" s="1"/>
  <c r="S83" i="19" a="1"/>
  <c r="S83" i="19" s="1"/>
  <c r="S74" i="19" a="1"/>
  <c r="S74" i="19" s="1"/>
  <c r="S80" i="19" a="1"/>
  <c r="S80" i="19" s="1"/>
  <c r="BW5" i="19"/>
  <c r="CE5" i="19"/>
  <c r="CM5" i="19"/>
  <c r="CU5" i="19"/>
  <c r="DC5" i="19"/>
  <c r="BY7" i="19"/>
  <c r="CG7" i="19"/>
  <c r="CO7" i="19"/>
  <c r="CW7" i="19"/>
  <c r="CW83" i="19" s="1" a="1"/>
  <c r="CW83" i="19" s="1"/>
  <c r="H7" i="22"/>
  <c r="BT8" i="19"/>
  <c r="CB8" i="19"/>
  <c r="CJ8" i="19"/>
  <c r="CJ43" i="19" s="1"/>
  <c r="CR8" i="19"/>
  <c r="CZ8" i="19"/>
  <c r="BW9" i="19"/>
  <c r="CE9" i="19"/>
  <c r="CM9" i="19"/>
  <c r="CU9" i="19"/>
  <c r="DC9" i="19"/>
  <c r="BY10" i="19"/>
  <c r="BY37" i="19" s="1"/>
  <c r="CG10" i="19"/>
  <c r="CO10" i="19"/>
  <c r="CO77" i="19" s="1" a="1"/>
  <c r="CO77" i="19" s="1"/>
  <c r="CW10" i="19"/>
  <c r="BT11" i="19"/>
  <c r="CB11" i="19"/>
  <c r="CJ11" i="19"/>
  <c r="CR11" i="19"/>
  <c r="BV12" i="19"/>
  <c r="BV49" i="19" s="1"/>
  <c r="CD12" i="19"/>
  <c r="CL12" i="19"/>
  <c r="CT12" i="19"/>
  <c r="CT49" i="19" s="1"/>
  <c r="DB12" i="19"/>
  <c r="BY13" i="19"/>
  <c r="CG13" i="19"/>
  <c r="CO13" i="19"/>
  <c r="CW13" i="19"/>
  <c r="CW50" i="19" s="1" a="1"/>
  <c r="CW50" i="19" s="1"/>
  <c r="CD14" i="19"/>
  <c r="CL14" i="19"/>
  <c r="CT14" i="19"/>
  <c r="CB15" i="19"/>
  <c r="CJ15" i="19"/>
  <c r="CJ49" i="19" s="1"/>
  <c r="CR15" i="19"/>
  <c r="CZ15" i="19"/>
  <c r="CZ49" i="19" s="1"/>
  <c r="BM16" i="19"/>
  <c r="BU16" i="19"/>
  <c r="CC16" i="19"/>
  <c r="CK16" i="19"/>
  <c r="CS16" i="19"/>
  <c r="DA16" i="19"/>
  <c r="CB17" i="19"/>
  <c r="CJ17" i="19"/>
  <c r="CR17" i="19"/>
  <c r="CZ17" i="19"/>
  <c r="BQ18" i="19"/>
  <c r="BQ89" i="19" s="1" a="1"/>
  <c r="BQ89" i="19" s="1"/>
  <c r="BY18" i="19"/>
  <c r="CG18" i="19"/>
  <c r="CO18" i="19"/>
  <c r="CW18" i="19"/>
  <c r="CW49" i="19" s="1"/>
  <c r="BX19" i="19"/>
  <c r="CF19" i="19"/>
  <c r="CN19" i="19"/>
  <c r="CV19" i="19"/>
  <c r="CD20" i="19"/>
  <c r="CL20" i="19"/>
  <c r="CT20" i="19"/>
  <c r="DB20" i="19"/>
  <c r="CB21" i="19"/>
  <c r="CJ21" i="19"/>
  <c r="CR21" i="19"/>
  <c r="CZ21" i="19"/>
  <c r="BZ22" i="19"/>
  <c r="CH22" i="19"/>
  <c r="CP22" i="19"/>
  <c r="CP46" i="19" s="1"/>
  <c r="CX22" i="19"/>
  <c r="BL23" i="19"/>
  <c r="CB24" i="19"/>
  <c r="CJ24" i="19"/>
  <c r="CR24" i="19"/>
  <c r="CZ24" i="19"/>
  <c r="BQ25" i="19"/>
  <c r="BY25" i="19"/>
  <c r="CH25" i="19"/>
  <c r="CQ25" i="19"/>
  <c r="DA25" i="19"/>
  <c r="BZ26" i="19"/>
  <c r="CI26" i="19"/>
  <c r="CV27" i="19"/>
  <c r="CN27" i="19"/>
  <c r="CN43" i="19" s="1"/>
  <c r="CF27" i="19"/>
  <c r="BX27" i="19"/>
  <c r="DC27" i="19"/>
  <c r="DC43" i="19" s="1"/>
  <c r="CU27" i="19"/>
  <c r="CM27" i="19"/>
  <c r="CE27" i="19"/>
  <c r="CE43" i="19" s="1"/>
  <c r="BW27" i="19"/>
  <c r="BT27" i="19"/>
  <c r="CD27" i="19"/>
  <c r="CP27" i="19"/>
  <c r="CZ27" i="19"/>
  <c r="BZ28" i="19"/>
  <c r="CJ28" i="19"/>
  <c r="BS31" i="19"/>
  <c r="BS49" i="19" s="1"/>
  <c r="BU32" i="19"/>
  <c r="CE32" i="19"/>
  <c r="CO32" i="19"/>
  <c r="CB33" i="19"/>
  <c r="CN33" i="19"/>
  <c r="BL34" i="19"/>
  <c r="BL49" i="19" s="1"/>
  <c r="CE34" i="19"/>
  <c r="CO34" i="19"/>
  <c r="DA34" i="19"/>
  <c r="BO35" i="19"/>
  <c r="BY35" i="19"/>
  <c r="CK35" i="19"/>
  <c r="AA38" i="19"/>
  <c r="BR38" i="19"/>
  <c r="N40" i="19"/>
  <c r="AA40" i="19"/>
  <c r="AK40" i="19"/>
  <c r="AU40" i="19"/>
  <c r="BG40" i="19"/>
  <c r="BR40" i="19"/>
  <c r="CX40" i="19"/>
  <c r="N41" i="19" a="1"/>
  <c r="N41" i="19" s="1"/>
  <c r="U41" i="19" a="1"/>
  <c r="U41" i="19" s="1"/>
  <c r="Z41" i="19" a="1"/>
  <c r="Z41" i="19" s="1"/>
  <c r="AE41" i="19" a="1"/>
  <c r="AE41" i="19" s="1"/>
  <c r="AK41" i="19" a="1"/>
  <c r="AK41" i="19" s="1"/>
  <c r="AP41" i="19" a="1"/>
  <c r="AP41" i="19" s="1"/>
  <c r="AU41" i="19" a="1"/>
  <c r="AU41" i="19" s="1"/>
  <c r="BA41" i="19" a="1"/>
  <c r="BA41" i="19" s="1"/>
  <c r="BF41" i="19" a="1"/>
  <c r="BF41" i="19" s="1"/>
  <c r="BR41" i="19" a="1"/>
  <c r="BR41" i="19" s="1"/>
  <c r="S43" i="19"/>
  <c r="AE43" i="19"/>
  <c r="AO43" i="19"/>
  <c r="AY43" i="19"/>
  <c r="CF43" i="19"/>
  <c r="Q44" i="19" a="1"/>
  <c r="Q44" i="19" s="1"/>
  <c r="Y44" i="19" a="1"/>
  <c r="Y44" i="19" s="1"/>
  <c r="AE44" i="19" a="1"/>
  <c r="AE44" i="19" s="1"/>
  <c r="AW44" i="19" a="1"/>
  <c r="AW44" i="19" s="1"/>
  <c r="BC44" i="19" a="1"/>
  <c r="BC44" i="19" s="1"/>
  <c r="U54" i="19"/>
  <c r="AF54" i="19"/>
  <c r="AR54" i="19"/>
  <c r="BE54" i="19"/>
  <c r="BR54" i="19"/>
  <c r="CC54" i="19"/>
  <c r="CQ54" i="19"/>
  <c r="DB54" i="19"/>
  <c r="Q55" i="19" a="1"/>
  <c r="Q55" i="19" s="1"/>
  <c r="Y55" i="19" a="1"/>
  <c r="Y55" i="19" s="1"/>
  <c r="AJ55" i="19" a="1"/>
  <c r="AJ55" i="19" s="1"/>
  <c r="AQ55" i="19" a="1"/>
  <c r="AQ55" i="19" s="1"/>
  <c r="AW55" i="19" a="1"/>
  <c r="AW55" i="19" s="1"/>
  <c r="BP55" i="19" a="1"/>
  <c r="BP55" i="19" s="1"/>
  <c r="O57" i="19"/>
  <c r="AC57" i="19"/>
  <c r="AO57" i="19"/>
  <c r="AZ57" i="19"/>
  <c r="BO57" i="19"/>
  <c r="BZ57" i="19"/>
  <c r="CL57" i="19"/>
  <c r="CZ57" i="19"/>
  <c r="V58" i="19" a="1"/>
  <c r="V58" i="19" s="1"/>
  <c r="AD58" i="19" a="1"/>
  <c r="AD58" i="19" s="1"/>
  <c r="AZ58" i="19" a="1"/>
  <c r="AZ58" i="19" s="1"/>
  <c r="T62" i="19"/>
  <c r="AK62" i="19"/>
  <c r="BA62" i="19"/>
  <c r="BS62" i="19"/>
  <c r="CI62" i="19"/>
  <c r="DB62" i="19"/>
  <c r="U63" i="19" a="1"/>
  <c r="U63" i="19" s="1"/>
  <c r="AC63" i="19" a="1"/>
  <c r="AC63" i="19" s="1"/>
  <c r="AE74" i="19" a="1"/>
  <c r="AE74" i="19" s="1"/>
  <c r="AB77" i="19" a="1"/>
  <c r="AB77" i="19" s="1"/>
  <c r="S89" i="19" a="1"/>
  <c r="S89" i="19" s="1"/>
  <c r="BW20" i="19"/>
  <c r="CE20" i="19"/>
  <c r="CM20" i="19"/>
  <c r="CU20" i="19"/>
  <c r="DC20" i="19"/>
  <c r="CZ32" i="19"/>
  <c r="CZ71" i="19" s="1" a="1"/>
  <c r="CZ71" i="19" s="1"/>
  <c r="CR32" i="19"/>
  <c r="CJ32" i="19"/>
  <c r="CB32" i="19"/>
  <c r="BT32" i="19"/>
  <c r="P32" i="19"/>
  <c r="CY32" i="19"/>
  <c r="CQ32" i="19"/>
  <c r="CI32" i="19"/>
  <c r="CI43" i="19" s="1"/>
  <c r="CA32" i="19"/>
  <c r="BS32" i="19"/>
  <c r="BV32" i="19"/>
  <c r="CF32" i="19"/>
  <c r="CP32" i="19"/>
  <c r="CP43" i="19" s="1"/>
  <c r="DB32" i="19"/>
  <c r="DB43" i="19" s="1"/>
  <c r="T43" i="19"/>
  <c r="AF43" i="19"/>
  <c r="AP43" i="19"/>
  <c r="AZ43" i="19"/>
  <c r="BW43" i="19"/>
  <c r="CG43" i="19"/>
  <c r="I44" i="19" a="1"/>
  <c r="I44" i="19" s="1"/>
  <c r="S44" i="19" a="1"/>
  <c r="S44" i="19" s="1"/>
  <c r="AK44" i="19" a="1"/>
  <c r="AK44" i="19" s="1"/>
  <c r="AR44" i="19" a="1"/>
  <c r="AR44" i="19" s="1"/>
  <c r="BJ44" i="19" a="1"/>
  <c r="BJ44" i="19" s="1"/>
  <c r="AD46" i="19"/>
  <c r="DC54" i="19"/>
  <c r="CU54" i="19"/>
  <c r="CM54" i="19"/>
  <c r="CE54" i="19"/>
  <c r="BW54" i="19"/>
  <c r="BO54" i="19"/>
  <c r="BF54" i="19"/>
  <c r="AX54" i="19"/>
  <c r="AP54" i="19"/>
  <c r="AH54" i="19"/>
  <c r="Z54" i="19"/>
  <c r="Q54" i="19"/>
  <c r="DC55" i="19" a="1"/>
  <c r="DC55" i="19" s="1"/>
  <c r="CF55" i="19" a="1"/>
  <c r="CF55" i="19" s="1"/>
  <c r="BH55" i="19" a="1"/>
  <c r="BH55" i="19" s="1"/>
  <c r="AY55" i="19" a="1"/>
  <c r="AY55" i="19" s="1"/>
  <c r="AP55" i="19" a="1"/>
  <c r="AP55" i="19" s="1"/>
  <c r="AG55" i="19" a="1"/>
  <c r="AG55" i="19" s="1"/>
  <c r="AB55" i="19" a="1"/>
  <c r="AB55" i="19" s="1"/>
  <c r="S55" i="19" a="1"/>
  <c r="S55" i="19" s="1"/>
  <c r="CX54" i="19"/>
  <c r="CO54" i="19"/>
  <c r="CF54" i="19"/>
  <c r="BV54" i="19"/>
  <c r="BM54" i="19"/>
  <c r="BC54" i="19"/>
  <c r="AT54" i="19"/>
  <c r="AK54" i="19"/>
  <c r="AB54" i="19"/>
  <c r="S54" i="19"/>
  <c r="BR55" i="19" a="1"/>
  <c r="BR55" i="19" s="1"/>
  <c r="BC55" i="19" a="1"/>
  <c r="BC55" i="19" s="1"/>
  <c r="AT55" i="19" a="1"/>
  <c r="AT55" i="19" s="1"/>
  <c r="AK55" i="19" a="1"/>
  <c r="AK55" i="19" s="1"/>
  <c r="AF55" i="19" a="1"/>
  <c r="AF55" i="19" s="1"/>
  <c r="W55" i="19" a="1"/>
  <c r="W55" i="19" s="1"/>
  <c r="L55" i="19" a="1"/>
  <c r="L55" i="19" s="1"/>
  <c r="CW54" i="19"/>
  <c r="CN54" i="19"/>
  <c r="CD54" i="19"/>
  <c r="BU54" i="19"/>
  <c r="BL54" i="19"/>
  <c r="BB54" i="19"/>
  <c r="AS54" i="19"/>
  <c r="AJ54" i="19"/>
  <c r="AA54" i="19"/>
  <c r="P54" i="19"/>
  <c r="V54" i="19"/>
  <c r="AG54" i="19"/>
  <c r="AU54" i="19"/>
  <c r="BG54" i="19"/>
  <c r="BS54" i="19"/>
  <c r="CG54" i="19"/>
  <c r="CR54" i="19"/>
  <c r="I55" i="19" a="1"/>
  <c r="I55" i="19" s="1"/>
  <c r="AE55" i="19" a="1"/>
  <c r="AE55" i="19" s="1"/>
  <c r="AL55" i="19" a="1"/>
  <c r="AL55" i="19" s="1"/>
  <c r="BD55" i="19" a="1"/>
  <c r="BD55" i="19" s="1"/>
  <c r="BJ55" i="19" a="1"/>
  <c r="BJ55" i="19" s="1"/>
  <c r="CC55" i="19" a="1"/>
  <c r="CC55" i="19" s="1"/>
  <c r="X58" i="19" a="1"/>
  <c r="X58" i="19" s="1"/>
  <c r="AE58" i="19" a="1"/>
  <c r="AE58" i="19" s="1"/>
  <c r="CR41" i="20" a="1"/>
  <c r="CR41" i="20" s="1"/>
  <c r="CF20" i="19"/>
  <c r="W43" i="19"/>
  <c r="AX44" i="19" a="1"/>
  <c r="AX44" i="19" s="1"/>
  <c r="AD47" i="19" a="1"/>
  <c r="AD47" i="19" s="1"/>
  <c r="BI37" i="20"/>
  <c r="BI59" i="20" a="1"/>
  <c r="BI59" i="20" s="1"/>
  <c r="BI41" i="20" a="1"/>
  <c r="BI41" i="20" s="1"/>
  <c r="BI38" i="20"/>
  <c r="BQ74" i="20" a="1"/>
  <c r="BQ74" i="20" s="1"/>
  <c r="BQ59" i="20" a="1"/>
  <c r="BQ59" i="20" s="1"/>
  <c r="BQ37" i="20"/>
  <c r="BQ41" i="20" a="1"/>
  <c r="BQ41" i="20" s="1"/>
  <c r="BQ38" i="20"/>
  <c r="BY77" i="20" a="1"/>
  <c r="BY77" i="20" s="1"/>
  <c r="BY71" i="20" a="1"/>
  <c r="BY71" i="20" s="1"/>
  <c r="BY74" i="20" a="1"/>
  <c r="BY74" i="20" s="1"/>
  <c r="BY37" i="20"/>
  <c r="BY38" i="20"/>
  <c r="BY41" i="20" a="1"/>
  <c r="BY41" i="20" s="1"/>
  <c r="CG77" i="20" a="1"/>
  <c r="CG77" i="20" s="1"/>
  <c r="CG83" i="20" a="1"/>
  <c r="CG83" i="20" s="1"/>
  <c r="CG74" i="20" a="1"/>
  <c r="CG74" i="20" s="1"/>
  <c r="CG56" i="20" a="1"/>
  <c r="CG56" i="20" s="1"/>
  <c r="CG37" i="20"/>
  <c r="CG59" i="20" a="1"/>
  <c r="CG59" i="20" s="1"/>
  <c r="CG68" i="20" a="1"/>
  <c r="CG68" i="20" s="1"/>
  <c r="CG41" i="20" a="1"/>
  <c r="CG41" i="20" s="1"/>
  <c r="CG38" i="20"/>
  <c r="CO83" i="20" a="1"/>
  <c r="CO83" i="20" s="1"/>
  <c r="CO74" i="20" a="1"/>
  <c r="CO74" i="20" s="1"/>
  <c r="CO59" i="20" a="1"/>
  <c r="CO59" i="20" s="1"/>
  <c r="CO37" i="20"/>
  <c r="CO41" i="20" a="1"/>
  <c r="CO41" i="20" s="1"/>
  <c r="CO38" i="20"/>
  <c r="BL46" i="20"/>
  <c r="BL41" i="20" a="1"/>
  <c r="BL41" i="20" s="1"/>
  <c r="BT46" i="20"/>
  <c r="BT59" i="20" a="1"/>
  <c r="BT59" i="20" s="1"/>
  <c r="BR43" i="20"/>
  <c r="BR41" i="20" a="1"/>
  <c r="BR41" i="20" s="1"/>
  <c r="BR44" i="20" a="1"/>
  <c r="BR44" i="20" s="1"/>
  <c r="BS7" i="19"/>
  <c r="CQ7" i="19"/>
  <c r="BS10" i="19"/>
  <c r="CI10" i="19"/>
  <c r="CQ10" i="19"/>
  <c r="CY10" i="19"/>
  <c r="AE89" i="19" a="1"/>
  <c r="AE89" i="19" s="1"/>
  <c r="AE83" i="19" a="1"/>
  <c r="AE83" i="19" s="1"/>
  <c r="AE77" i="19" a="1"/>
  <c r="AE77" i="19" s="1"/>
  <c r="AE37" i="19"/>
  <c r="AE66" i="19" a="1"/>
  <c r="AE66" i="19" s="1"/>
  <c r="BE44" i="19" a="1"/>
  <c r="BE44" i="19" s="1"/>
  <c r="W89" i="19" a="1"/>
  <c r="W89" i="19" s="1"/>
  <c r="W83" i="19" a="1"/>
  <c r="W83" i="19" s="1"/>
  <c r="W80" i="19" a="1"/>
  <c r="W80" i="19" s="1"/>
  <c r="W77" i="19" a="1"/>
  <c r="W77" i="19" s="1"/>
  <c r="W37" i="19"/>
  <c r="W74" i="19" a="1"/>
  <c r="W74" i="19" s="1"/>
  <c r="CH71" i="19" a="1"/>
  <c r="CH71" i="19" s="1"/>
  <c r="BT7" i="19"/>
  <c r="CB10" i="19"/>
  <c r="BT13" i="19"/>
  <c r="CR13" i="19"/>
  <c r="BW15" i="19"/>
  <c r="BW41" i="19" s="1" a="1"/>
  <c r="BW41" i="19" s="1"/>
  <c r="CU15" i="19"/>
  <c r="CU49" i="19" s="1"/>
  <c r="CE21" i="19"/>
  <c r="AF92" i="19" a="1"/>
  <c r="AF92" i="19" s="1"/>
  <c r="AF89" i="19" a="1"/>
  <c r="AF89" i="19" s="1"/>
  <c r="AF80" i="19" a="1"/>
  <c r="AF80" i="19" s="1"/>
  <c r="AF66" i="19" a="1"/>
  <c r="AF66" i="19" s="1"/>
  <c r="AF37" i="19"/>
  <c r="AF71" i="19" a="1"/>
  <c r="AF71" i="19" s="1"/>
  <c r="AF83" i="19" a="1"/>
  <c r="AF83" i="19" s="1"/>
  <c r="AF77" i="19" a="1"/>
  <c r="AF77" i="19" s="1"/>
  <c r="X43" i="19"/>
  <c r="AR43" i="19"/>
  <c r="L44" i="19" a="1"/>
  <c r="L44" i="19" s="1"/>
  <c r="AA44" i="19" a="1"/>
  <c r="AA44" i="19" s="1"/>
  <c r="AY44" i="19" a="1"/>
  <c r="AY44" i="19" s="1"/>
  <c r="AF46" i="19"/>
  <c r="I54" i="19"/>
  <c r="X54" i="19"/>
  <c r="AL54" i="19"/>
  <c r="AW54" i="19"/>
  <c r="BI54" i="19"/>
  <c r="BX54" i="19"/>
  <c r="CI54" i="19"/>
  <c r="CT54" i="19"/>
  <c r="N55" i="19" a="1"/>
  <c r="N55" i="19" s="1"/>
  <c r="U55" i="19" a="1"/>
  <c r="U55" i="19" s="1"/>
  <c r="AM55" i="19" a="1"/>
  <c r="AM55" i="19" s="1"/>
  <c r="AS55" i="19" a="1"/>
  <c r="AS55" i="19" s="1"/>
  <c r="AF63" i="19" a="1"/>
  <c r="AF63" i="19" s="1"/>
  <c r="L80" i="19" a="1"/>
  <c r="L80" i="19" s="1"/>
  <c r="CI7" i="19"/>
  <c r="CY7" i="19"/>
  <c r="CA10" i="19"/>
  <c r="BX20" i="19"/>
  <c r="BX63" i="19" s="1" a="1"/>
  <c r="BX63" i="19" s="1"/>
  <c r="CV20" i="19"/>
  <c r="AA41" i="19" a="1"/>
  <c r="AA41" i="19" s="1"/>
  <c r="AQ43" i="19"/>
  <c r="AF44" i="19" a="1"/>
  <c r="AF44" i="19" s="1"/>
  <c r="BR77" i="19" a="1"/>
  <c r="BR77" i="19" s="1"/>
  <c r="BR80" i="19" a="1"/>
  <c r="BR80" i="19" s="1"/>
  <c r="CP80" i="19" a="1"/>
  <c r="CP80" i="19" s="1"/>
  <c r="Z92" i="19" a="1"/>
  <c r="Z92" i="19" s="1"/>
  <c r="Z80" i="19" a="1"/>
  <c r="Z80" i="19" s="1"/>
  <c r="Z89" i="19" a="1"/>
  <c r="Z89" i="19" s="1"/>
  <c r="Z83" i="19" a="1"/>
  <c r="Z83" i="19" s="1"/>
  <c r="Z77" i="19" a="1"/>
  <c r="Z77" i="19" s="1"/>
  <c r="Z38" i="19"/>
  <c r="Z66" i="19" a="1"/>
  <c r="Z66" i="19" s="1"/>
  <c r="Z71" i="19" a="1"/>
  <c r="Z71" i="19" s="1"/>
  <c r="BL7" i="19"/>
  <c r="BL46" i="19" s="1"/>
  <c r="CJ7" i="19"/>
  <c r="CZ7" i="19"/>
  <c r="BL10" i="19"/>
  <c r="BL43" i="19" s="1"/>
  <c r="CJ10" i="19"/>
  <c r="CZ10" i="19"/>
  <c r="CJ13" i="19"/>
  <c r="BO15" i="19"/>
  <c r="CM15" i="19"/>
  <c r="P20" i="19"/>
  <c r="P86" i="19" s="1" a="1"/>
  <c r="P86" i="19" s="1"/>
  <c r="BY20" i="19"/>
  <c r="CG20" i="19"/>
  <c r="CW20" i="19"/>
  <c r="CW41" i="19" s="1" a="1"/>
  <c r="CW41" i="19" s="1"/>
  <c r="BO21" i="19"/>
  <c r="CM21" i="19"/>
  <c r="CM49" i="19" s="1"/>
  <c r="DC21" i="19"/>
  <c r="BL32" i="19"/>
  <c r="CH32" i="19"/>
  <c r="CH43" i="19" s="1"/>
  <c r="AD38" i="19"/>
  <c r="H43" i="19"/>
  <c r="AH43" i="19"/>
  <c r="BD43" i="19"/>
  <c r="CK43" i="19"/>
  <c r="U44" i="19" a="1"/>
  <c r="U44" i="19" s="1"/>
  <c r="AS44" i="19" a="1"/>
  <c r="AS44" i="19" s="1"/>
  <c r="BR44" i="19" a="1"/>
  <c r="BR44" i="19" s="1"/>
  <c r="X92" i="19" a="1"/>
  <c r="X92" i="19" s="1"/>
  <c r="X80" i="19" a="1"/>
  <c r="X80" i="19" s="1"/>
  <c r="X89" i="19" a="1"/>
  <c r="X89" i="19" s="1"/>
  <c r="X77" i="19" a="1"/>
  <c r="X77" i="19" s="1"/>
  <c r="X37" i="19"/>
  <c r="BS5" i="19"/>
  <c r="CA5" i="19"/>
  <c r="CA50" i="19" s="1" a="1"/>
  <c r="CA50" i="19" s="1"/>
  <c r="CI5" i="19"/>
  <c r="CQ5" i="19"/>
  <c r="AA89" i="19" a="1"/>
  <c r="AA89" i="19" s="1"/>
  <c r="AA83" i="19" a="1"/>
  <c r="AA83" i="19" s="1"/>
  <c r="AA66" i="19" a="1"/>
  <c r="AA66" i="19" s="1"/>
  <c r="BS6" i="19"/>
  <c r="BS46" i="19" s="1"/>
  <c r="P7" i="19"/>
  <c r="P55" i="19" s="1" a="1"/>
  <c r="P55" i="19" s="1"/>
  <c r="BM7" i="19"/>
  <c r="BM89" i="19" s="1" a="1"/>
  <c r="BM89" i="19" s="1"/>
  <c r="BU7" i="19"/>
  <c r="CC7" i="19"/>
  <c r="CK7" i="19"/>
  <c r="CK83" i="19" s="1" a="1"/>
  <c r="CK83" i="19" s="1"/>
  <c r="CS7" i="19"/>
  <c r="DA7" i="19"/>
  <c r="BS9" i="19"/>
  <c r="CA9" i="19"/>
  <c r="CI9" i="19"/>
  <c r="CQ9" i="19"/>
  <c r="CY9" i="19"/>
  <c r="P10" i="19"/>
  <c r="BM10" i="19"/>
  <c r="BM43" i="19" s="1"/>
  <c r="BU10" i="19"/>
  <c r="BU58" i="19" s="1" a="1"/>
  <c r="BU58" i="19" s="1"/>
  <c r="CC10" i="19"/>
  <c r="CK10" i="19"/>
  <c r="CS10" i="19"/>
  <c r="CS43" i="19" s="1"/>
  <c r="DA10" i="19"/>
  <c r="DA43" i="19" s="1"/>
  <c r="BZ12" i="19"/>
  <c r="CH12" i="19"/>
  <c r="CP12" i="19"/>
  <c r="BM13" i="19"/>
  <c r="BM44" i="19" s="1" a="1"/>
  <c r="BM44" i="19" s="1"/>
  <c r="BU13" i="19"/>
  <c r="CC13" i="19"/>
  <c r="CK13" i="19"/>
  <c r="CS13" i="19"/>
  <c r="DA13" i="19"/>
  <c r="AC74" i="19" a="1"/>
  <c r="AC74" i="19" s="1"/>
  <c r="BX15" i="19"/>
  <c r="CF15" i="19"/>
  <c r="CF89" i="19" s="1" a="1"/>
  <c r="CF89" i="19" s="1"/>
  <c r="CN15" i="19"/>
  <c r="CV15" i="19"/>
  <c r="CV49" i="19" s="1"/>
  <c r="BY16" i="19"/>
  <c r="CG16" i="19"/>
  <c r="CO16" i="19"/>
  <c r="CW16" i="19"/>
  <c r="CW44" i="19" s="1" a="1"/>
  <c r="CW44" i="19" s="1"/>
  <c r="BX17" i="19"/>
  <c r="CF17" i="19"/>
  <c r="CF46" i="19" s="1"/>
  <c r="CN17" i="19"/>
  <c r="CN46" i="19" s="1"/>
  <c r="BM18" i="19"/>
  <c r="BM49" i="19" s="1"/>
  <c r="BU18" i="19"/>
  <c r="BU49" i="19" s="1"/>
  <c r="CC18" i="19"/>
  <c r="CC49" i="19" s="1"/>
  <c r="CK18" i="19"/>
  <c r="CS18" i="19"/>
  <c r="DA18" i="19"/>
  <c r="CB19" i="19"/>
  <c r="CB47" i="19" s="1" a="1"/>
  <c r="CB47" i="19" s="1"/>
  <c r="CJ19" i="19"/>
  <c r="CR19" i="19"/>
  <c r="BZ20" i="19"/>
  <c r="CH20" i="19"/>
  <c r="CP20" i="19"/>
  <c r="CX20" i="19"/>
  <c r="CX49" i="19" s="1"/>
  <c r="BX21" i="19"/>
  <c r="CF21" i="19"/>
  <c r="CN21" i="19"/>
  <c r="CV21" i="19"/>
  <c r="CD22" i="19"/>
  <c r="CL22" i="19"/>
  <c r="CT22" i="19"/>
  <c r="DB22" i="19"/>
  <c r="DB46" i="19" s="1"/>
  <c r="BX24" i="19"/>
  <c r="CF24" i="19"/>
  <c r="CF40" i="19" s="1"/>
  <c r="CN24" i="19"/>
  <c r="CV24" i="19"/>
  <c r="BM25" i="19"/>
  <c r="BU25" i="19"/>
  <c r="BU40" i="19" s="1"/>
  <c r="CD25" i="19"/>
  <c r="CM25" i="19"/>
  <c r="DC26" i="19"/>
  <c r="CU26" i="19"/>
  <c r="CM26" i="19"/>
  <c r="CE26" i="19"/>
  <c r="DB26" i="19"/>
  <c r="DB44" i="19" s="1" a="1"/>
  <c r="DB44" i="19" s="1"/>
  <c r="CT26" i="19"/>
  <c r="CL26" i="19"/>
  <c r="BL26" i="19"/>
  <c r="BU26" i="19"/>
  <c r="CD26" i="19"/>
  <c r="CO26" i="19"/>
  <c r="CY26" i="19"/>
  <c r="BZ27" i="19"/>
  <c r="CJ27" i="19"/>
  <c r="CT27" i="19"/>
  <c r="CW28" i="19"/>
  <c r="CO28" i="19"/>
  <c r="CG28" i="19"/>
  <c r="CG63" i="19" s="1" a="1"/>
  <c r="CG63" i="19" s="1"/>
  <c r="BY28" i="19"/>
  <c r="CV28" i="19"/>
  <c r="CN28" i="19"/>
  <c r="CF28" i="19"/>
  <c r="BX28" i="19"/>
  <c r="BT28" i="19"/>
  <c r="CD28" i="19"/>
  <c r="CP28" i="19"/>
  <c r="CP40" i="19" s="1"/>
  <c r="CZ28" i="19"/>
  <c r="BY32" i="19"/>
  <c r="CK32" i="19"/>
  <c r="CU32" i="19"/>
  <c r="CU43" i="19" s="1"/>
  <c r="DB33" i="19"/>
  <c r="DB77" i="19" s="1" a="1"/>
  <c r="DB77" i="19" s="1"/>
  <c r="CT33" i="19"/>
  <c r="CL33" i="19"/>
  <c r="CD33" i="19"/>
  <c r="BV33" i="19"/>
  <c r="DA33" i="19"/>
  <c r="CS33" i="19"/>
  <c r="CK33" i="19"/>
  <c r="CC33" i="19"/>
  <c r="CC43" i="19" s="1"/>
  <c r="BU33" i="19"/>
  <c r="BM33" i="19"/>
  <c r="P33" i="19"/>
  <c r="BL33" i="19"/>
  <c r="BX33" i="19"/>
  <c r="CH33" i="19"/>
  <c r="CR33" i="19"/>
  <c r="BO34" i="19"/>
  <c r="BY34" i="19"/>
  <c r="CK34" i="19"/>
  <c r="CZ35" i="19"/>
  <c r="CR35" i="19"/>
  <c r="CJ35" i="19"/>
  <c r="CB35" i="19"/>
  <c r="BT35" i="19"/>
  <c r="BL35" i="19"/>
  <c r="CY35" i="19"/>
  <c r="CQ35" i="19"/>
  <c r="CI35" i="19"/>
  <c r="CA35" i="19"/>
  <c r="BS35" i="19"/>
  <c r="P35" i="19"/>
  <c r="BU35" i="19"/>
  <c r="CE35" i="19"/>
  <c r="CO35" i="19"/>
  <c r="DA35" i="19"/>
  <c r="AE38" i="19"/>
  <c r="BW40" i="19"/>
  <c r="BF40" i="19"/>
  <c r="AX40" i="19"/>
  <c r="AP40" i="19"/>
  <c r="AH40" i="19"/>
  <c r="Z40" i="19"/>
  <c r="Q40" i="19"/>
  <c r="CS41" i="19" a="1"/>
  <c r="CS41" i="19" s="1"/>
  <c r="BY41" i="19" a="1"/>
  <c r="BY41" i="19" s="1"/>
  <c r="BM41" i="19" a="1"/>
  <c r="BM41" i="19" s="1"/>
  <c r="BH41" i="19" a="1"/>
  <c r="BH41" i="19" s="1"/>
  <c r="BD41" i="19" a="1"/>
  <c r="BD41" i="19" s="1"/>
  <c r="AZ41" i="19" a="1"/>
  <c r="AZ41" i="19" s="1"/>
  <c r="AV41" i="19" a="1"/>
  <c r="AV41" i="19" s="1"/>
  <c r="AR41" i="19" a="1"/>
  <c r="AR41" i="19" s="1"/>
  <c r="AN41" i="19" a="1"/>
  <c r="AN41" i="19" s="1"/>
  <c r="AJ41" i="19" a="1"/>
  <c r="AJ41" i="19" s="1"/>
  <c r="AF41" i="19" a="1"/>
  <c r="AF41" i="19" s="1"/>
  <c r="AB41" i="19" a="1"/>
  <c r="AB41" i="19" s="1"/>
  <c r="X41" i="19" a="1"/>
  <c r="X41" i="19" s="1"/>
  <c r="T41" i="19" a="1"/>
  <c r="T41" i="19" s="1"/>
  <c r="O41" i="19" a="1"/>
  <c r="O41" i="19" s="1"/>
  <c r="DB40" i="19"/>
  <c r="CT40" i="19"/>
  <c r="CL40" i="19"/>
  <c r="CD40" i="19"/>
  <c r="BN40" i="19"/>
  <c r="BE40" i="19"/>
  <c r="AW40" i="19"/>
  <c r="AO40" i="19"/>
  <c r="AG40" i="19"/>
  <c r="Y40" i="19"/>
  <c r="P40" i="19"/>
  <c r="U40" i="19"/>
  <c r="AE40" i="19"/>
  <c r="AQ40" i="19"/>
  <c r="BA40" i="19"/>
  <c r="BL40" i="19"/>
  <c r="I41" i="19" a="1"/>
  <c r="I41" i="19" s="1"/>
  <c r="Q41" i="19" a="1"/>
  <c r="Q41" i="19" s="1"/>
  <c r="W41" i="19" a="1"/>
  <c r="W41" i="19" s="1"/>
  <c r="AC41" i="19" a="1"/>
  <c r="AC41" i="19" s="1"/>
  <c r="AH41" i="19" a="1"/>
  <c r="AH41" i="19" s="1"/>
  <c r="AM41" i="19" a="1"/>
  <c r="AM41" i="19" s="1"/>
  <c r="AS41" i="19" a="1"/>
  <c r="AS41" i="19" s="1"/>
  <c r="AX41" i="19" a="1"/>
  <c r="AX41" i="19" s="1"/>
  <c r="BC41" i="19" a="1"/>
  <c r="BC41" i="19" s="1"/>
  <c r="BI41" i="19" a="1"/>
  <c r="BI41" i="19" s="1"/>
  <c r="BZ41" i="19" a="1"/>
  <c r="BZ41" i="19" s="1"/>
  <c r="N43" i="19"/>
  <c r="Y43" i="19"/>
  <c r="AI43" i="19"/>
  <c r="AU43" i="19"/>
  <c r="BE43" i="19"/>
  <c r="BP43" i="19"/>
  <c r="CB43" i="19"/>
  <c r="CL43" i="19"/>
  <c r="O44" i="19" a="1"/>
  <c r="O44" i="19" s="1"/>
  <c r="AH44" i="19" a="1"/>
  <c r="AH44" i="19" s="1"/>
  <c r="AN44" i="19" a="1"/>
  <c r="AN44" i="19" s="1"/>
  <c r="BF44" i="19" a="1"/>
  <c r="BF44" i="19" s="1"/>
  <c r="AE47" i="19" a="1"/>
  <c r="AE47" i="19" s="1"/>
  <c r="L54" i="19"/>
  <c r="Y54" i="19"/>
  <c r="AM54" i="19"/>
  <c r="AY54" i="19"/>
  <c r="BJ54" i="19"/>
  <c r="BY54" i="19"/>
  <c r="CJ54" i="19"/>
  <c r="CV54" i="19"/>
  <c r="AA55" i="19" a="1"/>
  <c r="AA55" i="19" s="1"/>
  <c r="AH55" i="19" a="1"/>
  <c r="AH55" i="19" s="1"/>
  <c r="AZ55" i="19" a="1"/>
  <c r="AZ55" i="19" s="1"/>
  <c r="BF55" i="19" a="1"/>
  <c r="BF55" i="19" s="1"/>
  <c r="CW55" i="19" a="1"/>
  <c r="CW55" i="19" s="1"/>
  <c r="CT58" i="19" a="1"/>
  <c r="CT58" i="19" s="1"/>
  <c r="BR58" i="19" a="1"/>
  <c r="BR58" i="19" s="1"/>
  <c r="BN58" i="19" a="1"/>
  <c r="BN58" i="19" s="1"/>
  <c r="BI58" i="19" a="1"/>
  <c r="BI58" i="19" s="1"/>
  <c r="BE58" i="19" a="1"/>
  <c r="BE58" i="19" s="1"/>
  <c r="CY57" i="19"/>
  <c r="CQ57" i="19"/>
  <c r="CI57" i="19"/>
  <c r="CA57" i="19"/>
  <c r="BS57" i="19"/>
  <c r="BJ57" i="19"/>
  <c r="BB57" i="19"/>
  <c r="AT57" i="19"/>
  <c r="AL57" i="19"/>
  <c r="AD57" i="19"/>
  <c r="V57" i="19"/>
  <c r="L57" i="19"/>
  <c r="CE58" i="19" a="1"/>
  <c r="CE58" i="19" s="1"/>
  <c r="AY58" i="19" a="1"/>
  <c r="AY58" i="19" s="1"/>
  <c r="AT58" i="19" a="1"/>
  <c r="AT58" i="19" s="1"/>
  <c r="AK58" i="19" a="1"/>
  <c r="AK58" i="19" s="1"/>
  <c r="AB58" i="19" a="1"/>
  <c r="AB58" i="19" s="1"/>
  <c r="S58" i="19" a="1"/>
  <c r="S58" i="19" s="1"/>
  <c r="L58" i="19" a="1"/>
  <c r="L58" i="19" s="1"/>
  <c r="CW57" i="19"/>
  <c r="CN57" i="19"/>
  <c r="CE57" i="19"/>
  <c r="BV57" i="19"/>
  <c r="BM57" i="19"/>
  <c r="BC57" i="19"/>
  <c r="AS57" i="19"/>
  <c r="AJ57" i="19"/>
  <c r="AA57" i="19"/>
  <c r="Q57" i="19"/>
  <c r="BY58" i="19" a="1"/>
  <c r="BY58" i="19" s="1"/>
  <c r="BH58" i="19" a="1"/>
  <c r="BH58" i="19" s="1"/>
  <c r="BC58" i="19" a="1"/>
  <c r="BC58" i="19" s="1"/>
  <c r="AX58" i="19" a="1"/>
  <c r="AX58" i="19" s="1"/>
  <c r="AO58" i="19" a="1"/>
  <c r="AO58" i="19" s="1"/>
  <c r="AF58" i="19" a="1"/>
  <c r="AF58" i="19" s="1"/>
  <c r="W58" i="19" a="1"/>
  <c r="W58" i="19" s="1"/>
  <c r="Q58" i="19" a="1"/>
  <c r="Q58" i="19" s="1"/>
  <c r="CV57" i="19"/>
  <c r="CM57" i="19"/>
  <c r="CD57" i="19"/>
  <c r="BU57" i="19"/>
  <c r="BL57" i="19"/>
  <c r="BA57" i="19"/>
  <c r="AR57" i="19"/>
  <c r="AI57" i="19"/>
  <c r="Z57" i="19"/>
  <c r="P57" i="19"/>
  <c r="CW58" i="19" a="1"/>
  <c r="CW58" i="19" s="1"/>
  <c r="AV58" i="19" a="1"/>
  <c r="AV58" i="19" s="1"/>
  <c r="AM58" i="19" a="1"/>
  <c r="AM58" i="19" s="1"/>
  <c r="AH58" i="19" a="1"/>
  <c r="AH58" i="19" s="1"/>
  <c r="Y58" i="19" a="1"/>
  <c r="Y58" i="19" s="1"/>
  <c r="W57" i="19"/>
  <c r="AH57" i="19"/>
  <c r="AV57" i="19"/>
  <c r="BG57" i="19"/>
  <c r="BT57" i="19"/>
  <c r="CG57" i="19"/>
  <c r="CS57" i="19"/>
  <c r="I58" i="19" a="1"/>
  <c r="I58" i="19" s="1"/>
  <c r="T58" i="19" a="1"/>
  <c r="T58" i="19" s="1"/>
  <c r="Z58" i="19" a="1"/>
  <c r="Z58" i="19" s="1"/>
  <c r="BD58" i="19" a="1"/>
  <c r="BD58" i="19" s="1"/>
  <c r="CF63" i="19" a="1"/>
  <c r="CF63" i="19" s="1"/>
  <c r="BG63" i="19" a="1"/>
  <c r="BG63" i="19" s="1"/>
  <c r="BC63" i="19" a="1"/>
  <c r="BC63" i="19" s="1"/>
  <c r="AY63" i="19" a="1"/>
  <c r="AY63" i="19" s="1"/>
  <c r="AU63" i="19" a="1"/>
  <c r="AU63" i="19" s="1"/>
  <c r="AQ63" i="19" a="1"/>
  <c r="AQ63" i="19" s="1"/>
  <c r="AM63" i="19" a="1"/>
  <c r="AM63" i="19" s="1"/>
  <c r="AI63" i="19" a="1"/>
  <c r="AI63" i="19" s="1"/>
  <c r="AE63" i="19" a="1"/>
  <c r="AE63" i="19" s="1"/>
  <c r="AA63" i="19" a="1"/>
  <c r="AA63" i="19" s="1"/>
  <c r="W63" i="19" a="1"/>
  <c r="W63" i="19" s="1"/>
  <c r="S63" i="19" a="1"/>
  <c r="S63" i="19" s="1"/>
  <c r="N63" i="19" a="1"/>
  <c r="N63" i="19" s="1"/>
  <c r="CZ62" i="19"/>
  <c r="CR62" i="19"/>
  <c r="CJ62" i="19"/>
  <c r="CB62" i="19"/>
  <c r="BT62" i="19"/>
  <c r="BL62" i="19"/>
  <c r="BC62" i="19"/>
  <c r="AU62" i="19"/>
  <c r="AM62" i="19"/>
  <c r="AE62" i="19"/>
  <c r="W62" i="19"/>
  <c r="N62" i="19"/>
  <c r="DC62" i="19"/>
  <c r="CU62" i="19"/>
  <c r="CM62" i="19"/>
  <c r="CE62" i="19"/>
  <c r="BW62" i="19"/>
  <c r="BO62" i="19"/>
  <c r="BF62" i="19"/>
  <c r="AX62" i="19"/>
  <c r="AP62" i="19"/>
  <c r="AH62" i="19"/>
  <c r="Z62" i="19"/>
  <c r="Q62" i="19"/>
  <c r="AZ63" i="19" a="1"/>
  <c r="AZ63" i="19" s="1"/>
  <c r="AJ63" i="19" a="1"/>
  <c r="AJ63" i="19" s="1"/>
  <c r="T63" i="19" a="1"/>
  <c r="T63" i="19" s="1"/>
  <c r="CW62" i="19"/>
  <c r="CL62" i="19"/>
  <c r="CA62" i="19"/>
  <c r="BQ62" i="19"/>
  <c r="BE62" i="19"/>
  <c r="AT62" i="19"/>
  <c r="AJ62" i="19"/>
  <c r="Y62" i="19"/>
  <c r="L62" i="19"/>
  <c r="CL63" i="19" a="1"/>
  <c r="CL63" i="19" s="1"/>
  <c r="BJ63" i="19" a="1"/>
  <c r="BJ63" i="19" s="1"/>
  <c r="BE63" i="19" a="1"/>
  <c r="BE63" i="19" s="1"/>
  <c r="AT63" i="19" a="1"/>
  <c r="AT63" i="19" s="1"/>
  <c r="AO63" i="19" a="1"/>
  <c r="AO63" i="19" s="1"/>
  <c r="AD63" i="19" a="1"/>
  <c r="AD63" i="19" s="1"/>
  <c r="Y63" i="19" a="1"/>
  <c r="Y63" i="19" s="1"/>
  <c r="L63" i="19" a="1"/>
  <c r="L63" i="19" s="1"/>
  <c r="CV62" i="19"/>
  <c r="CK62" i="19"/>
  <c r="BZ62" i="19"/>
  <c r="BP62" i="19"/>
  <c r="BD62" i="19"/>
  <c r="AS62" i="19"/>
  <c r="AI62" i="19"/>
  <c r="X62" i="19"/>
  <c r="I62" i="19"/>
  <c r="CT63" i="19" a="1"/>
  <c r="CT63" i="19" s="1"/>
  <c r="BB63" i="19" a="1"/>
  <c r="BB63" i="19" s="1"/>
  <c r="AW63" i="19" a="1"/>
  <c r="AW63" i="19" s="1"/>
  <c r="AL63" i="19" a="1"/>
  <c r="AL63" i="19" s="1"/>
  <c r="AG63" i="19" a="1"/>
  <c r="AG63" i="19" s="1"/>
  <c r="V63" i="19" a="1"/>
  <c r="V63" i="19" s="1"/>
  <c r="DA62" i="19"/>
  <c r="CP62" i="19"/>
  <c r="CF62" i="19"/>
  <c r="BU62" i="19"/>
  <c r="BI62" i="19"/>
  <c r="AY62" i="19"/>
  <c r="AN62" i="19"/>
  <c r="AC62" i="19"/>
  <c r="S62" i="19"/>
  <c r="AB62" i="19"/>
  <c r="AR62" i="19"/>
  <c r="BJ62" i="19"/>
  <c r="CC62" i="19"/>
  <c r="CS62" i="19"/>
  <c r="O63" i="19" a="1"/>
  <c r="O63" i="19" s="1"/>
  <c r="X63" i="19" a="1"/>
  <c r="X63" i="19" s="1"/>
  <c r="AP63" i="19" a="1"/>
  <c r="AP63" i="19" s="1"/>
  <c r="AX63" i="19" a="1"/>
  <c r="AX63" i="19" s="1"/>
  <c r="CS71" i="19" a="1"/>
  <c r="CS71" i="19" s="1"/>
  <c r="X83" i="19" a="1"/>
  <c r="X83" i="19" s="1"/>
  <c r="CA7" i="19"/>
  <c r="CN20" i="19"/>
  <c r="CY43" i="19"/>
  <c r="BX44" i="19" a="1"/>
  <c r="BX44" i="19" s="1"/>
  <c r="BI44" i="19" a="1"/>
  <c r="BI44" i="19" s="1"/>
  <c r="AZ44" i="19" a="1"/>
  <c r="AZ44" i="19" s="1"/>
  <c r="AQ44" i="19" a="1"/>
  <c r="AQ44" i="19" s="1"/>
  <c r="AL44" i="19" a="1"/>
  <c r="AL44" i="19" s="1"/>
  <c r="AC44" i="19" a="1"/>
  <c r="AC44" i="19" s="1"/>
  <c r="T44" i="19" a="1"/>
  <c r="T44" i="19" s="1"/>
  <c r="CQ43" i="19"/>
  <c r="CA43" i="19"/>
  <c r="BJ43" i="19"/>
  <c r="BB43" i="19"/>
  <c r="AT43" i="19"/>
  <c r="AL43" i="19"/>
  <c r="AD43" i="19"/>
  <c r="V43" i="19"/>
  <c r="L43" i="19"/>
  <c r="BW44" i="19" a="1"/>
  <c r="BW44" i="19" s="1"/>
  <c r="BD44" i="19" a="1"/>
  <c r="BD44" i="19" s="1"/>
  <c r="AU44" i="19" a="1"/>
  <c r="AU44" i="19" s="1"/>
  <c r="AP44" i="19" a="1"/>
  <c r="AP44" i="19" s="1"/>
  <c r="AG44" i="19" a="1"/>
  <c r="AG44" i="19" s="1"/>
  <c r="X44" i="19" a="1"/>
  <c r="X44" i="19" s="1"/>
  <c r="N44" i="19" a="1"/>
  <c r="N44" i="19" s="1"/>
  <c r="CX43" i="19"/>
  <c r="BZ43" i="19"/>
  <c r="BR43" i="19"/>
  <c r="BI43" i="19"/>
  <c r="BA43" i="19"/>
  <c r="AS43" i="19"/>
  <c r="AK43" i="19"/>
  <c r="AC43" i="19"/>
  <c r="U43" i="19"/>
  <c r="I43" i="19"/>
  <c r="AG43" i="19"/>
  <c r="BC43" i="19"/>
  <c r="AM44" i="19" a="1"/>
  <c r="AM44" i="19" s="1"/>
  <c r="CX80" i="19" a="1"/>
  <c r="CX80" i="19" s="1"/>
  <c r="CB7" i="19"/>
  <c r="CR7" i="19"/>
  <c r="BT10" i="19"/>
  <c r="CR10" i="19"/>
  <c r="CR43" i="19" s="1"/>
  <c r="CB13" i="19"/>
  <c r="CZ13" i="19"/>
  <c r="CZ63" i="19" s="1" a="1"/>
  <c r="CZ63" i="19" s="1"/>
  <c r="AB83" i="19" a="1"/>
  <c r="AB83" i="19" s="1"/>
  <c r="AB89" i="19" a="1"/>
  <c r="AB89" i="19" s="1"/>
  <c r="AB86" i="19" a="1"/>
  <c r="AB86" i="19" s="1"/>
  <c r="AB74" i="19" a="1"/>
  <c r="AB74" i="19" s="1"/>
  <c r="AB92" i="19" a="1"/>
  <c r="AB92" i="19" s="1"/>
  <c r="AB80" i="19" a="1"/>
  <c r="AB80" i="19" s="1"/>
  <c r="CE15" i="19"/>
  <c r="CE49" i="19" s="1"/>
  <c r="DC15" i="19"/>
  <c r="BQ20" i="19"/>
  <c r="CO20" i="19"/>
  <c r="BW21" i="19"/>
  <c r="BW47" i="19" s="1" a="1"/>
  <c r="BW47" i="19" s="1"/>
  <c r="CU21" i="19"/>
  <c r="BN32" i="19"/>
  <c r="BX32" i="19"/>
  <c r="BX43" i="19" s="1"/>
  <c r="CT32" i="19"/>
  <c r="I16" i="22" a="1"/>
  <c r="I16" i="22" s="1"/>
  <c r="I8" i="22" a="1"/>
  <c r="I8" i="22" s="1"/>
  <c r="I19" i="22" a="1"/>
  <c r="I19" i="22" s="1"/>
  <c r="I11" i="22" a="1"/>
  <c r="I11" i="22" s="1"/>
  <c r="I14" i="22" a="1"/>
  <c r="I14" i="22" s="1"/>
  <c r="I17" i="22" a="1"/>
  <c r="I17" i="22" s="1"/>
  <c r="I9" i="22" a="1"/>
  <c r="I9" i="22" s="1"/>
  <c r="H6" i="22"/>
  <c r="I20" i="22" a="1"/>
  <c r="I20" i="22" s="1"/>
  <c r="I12" i="22" a="1"/>
  <c r="I12" i="22" s="1"/>
  <c r="I15" i="22" a="1"/>
  <c r="I15" i="22" s="1"/>
  <c r="I18" i="22" a="1"/>
  <c r="I18" i="22" s="1"/>
  <c r="I10" i="22" a="1"/>
  <c r="I10" i="22" s="1"/>
  <c r="I21" i="22" a="1"/>
  <c r="I21" i="22" s="1"/>
  <c r="I13" i="22" a="1"/>
  <c r="I13" i="22" s="1"/>
  <c r="I7" i="22" a="1"/>
  <c r="I7" i="22" s="1"/>
  <c r="I6" i="22" a="1"/>
  <c r="I6" i="22" s="1"/>
  <c r="L89" i="19" a="1"/>
  <c r="L89" i="19" s="1"/>
  <c r="L92" i="19" a="1"/>
  <c r="L92" i="19" s="1"/>
  <c r="L83" i="19" a="1"/>
  <c r="L83" i="19" s="1"/>
  <c r="L71" i="19" a="1"/>
  <c r="L71" i="19" s="1"/>
  <c r="L66" i="19" a="1"/>
  <c r="L66" i="19" s="1"/>
  <c r="BL5" i="19"/>
  <c r="BL41" i="19" s="1" a="1"/>
  <c r="BL41" i="19" s="1"/>
  <c r="BT5" i="19"/>
  <c r="CB5" i="19"/>
  <c r="CB50" i="19" s="1" a="1"/>
  <c r="CB50" i="19" s="1"/>
  <c r="CJ5" i="19"/>
  <c r="CR5" i="19"/>
  <c r="CZ5" i="19"/>
  <c r="BV7" i="19"/>
  <c r="CD7" i="19"/>
  <c r="CL7" i="19"/>
  <c r="CL50" i="19" s="1" a="1"/>
  <c r="CL50" i="19" s="1"/>
  <c r="CT7" i="19"/>
  <c r="CT38" i="19" s="1"/>
  <c r="BL9" i="19"/>
  <c r="BL58" i="19" s="1" a="1"/>
  <c r="BL58" i="19" s="1"/>
  <c r="BT9" i="19"/>
  <c r="CB9" i="19"/>
  <c r="CJ9" i="19"/>
  <c r="CR9" i="19"/>
  <c r="BV10" i="19"/>
  <c r="CD10" i="19"/>
  <c r="CL10" i="19"/>
  <c r="CT10" i="19"/>
  <c r="H9" i="22"/>
  <c r="BS12" i="19"/>
  <c r="CA12" i="19"/>
  <c r="CA49" i="19" s="1"/>
  <c r="CI12" i="19"/>
  <c r="CQ12" i="19"/>
  <c r="CQ49" i="19" s="1"/>
  <c r="CY12" i="19"/>
  <c r="CY49" i="19" s="1"/>
  <c r="P13" i="19"/>
  <c r="BV13" i="19"/>
  <c r="BV46" i="19" s="1"/>
  <c r="CD13" i="19"/>
  <c r="CL13" i="19"/>
  <c r="CT13" i="19"/>
  <c r="AD89" i="19" a="1"/>
  <c r="AD89" i="19" s="1"/>
  <c r="AD83" i="19" a="1"/>
  <c r="AD83" i="19" s="1"/>
  <c r="AD92" i="19" a="1"/>
  <c r="AD92" i="19" s="1"/>
  <c r="AD77" i="19" a="1"/>
  <c r="AD77" i="19" s="1"/>
  <c r="AD66" i="19" a="1"/>
  <c r="AD66" i="19" s="1"/>
  <c r="P15" i="19"/>
  <c r="P49" i="19" s="1"/>
  <c r="BY15" i="19"/>
  <c r="CG15" i="19"/>
  <c r="CG49" i="19" s="1"/>
  <c r="CO15" i="19"/>
  <c r="CO49" i="19" s="1"/>
  <c r="BZ16" i="19"/>
  <c r="BZ92" i="19" s="1" a="1"/>
  <c r="BZ92" i="19" s="1"/>
  <c r="CH16" i="19"/>
  <c r="CP16" i="19"/>
  <c r="BV18" i="19"/>
  <c r="CD18" i="19"/>
  <c r="CL18" i="19"/>
  <c r="CT18" i="19"/>
  <c r="CA20" i="19"/>
  <c r="CI20" i="19"/>
  <c r="CQ20" i="19"/>
  <c r="P21" i="19"/>
  <c r="BY21" i="19"/>
  <c r="BY50" i="19" s="1" a="1"/>
  <c r="BY50" i="19" s="1"/>
  <c r="CG21" i="19"/>
  <c r="CO21" i="19"/>
  <c r="BW22" i="19"/>
  <c r="BW46" i="19" s="1"/>
  <c r="CE22" i="19"/>
  <c r="CM22" i="19"/>
  <c r="CM46" i="19" s="1"/>
  <c r="CU22" i="19"/>
  <c r="BQ24" i="19"/>
  <c r="BQ40" i="19" s="1"/>
  <c r="BY24" i="19"/>
  <c r="BY40" i="19" s="1"/>
  <c r="CG24" i="19"/>
  <c r="CO24" i="19"/>
  <c r="CZ25" i="19"/>
  <c r="CR25" i="19"/>
  <c r="CJ25" i="19"/>
  <c r="CJ74" i="19" s="1" a="1"/>
  <c r="CJ74" i="19" s="1"/>
  <c r="CB25" i="19"/>
  <c r="BV25" i="19"/>
  <c r="BV40" i="19" s="1"/>
  <c r="CE25" i="19"/>
  <c r="CE40" i="19" s="1"/>
  <c r="CN25" i="19"/>
  <c r="CW25" i="19"/>
  <c r="BZ32" i="19"/>
  <c r="CL32" i="19"/>
  <c r="CV32" i="19"/>
  <c r="BO33" i="19"/>
  <c r="BO43" i="19" s="1"/>
  <c r="BY33" i="19"/>
  <c r="CI33" i="19"/>
  <c r="CU33" i="19"/>
  <c r="CZ34" i="19"/>
  <c r="CR34" i="19"/>
  <c r="CJ34" i="19"/>
  <c r="CB34" i="19"/>
  <c r="CB92" i="19" s="1" a="1"/>
  <c r="CB92" i="19" s="1"/>
  <c r="CY34" i="19"/>
  <c r="CQ34" i="19"/>
  <c r="CI34" i="19"/>
  <c r="CA34" i="19"/>
  <c r="BZ34" i="19"/>
  <c r="CL34" i="19"/>
  <c r="CV34" i="19"/>
  <c r="BV35" i="19"/>
  <c r="CF35" i="19"/>
  <c r="CP35" i="19"/>
  <c r="DB35" i="19"/>
  <c r="S37" i="19"/>
  <c r="AC37" i="19"/>
  <c r="AF38" i="19"/>
  <c r="H40" i="19"/>
  <c r="V40" i="19"/>
  <c r="AF40" i="19"/>
  <c r="AR40" i="19"/>
  <c r="BB40" i="19"/>
  <c r="CI40" i="19"/>
  <c r="CS40" i="19"/>
  <c r="O43" i="19"/>
  <c r="Z43" i="19"/>
  <c r="AJ43" i="19"/>
  <c r="AV43" i="19"/>
  <c r="BF43" i="19"/>
  <c r="BQ43" i="19"/>
  <c r="CM43" i="19"/>
  <c r="CW43" i="19"/>
  <c r="V44" i="19" a="1"/>
  <c r="V44" i="19" s="1"/>
  <c r="AB44" i="19" a="1"/>
  <c r="AB44" i="19" s="1"/>
  <c r="AI44" i="19" a="1"/>
  <c r="AI44" i="19" s="1"/>
  <c r="AT44" i="19" a="1"/>
  <c r="AT44" i="19" s="1"/>
  <c r="BA44" i="19" a="1"/>
  <c r="BA44" i="19" s="1"/>
  <c r="BG44" i="19" a="1"/>
  <c r="BG44" i="19" s="1"/>
  <c r="Z47" i="19" a="1"/>
  <c r="Z47" i="19" s="1"/>
  <c r="N54" i="19"/>
  <c r="AC54" i="19"/>
  <c r="AN54" i="19"/>
  <c r="AZ54" i="19"/>
  <c r="BN54" i="19"/>
  <c r="BZ54" i="19"/>
  <c r="CK54" i="19"/>
  <c r="CY54" i="19"/>
  <c r="O55" i="19" a="1"/>
  <c r="O55" i="19" s="1"/>
  <c r="V55" i="19" a="1"/>
  <c r="V55" i="19" s="1"/>
  <c r="AC55" i="19" a="1"/>
  <c r="AC55" i="19" s="1"/>
  <c r="AN55" i="19" a="1"/>
  <c r="AN55" i="19" s="1"/>
  <c r="AU55" i="19" a="1"/>
  <c r="AU55" i="19" s="1"/>
  <c r="BA55" i="19" a="1"/>
  <c r="BA55" i="19" s="1"/>
  <c r="H57" i="19"/>
  <c r="X57" i="19"/>
  <c r="AK57" i="19"/>
  <c r="AW57" i="19"/>
  <c r="BH57" i="19"/>
  <c r="BW57" i="19"/>
  <c r="CH57" i="19"/>
  <c r="CT57" i="19"/>
  <c r="N58" i="19" a="1"/>
  <c r="N58" i="19" s="1"/>
  <c r="AA58" i="19" a="1"/>
  <c r="AA58" i="19" s="1"/>
  <c r="AI58" i="19" a="1"/>
  <c r="AI58" i="19" s="1"/>
  <c r="AP58" i="19" a="1"/>
  <c r="AP58" i="19" s="1"/>
  <c r="AW58" i="19" a="1"/>
  <c r="AW58" i="19" s="1"/>
  <c r="BW58" i="19" a="1"/>
  <c r="BW58" i="19" s="1"/>
  <c r="H62" i="19"/>
  <c r="AD62" i="19"/>
  <c r="AV62" i="19"/>
  <c r="BM62" i="19"/>
  <c r="CD62" i="19"/>
  <c r="CT62" i="19"/>
  <c r="Z63" i="19" a="1"/>
  <c r="Z63" i="19" s="1"/>
  <c r="AH63" i="19" a="1"/>
  <c r="AH63" i="19" s="1"/>
  <c r="BH63" i="19" a="1"/>
  <c r="BH63" i="19" s="1"/>
  <c r="BR63" i="19" a="1"/>
  <c r="BR63" i="19" s="1"/>
  <c r="AB66" i="19" a="1"/>
  <c r="AB66" i="19" s="1"/>
  <c r="AA80" i="19" a="1"/>
  <c r="AA80" i="19" s="1"/>
  <c r="DB66" i="19" a="1"/>
  <c r="DB66" i="19" s="1"/>
  <c r="CN29" i="19"/>
  <c r="CV29" i="19"/>
  <c r="CD30" i="19"/>
  <c r="CL30" i="19"/>
  <c r="CT30" i="19"/>
  <c r="DB30" i="19"/>
  <c r="S46" i="19"/>
  <c r="AB46" i="19"/>
  <c r="AK46" i="19"/>
  <c r="AT46" i="19"/>
  <c r="BC46" i="19"/>
  <c r="CO46" i="19"/>
  <c r="CX46" i="19"/>
  <c r="S47" i="19" a="1"/>
  <c r="S47" i="19" s="1"/>
  <c r="AB47" i="19" a="1"/>
  <c r="AB47" i="19" s="1"/>
  <c r="AG47" i="19" a="1"/>
  <c r="AG47" i="19" s="1"/>
  <c r="AP47" i="19" a="1"/>
  <c r="AP47" i="19" s="1"/>
  <c r="AY47" i="19" a="1"/>
  <c r="AY47" i="19" s="1"/>
  <c r="BH47" i="19" a="1"/>
  <c r="BH47" i="19" s="1"/>
  <c r="V70" i="19"/>
  <c r="AI70" i="19"/>
  <c r="AV70" i="19"/>
  <c r="BI70" i="19"/>
  <c r="BV70" i="19"/>
  <c r="CI70" i="19"/>
  <c r="CV70" i="19"/>
  <c r="V71" i="19" a="1"/>
  <c r="V71" i="19" s="1"/>
  <c r="AB71" i="19" a="1"/>
  <c r="AB71" i="19" s="1"/>
  <c r="AO71" i="19" a="1"/>
  <c r="AO71" i="19" s="1"/>
  <c r="BB71" i="19" a="1"/>
  <c r="BB71" i="19" s="1"/>
  <c r="BH71" i="19" a="1"/>
  <c r="BH71" i="19" s="1"/>
  <c r="BY29" i="19"/>
  <c r="BY43" i="19" s="1"/>
  <c r="CG29" i="19"/>
  <c r="CO29" i="19"/>
  <c r="BW30" i="19"/>
  <c r="CE30" i="19"/>
  <c r="CM30" i="19"/>
  <c r="CU30" i="19"/>
  <c r="DC46" i="19"/>
  <c r="CE46" i="19"/>
  <c r="BO46" i="19"/>
  <c r="BF46" i="19"/>
  <c r="AX46" i="19"/>
  <c r="AP46" i="19"/>
  <c r="AH46" i="19"/>
  <c r="Z46" i="19"/>
  <c r="Q46" i="19"/>
  <c r="T46" i="19"/>
  <c r="AC46" i="19"/>
  <c r="AL46" i="19"/>
  <c r="AU46" i="19"/>
  <c r="BD46" i="19"/>
  <c r="BN46" i="19"/>
  <c r="BX46" i="19"/>
  <c r="CG46" i="19"/>
  <c r="CY46" i="19"/>
  <c r="N47" i="19" a="1"/>
  <c r="N47" i="19" s="1"/>
  <c r="X47" i="19" a="1"/>
  <c r="X47" i="19" s="1"/>
  <c r="AC47" i="19" a="1"/>
  <c r="AC47" i="19" s="1"/>
  <c r="AL47" i="19" a="1"/>
  <c r="AL47" i="19" s="1"/>
  <c r="AU47" i="19" a="1"/>
  <c r="AU47" i="19" s="1"/>
  <c r="BD47" i="19" a="1"/>
  <c r="BD47" i="19" s="1"/>
  <c r="BI47" i="19" a="1"/>
  <c r="BI47" i="19" s="1"/>
  <c r="CW71" i="19" a="1"/>
  <c r="CW71" i="19" s="1"/>
  <c r="BG71" i="19" a="1"/>
  <c r="BG71" i="19" s="1"/>
  <c r="BC71" i="19" a="1"/>
  <c r="BC71" i="19" s="1"/>
  <c r="AY71" i="19" a="1"/>
  <c r="AY71" i="19" s="1"/>
  <c r="AU71" i="19" a="1"/>
  <c r="AU71" i="19" s="1"/>
  <c r="AQ71" i="19" a="1"/>
  <c r="AQ71" i="19" s="1"/>
  <c r="AM71" i="19" a="1"/>
  <c r="AM71" i="19" s="1"/>
  <c r="AI71" i="19" a="1"/>
  <c r="AI71" i="19" s="1"/>
  <c r="AE71" i="19" a="1"/>
  <c r="AE71" i="19" s="1"/>
  <c r="AA71" i="19" a="1"/>
  <c r="AA71" i="19" s="1"/>
  <c r="W71" i="19" a="1"/>
  <c r="W71" i="19" s="1"/>
  <c r="S71" i="19" a="1"/>
  <c r="S71" i="19" s="1"/>
  <c r="N71" i="19" a="1"/>
  <c r="N71" i="19" s="1"/>
  <c r="CZ70" i="19"/>
  <c r="CR70" i="19"/>
  <c r="CJ70" i="19"/>
  <c r="CB70" i="19"/>
  <c r="BT70" i="19"/>
  <c r="BL70" i="19"/>
  <c r="BC70" i="19"/>
  <c r="AU70" i="19"/>
  <c r="AM70" i="19"/>
  <c r="AE70" i="19"/>
  <c r="W70" i="19"/>
  <c r="N70" i="19"/>
  <c r="CE71" i="19" a="1"/>
  <c r="CE71" i="19" s="1"/>
  <c r="CW70" i="19"/>
  <c r="CO70" i="19"/>
  <c r="CG70" i="19"/>
  <c r="BY70" i="19"/>
  <c r="BQ70" i="19"/>
  <c r="BH70" i="19"/>
  <c r="AZ70" i="19"/>
  <c r="AR70" i="19"/>
  <c r="AJ70" i="19"/>
  <c r="AB70" i="19"/>
  <c r="T70" i="19"/>
  <c r="H70" i="19"/>
  <c r="DC70" i="19"/>
  <c r="CU70" i="19"/>
  <c r="CM70" i="19"/>
  <c r="CE70" i="19"/>
  <c r="BW70" i="19"/>
  <c r="BO70" i="19"/>
  <c r="BF70" i="19"/>
  <c r="AX70" i="19"/>
  <c r="AP70" i="19"/>
  <c r="AH70" i="19"/>
  <c r="Z70" i="19"/>
  <c r="Q70" i="19"/>
  <c r="X70" i="19"/>
  <c r="AK70" i="19"/>
  <c r="AW70" i="19"/>
  <c r="BJ70" i="19"/>
  <c r="BX70" i="19"/>
  <c r="CK70" i="19"/>
  <c r="CX70" i="19"/>
  <c r="O71" i="19" a="1"/>
  <c r="O71" i="19" s="1"/>
  <c r="AC71" i="19" a="1"/>
  <c r="AC71" i="19" s="1"/>
  <c r="AP71" i="19" a="1"/>
  <c r="AP71" i="19" s="1"/>
  <c r="AV71" i="19" a="1"/>
  <c r="AV71" i="19" s="1"/>
  <c r="BI71" i="19" a="1"/>
  <c r="BI71" i="19" s="1"/>
  <c r="BW71" i="19" a="1"/>
  <c r="BW71" i="19" s="1"/>
  <c r="L65" i="19"/>
  <c r="V65" i="19"/>
  <c r="AD65" i="19"/>
  <c r="AL65" i="19"/>
  <c r="AT65" i="19"/>
  <c r="BB65" i="19"/>
  <c r="BJ65" i="19"/>
  <c r="BS65" i="19"/>
  <c r="CA65" i="19"/>
  <c r="CI65" i="19"/>
  <c r="CQ65" i="19"/>
  <c r="CY65" i="19"/>
  <c r="DA73" i="19"/>
  <c r="CS73" i="19"/>
  <c r="CK73" i="19"/>
  <c r="CC73" i="19"/>
  <c r="BU73" i="19"/>
  <c r="BM73" i="19"/>
  <c r="BD73" i="19"/>
  <c r="AV73" i="19"/>
  <c r="AN73" i="19"/>
  <c r="AF73" i="19"/>
  <c r="X73" i="19"/>
  <c r="O73" i="19"/>
  <c r="CS74" i="19" a="1"/>
  <c r="CS74" i="19" s="1"/>
  <c r="BG74" i="19" a="1"/>
  <c r="BG74" i="19" s="1"/>
  <c r="AX74" i="19" a="1"/>
  <c r="AX74" i="19" s="1"/>
  <c r="AO74" i="19" a="1"/>
  <c r="AO74" i="19" s="1"/>
  <c r="AF74" i="19" a="1"/>
  <c r="AF74" i="19" s="1"/>
  <c r="AA74" i="19" a="1"/>
  <c r="AA74" i="19" s="1"/>
  <c r="Q74" i="19" a="1"/>
  <c r="Q74" i="19" s="1"/>
  <c r="CV73" i="19"/>
  <c r="CM73" i="19"/>
  <c r="CD73" i="19"/>
  <c r="BT73" i="19"/>
  <c r="BJ73" i="19"/>
  <c r="BA73" i="19"/>
  <c r="AR73" i="19"/>
  <c r="AI73" i="19"/>
  <c r="Z73" i="19"/>
  <c r="P73" i="19"/>
  <c r="BX74" i="19" a="1"/>
  <c r="BX74" i="19" s="1"/>
  <c r="BE74" i="19" a="1"/>
  <c r="BE74" i="19" s="1"/>
  <c r="AV74" i="19" a="1"/>
  <c r="AV74" i="19" s="1"/>
  <c r="AQ74" i="19" a="1"/>
  <c r="AQ74" i="19" s="1"/>
  <c r="AH74" i="19" a="1"/>
  <c r="AH74" i="19" s="1"/>
  <c r="Y74" i="19" a="1"/>
  <c r="Y74" i="19" s="1"/>
  <c r="O74" i="19" a="1"/>
  <c r="O74" i="19" s="1"/>
  <c r="CZ73" i="19"/>
  <c r="CQ73" i="19"/>
  <c r="CH73" i="19"/>
  <c r="BY73" i="19"/>
  <c r="BP73" i="19"/>
  <c r="BF73" i="19"/>
  <c r="AW73" i="19"/>
  <c r="AM73" i="19"/>
  <c r="AD73" i="19"/>
  <c r="U73" i="19"/>
  <c r="H73" i="19"/>
  <c r="W73" i="19"/>
  <c r="AJ73" i="19"/>
  <c r="AU73" i="19"/>
  <c r="BH73" i="19"/>
  <c r="BV73" i="19"/>
  <c r="CG73" i="19"/>
  <c r="CT73" i="19"/>
  <c r="L74" i="19" a="1"/>
  <c r="L74" i="19" s="1"/>
  <c r="T74" i="19" a="1"/>
  <c r="T74" i="19" s="1"/>
  <c r="Z74" i="19" a="1"/>
  <c r="Z74" i="19" s="1"/>
  <c r="AL74" i="19" a="1"/>
  <c r="AL74" i="19" s="1"/>
  <c r="BR74" i="19" a="1"/>
  <c r="BR74" i="19" s="1"/>
  <c r="U85" i="19"/>
  <c r="AQ85" i="19"/>
  <c r="BN85" i="19"/>
  <c r="CH85" i="19"/>
  <c r="I86" i="19" a="1"/>
  <c r="I86" i="19" s="1"/>
  <c r="X86" i="19" a="1"/>
  <c r="X86" i="19" s="1"/>
  <c r="AH86" i="19" a="1"/>
  <c r="AH86" i="19" s="1"/>
  <c r="AS86" i="19" a="1"/>
  <c r="AS86" i="19" s="1"/>
  <c r="BD86" i="19" a="1"/>
  <c r="BD86" i="19" s="1"/>
  <c r="V85" i="19"/>
  <c r="AR85" i="19"/>
  <c r="BO85" i="19"/>
  <c r="CI85" i="19"/>
  <c r="AB85" i="19"/>
  <c r="AX85" i="19"/>
  <c r="BS85" i="19"/>
  <c r="CO85" i="19"/>
  <c r="BE83" i="20" a="1"/>
  <c r="BE83" i="20" s="1"/>
  <c r="BE80" i="20" a="1"/>
  <c r="BE80" i="20" s="1"/>
  <c r="BE74" i="20" a="1"/>
  <c r="BE74" i="20" s="1"/>
  <c r="BE37" i="20"/>
  <c r="BE59" i="20" a="1"/>
  <c r="BE59" i="20" s="1"/>
  <c r="BE47" i="20" a="1"/>
  <c r="BE47" i="20" s="1"/>
  <c r="BE71" i="20" a="1"/>
  <c r="BE71" i="20" s="1"/>
  <c r="BE38" i="20"/>
  <c r="BE41" i="20" a="1"/>
  <c r="BE41" i="20" s="1"/>
  <c r="BM83" i="20" a="1"/>
  <c r="BM83" i="20" s="1"/>
  <c r="BM37" i="20"/>
  <c r="BM71" i="20" a="1"/>
  <c r="BM71" i="20" s="1"/>
  <c r="BM38" i="20"/>
  <c r="BM47" i="20" a="1"/>
  <c r="BM47" i="20" s="1"/>
  <c r="BM41" i="20" a="1"/>
  <c r="BM41" i="20" s="1"/>
  <c r="BU77" i="20" a="1"/>
  <c r="BU77" i="20" s="1"/>
  <c r="BU74" i="20" a="1"/>
  <c r="BU74" i="20" s="1"/>
  <c r="BU37" i="20"/>
  <c r="BU71" i="20" a="1"/>
  <c r="BU71" i="20" s="1"/>
  <c r="BU59" i="20" a="1"/>
  <c r="BU59" i="20" s="1"/>
  <c r="BU56" i="20" a="1"/>
  <c r="BU56" i="20" s="1"/>
  <c r="BU41" i="20" a="1"/>
  <c r="BU41" i="20" s="1"/>
  <c r="BU38" i="20"/>
  <c r="BU47" i="20" a="1"/>
  <c r="BU47" i="20" s="1"/>
  <c r="CC77" i="20" a="1"/>
  <c r="CC77" i="20" s="1"/>
  <c r="CC37" i="20"/>
  <c r="CC41" i="20" a="1"/>
  <c r="CC41" i="20" s="1"/>
  <c r="CC47" i="20" a="1"/>
  <c r="CC47" i="20" s="1"/>
  <c r="CC38" i="20"/>
  <c r="CK71" i="20" a="1"/>
  <c r="CK71" i="20" s="1"/>
  <c r="CK37" i="20"/>
  <c r="CK38" i="20"/>
  <c r="CK47" i="20" a="1"/>
  <c r="CK47" i="20" s="1"/>
  <c r="CS74" i="20" a="1"/>
  <c r="CS74" i="20" s="1"/>
  <c r="CS71" i="20" a="1"/>
  <c r="CS71" i="20" s="1"/>
  <c r="CS37" i="20"/>
  <c r="CS68" i="20" a="1"/>
  <c r="CS68" i="20" s="1"/>
  <c r="CS47" i="20" a="1"/>
  <c r="CS47" i="20" s="1"/>
  <c r="CS41" i="20" a="1"/>
  <c r="CS41" i="20" s="1"/>
  <c r="CS38" i="20"/>
  <c r="BP46" i="20"/>
  <c r="BP37" i="20"/>
  <c r="BX37" i="20"/>
  <c r="BX46" i="20"/>
  <c r="CF46" i="20"/>
  <c r="CF37" i="20"/>
  <c r="CI37" i="20"/>
  <c r="CI56" i="20" a="1"/>
  <c r="CI56" i="20" s="1"/>
  <c r="CI47" i="20" a="1"/>
  <c r="CI47" i="20" s="1"/>
  <c r="DA85" i="19"/>
  <c r="CS85" i="19"/>
  <c r="CK85" i="19"/>
  <c r="CC85" i="19"/>
  <c r="BU85" i="19"/>
  <c r="BM85" i="19"/>
  <c r="BD85" i="19"/>
  <c r="AV85" i="19"/>
  <c r="AN85" i="19"/>
  <c r="AF85" i="19"/>
  <c r="X85" i="19"/>
  <c r="O85" i="19"/>
  <c r="CN86" i="19" a="1"/>
  <c r="CN86" i="19" s="1"/>
  <c r="BG86" i="19" a="1"/>
  <c r="BG86" i="19" s="1"/>
  <c r="BC86" i="19" a="1"/>
  <c r="BC86" i="19" s="1"/>
  <c r="AY86" i="19" a="1"/>
  <c r="AY86" i="19" s="1"/>
  <c r="AU86" i="19" a="1"/>
  <c r="AU86" i="19" s="1"/>
  <c r="AQ86" i="19" a="1"/>
  <c r="AQ86" i="19" s="1"/>
  <c r="AM86" i="19" a="1"/>
  <c r="AM86" i="19" s="1"/>
  <c r="AI86" i="19" a="1"/>
  <c r="AI86" i="19" s="1"/>
  <c r="AE86" i="19" a="1"/>
  <c r="AE86" i="19" s="1"/>
  <c r="AA86" i="19" a="1"/>
  <c r="AA86" i="19" s="1"/>
  <c r="W86" i="19" a="1"/>
  <c r="W86" i="19" s="1"/>
  <c r="S86" i="19" a="1"/>
  <c r="S86" i="19" s="1"/>
  <c r="N86" i="19" a="1"/>
  <c r="N86" i="19" s="1"/>
  <c r="CZ85" i="19"/>
  <c r="CR85" i="19"/>
  <c r="CJ85" i="19"/>
  <c r="CB85" i="19"/>
  <c r="BT85" i="19"/>
  <c r="BL85" i="19"/>
  <c r="BC85" i="19"/>
  <c r="AU85" i="19"/>
  <c r="AM85" i="19"/>
  <c r="AE85" i="19"/>
  <c r="W85" i="19"/>
  <c r="N85" i="19"/>
  <c r="CM86" i="19" a="1"/>
  <c r="CM86" i="19" s="1"/>
  <c r="BF86" i="19" a="1"/>
  <c r="BF86" i="19" s="1"/>
  <c r="BA86" i="19" a="1"/>
  <c r="BA86" i="19" s="1"/>
  <c r="AV86" i="19" a="1"/>
  <c r="AV86" i="19" s="1"/>
  <c r="AP86" i="19" a="1"/>
  <c r="AP86" i="19" s="1"/>
  <c r="AK86" i="19" a="1"/>
  <c r="AK86" i="19" s="1"/>
  <c r="AF86" i="19" a="1"/>
  <c r="AF86" i="19" s="1"/>
  <c r="Z86" i="19" a="1"/>
  <c r="Z86" i="19" s="1"/>
  <c r="U86" i="19" a="1"/>
  <c r="U86" i="19" s="1"/>
  <c r="O86" i="19" a="1"/>
  <c r="O86" i="19" s="1"/>
  <c r="CX85" i="19"/>
  <c r="CN85" i="19"/>
  <c r="CD85" i="19"/>
  <c r="BR85" i="19"/>
  <c r="BG85" i="19"/>
  <c r="AW85" i="19"/>
  <c r="AK85" i="19"/>
  <c r="AA85" i="19"/>
  <c r="P85" i="19"/>
  <c r="CS86" i="19" a="1"/>
  <c r="CS86" i="19" s="1"/>
  <c r="CW85" i="19"/>
  <c r="CM85" i="19"/>
  <c r="CA85" i="19"/>
  <c r="BQ85" i="19"/>
  <c r="BF85" i="19"/>
  <c r="AT85" i="19"/>
  <c r="AJ85" i="19"/>
  <c r="Z85" i="19"/>
  <c r="L85" i="19"/>
  <c r="BY86" i="19" a="1"/>
  <c r="BY86" i="19" s="1"/>
  <c r="BR86" i="19" a="1"/>
  <c r="BR86" i="19" s="1"/>
  <c r="BE86" i="19" a="1"/>
  <c r="BE86" i="19" s="1"/>
  <c r="AZ86" i="19" a="1"/>
  <c r="AZ86" i="19" s="1"/>
  <c r="AT86" i="19" a="1"/>
  <c r="AT86" i="19" s="1"/>
  <c r="AO86" i="19" a="1"/>
  <c r="AO86" i="19" s="1"/>
  <c r="AJ86" i="19" a="1"/>
  <c r="AJ86" i="19" s="1"/>
  <c r="AD86" i="19" a="1"/>
  <c r="AD86" i="19" s="1"/>
  <c r="Y86" i="19" a="1"/>
  <c r="Y86" i="19" s="1"/>
  <c r="T86" i="19" a="1"/>
  <c r="T86" i="19" s="1"/>
  <c r="L86" i="19" a="1"/>
  <c r="L86" i="19" s="1"/>
  <c r="CV85" i="19"/>
  <c r="CL85" i="19"/>
  <c r="BZ85" i="19"/>
  <c r="BP85" i="19"/>
  <c r="BE85" i="19"/>
  <c r="AS85" i="19"/>
  <c r="AI85" i="19"/>
  <c r="Y85" i="19"/>
  <c r="I85" i="19"/>
  <c r="DC85" i="19"/>
  <c r="CQ85" i="19"/>
  <c r="CG85" i="19"/>
  <c r="BW85" i="19"/>
  <c r="BJ85" i="19"/>
  <c r="AZ85" i="19"/>
  <c r="AP85" i="19"/>
  <c r="AD85" i="19"/>
  <c r="T85" i="19"/>
  <c r="AG85" i="19"/>
  <c r="BA85" i="19"/>
  <c r="BX85" i="19"/>
  <c r="CT85" i="19"/>
  <c r="Q86" i="19" a="1"/>
  <c r="Q86" i="19" s="1"/>
  <c r="AC86" i="19" a="1"/>
  <c r="AC86" i="19" s="1"/>
  <c r="AN86" i="19" a="1"/>
  <c r="AN86" i="19" s="1"/>
  <c r="AX86" i="19" a="1"/>
  <c r="AX86" i="19" s="1"/>
  <c r="BI86" i="19" a="1"/>
  <c r="BI86" i="19" s="1"/>
  <c r="BW86" i="19" a="1"/>
  <c r="BW86" i="19" s="1"/>
  <c r="CW86" i="19" a="1"/>
  <c r="CW86" i="19" s="1"/>
  <c r="BF77" i="20" a="1"/>
  <c r="BF77" i="20" s="1"/>
  <c r="BF56" i="20" a="1"/>
  <c r="BF56" i="20" s="1"/>
  <c r="BF40" i="20"/>
  <c r="BF38" i="20"/>
  <c r="BF41" i="20" a="1"/>
  <c r="BF41" i="20" s="1"/>
  <c r="BF37" i="20"/>
  <c r="BF53" i="20" a="1"/>
  <c r="BF53" i="20" s="1"/>
  <c r="BN86" i="20" a="1"/>
  <c r="BN86" i="20" s="1"/>
  <c r="BN74" i="20" a="1"/>
  <c r="BN74" i="20" s="1"/>
  <c r="BN38" i="20"/>
  <c r="BN37" i="20"/>
  <c r="BN53" i="20" a="1"/>
  <c r="BN53" i="20" s="1"/>
  <c r="BN41" i="20" a="1"/>
  <c r="BN41" i="20" s="1"/>
  <c r="BN40" i="20"/>
  <c r="BV74" i="20" a="1"/>
  <c r="BV74" i="20" s="1"/>
  <c r="BV40" i="20"/>
  <c r="BV41" i="20" a="1"/>
  <c r="BV41" i="20" s="1"/>
  <c r="BV38" i="20"/>
  <c r="BV37" i="20"/>
  <c r="BV53" i="20" a="1"/>
  <c r="BV53" i="20" s="1"/>
  <c r="CD77" i="20" a="1"/>
  <c r="CD77" i="20" s="1"/>
  <c r="CD41" i="20" a="1"/>
  <c r="CD41" i="20" s="1"/>
  <c r="CD53" i="20" a="1"/>
  <c r="CD53" i="20" s="1"/>
  <c r="CD40" i="20"/>
  <c r="CD38" i="20"/>
  <c r="CD37" i="20"/>
  <c r="CL83" i="20" a="1"/>
  <c r="CL83" i="20" s="1"/>
  <c r="CL77" i="20" a="1"/>
  <c r="CL77" i="20" s="1"/>
  <c r="CL74" i="20" a="1"/>
  <c r="CL74" i="20" s="1"/>
  <c r="CL38" i="20"/>
  <c r="CL37" i="20"/>
  <c r="CL41" i="20" a="1"/>
  <c r="CL41" i="20" s="1"/>
  <c r="CL53" i="20" a="1"/>
  <c r="CL53" i="20" s="1"/>
  <c r="CT83" i="20" a="1"/>
  <c r="CT83" i="20" s="1"/>
  <c r="CT40" i="20"/>
  <c r="CT53" i="20" a="1"/>
  <c r="CT53" i="20" s="1"/>
  <c r="CT41" i="20" a="1"/>
  <c r="CT41" i="20" s="1"/>
  <c r="CT38" i="20"/>
  <c r="CT37" i="20"/>
  <c r="BK49" i="20"/>
  <c r="CA49" i="20"/>
  <c r="CQ49" i="20"/>
  <c r="S65" i="19"/>
  <c r="AA65" i="19"/>
  <c r="AI65" i="19"/>
  <c r="AQ65" i="19"/>
  <c r="AY65" i="19"/>
  <c r="BG65" i="19"/>
  <c r="BP65" i="19"/>
  <c r="BX65" i="19"/>
  <c r="CF65" i="19"/>
  <c r="CN65" i="19"/>
  <c r="CV65" i="19"/>
  <c r="I66" i="19" a="1"/>
  <c r="I66" i="19" s="1"/>
  <c r="U66" i="19" a="1"/>
  <c r="U66" i="19" s="1"/>
  <c r="Y66" i="19" a="1"/>
  <c r="Y66" i="19" s="1"/>
  <c r="AC66" i="19" a="1"/>
  <c r="AC66" i="19" s="1"/>
  <c r="AG66" i="19" a="1"/>
  <c r="AG66" i="19" s="1"/>
  <c r="AK66" i="19" a="1"/>
  <c r="AK66" i="19" s="1"/>
  <c r="AO66" i="19" a="1"/>
  <c r="AO66" i="19" s="1"/>
  <c r="AS66" i="19" a="1"/>
  <c r="AS66" i="19" s="1"/>
  <c r="AW66" i="19" a="1"/>
  <c r="AW66" i="19" s="1"/>
  <c r="BA66" i="19" a="1"/>
  <c r="BA66" i="19" s="1"/>
  <c r="BE66" i="19" a="1"/>
  <c r="BE66" i="19" s="1"/>
  <c r="BI66" i="19" a="1"/>
  <c r="BI66" i="19" s="1"/>
  <c r="BR66" i="19" a="1"/>
  <c r="BR66" i="19" s="1"/>
  <c r="BV66" i="19" a="1"/>
  <c r="BV66" i="19" s="1"/>
  <c r="S73" i="19"/>
  <c r="AE73" i="19"/>
  <c r="AQ73" i="19"/>
  <c r="BC73" i="19"/>
  <c r="BQ73" i="19"/>
  <c r="CB73" i="19"/>
  <c r="CO73" i="19"/>
  <c r="DB73" i="19"/>
  <c r="X74" i="19" a="1"/>
  <c r="X74" i="19" s="1"/>
  <c r="AD74" i="19" a="1"/>
  <c r="AD74" i="19" s="1"/>
  <c r="AJ74" i="19" a="1"/>
  <c r="AJ74" i="19" s="1"/>
  <c r="AP74" i="19" a="1"/>
  <c r="AP74" i="19" s="1"/>
  <c r="BB74" i="19" a="1"/>
  <c r="BB74" i="19" s="1"/>
  <c r="H85" i="19"/>
  <c r="AH85" i="19"/>
  <c r="BB85" i="19"/>
  <c r="BY85" i="19"/>
  <c r="CU85" i="19"/>
  <c r="BJ86" i="19" a="1"/>
  <c r="BJ86" i="19" s="1"/>
  <c r="CW76" i="19"/>
  <c r="CO76" i="19"/>
  <c r="CG76" i="19"/>
  <c r="BY76" i="19"/>
  <c r="BQ76" i="19"/>
  <c r="BH76" i="19"/>
  <c r="AZ76" i="19"/>
  <c r="AR76" i="19"/>
  <c r="AJ76" i="19"/>
  <c r="AB76" i="19"/>
  <c r="T76" i="19"/>
  <c r="H76" i="19"/>
  <c r="U76" i="19"/>
  <c r="AD76" i="19"/>
  <c r="AM76" i="19"/>
  <c r="AV76" i="19"/>
  <c r="BE76" i="19"/>
  <c r="BO76" i="19"/>
  <c r="BX76" i="19"/>
  <c r="CH76" i="19"/>
  <c r="CQ76" i="19"/>
  <c r="CZ76" i="19"/>
  <c r="T77" i="19" a="1"/>
  <c r="T77" i="19" s="1"/>
  <c r="AC77" i="19" a="1"/>
  <c r="AC77" i="19" s="1"/>
  <c r="AH77" i="19" a="1"/>
  <c r="AH77" i="19" s="1"/>
  <c r="AQ77" i="19" a="1"/>
  <c r="AQ77" i="19" s="1"/>
  <c r="AZ77" i="19" a="1"/>
  <c r="AZ77" i="19" s="1"/>
  <c r="BI77" i="19" a="1"/>
  <c r="BI77" i="19" s="1"/>
  <c r="DA79" i="19"/>
  <c r="CS79" i="19"/>
  <c r="CK79" i="19"/>
  <c r="CC79" i="19"/>
  <c r="BU79" i="19"/>
  <c r="BM79" i="19"/>
  <c r="BD79" i="19"/>
  <c r="AV79" i="19"/>
  <c r="AN79" i="19"/>
  <c r="AF79" i="19"/>
  <c r="X79" i="19"/>
  <c r="O79" i="19"/>
  <c r="BX80" i="19" a="1"/>
  <c r="BX80" i="19" s="1"/>
  <c r="BG80" i="19" a="1"/>
  <c r="BG80" i="19" s="1"/>
  <c r="BC80" i="19" a="1"/>
  <c r="BC80" i="19" s="1"/>
  <c r="T79" i="19"/>
  <c r="AC79" i="19"/>
  <c r="AL79" i="19"/>
  <c r="AU79" i="19"/>
  <c r="BE79" i="19"/>
  <c r="BO79" i="19"/>
  <c r="BX79" i="19"/>
  <c r="CG79" i="19"/>
  <c r="CP79" i="19"/>
  <c r="CY79" i="19"/>
  <c r="N80" i="19" a="1"/>
  <c r="N80" i="19" s="1"/>
  <c r="T80" i="19" a="1"/>
  <c r="T80" i="19" s="1"/>
  <c r="AC80" i="19" a="1"/>
  <c r="AC80" i="19" s="1"/>
  <c r="AL80" i="19" a="1"/>
  <c r="AL80" i="19" s="1"/>
  <c r="AU80" i="19" a="1"/>
  <c r="AU80" i="19" s="1"/>
  <c r="AZ80" i="19" a="1"/>
  <c r="AZ80" i="19" s="1"/>
  <c r="BE80" i="19" a="1"/>
  <c r="BE80" i="19" s="1"/>
  <c r="BJ80" i="19" a="1"/>
  <c r="BJ80" i="19" s="1"/>
  <c r="BQ80" i="19" a="1"/>
  <c r="BQ80" i="19" s="1"/>
  <c r="BG47" i="20" a="1"/>
  <c r="BG47" i="20" s="1"/>
  <c r="BO47" i="20" a="1"/>
  <c r="BO47" i="20" s="1"/>
  <c r="BW47" i="20" a="1"/>
  <c r="BW47" i="20" s="1"/>
  <c r="CE47" i="20" a="1"/>
  <c r="CE47" i="20" s="1"/>
  <c r="CM47" i="20" a="1"/>
  <c r="CM47" i="20" s="1"/>
  <c r="CU47" i="20" a="1"/>
  <c r="CU47" i="20" s="1"/>
  <c r="BJ46" i="20"/>
  <c r="BR46" i="20"/>
  <c r="BZ46" i="20"/>
  <c r="CH46" i="20"/>
  <c r="CP46" i="20"/>
  <c r="BH44" i="20" a="1"/>
  <c r="BH44" i="20" s="1"/>
  <c r="BH47" i="20" a="1"/>
  <c r="BH47" i="20" s="1"/>
  <c r="BP47" i="20" a="1"/>
  <c r="BP47" i="20" s="1"/>
  <c r="BX47" i="20" a="1"/>
  <c r="BX47" i="20" s="1"/>
  <c r="CF47" i="20" a="1"/>
  <c r="CF47" i="20" s="1"/>
  <c r="CN47" i="20" a="1"/>
  <c r="CN47" i="20" s="1"/>
  <c r="BS40" i="20"/>
  <c r="CO47" i="20" a="1"/>
  <c r="CO47" i="20" s="1"/>
  <c r="CH62" i="20" a="1"/>
  <c r="CH62" i="20" s="1"/>
  <c r="BM46" i="20"/>
  <c r="CC46" i="20"/>
  <c r="CS46" i="20"/>
  <c r="O76" i="19"/>
  <c r="Y76" i="19"/>
  <c r="AH76" i="19"/>
  <c r="AQ76" i="19"/>
  <c r="BA76" i="19"/>
  <c r="BJ76" i="19"/>
  <c r="BT76" i="19"/>
  <c r="CC76" i="19"/>
  <c r="CL76" i="19"/>
  <c r="CU76" i="19"/>
  <c r="I77" i="19" a="1"/>
  <c r="I77" i="19" s="1"/>
  <c r="Q77" i="19" a="1"/>
  <c r="Q77" i="19" s="1"/>
  <c r="AA77" i="19" a="1"/>
  <c r="AA77" i="19" s="1"/>
  <c r="AJ77" i="19" a="1"/>
  <c r="AJ77" i="19" s="1"/>
  <c r="AS77" i="19" a="1"/>
  <c r="AS77" i="19" s="1"/>
  <c r="AX77" i="19" a="1"/>
  <c r="AX77" i="19" s="1"/>
  <c r="BG77" i="19" a="1"/>
  <c r="BG77" i="19" s="1"/>
  <c r="BQ77" i="19" a="1"/>
  <c r="BQ77" i="19" s="1"/>
  <c r="N79" i="19"/>
  <c r="Y79" i="19"/>
  <c r="AH79" i="19"/>
  <c r="AQ79" i="19"/>
  <c r="AZ79" i="19"/>
  <c r="BI79" i="19"/>
  <c r="BS79" i="19"/>
  <c r="CB79" i="19"/>
  <c r="CL79" i="19"/>
  <c r="CU79" i="19"/>
  <c r="I80" i="19" a="1"/>
  <c r="I80" i="19" s="1"/>
  <c r="V80" i="19" a="1"/>
  <c r="V80" i="19" s="1"/>
  <c r="AE80" i="19" a="1"/>
  <c r="AE80" i="19" s="1"/>
  <c r="AJ80" i="19" a="1"/>
  <c r="AJ80" i="19" s="1"/>
  <c r="AS80" i="19" a="1"/>
  <c r="AS80" i="19" s="1"/>
  <c r="BB80" i="19" a="1"/>
  <c r="BB80" i="19" s="1"/>
  <c r="BH80" i="19" a="1"/>
  <c r="BH80" i="19" s="1"/>
  <c r="BY80" i="19" a="1"/>
  <c r="BY80" i="19" s="1"/>
  <c r="CA40" i="20"/>
  <c r="CQ37" i="20"/>
  <c r="BD47" i="20" a="1"/>
  <c r="BD47" i="20" s="1"/>
  <c r="BL47" i="20" a="1"/>
  <c r="BL47" i="20" s="1"/>
  <c r="BT41" i="20" a="1"/>
  <c r="BT41" i="20" s="1"/>
  <c r="CB40" i="20"/>
  <c r="CJ47" i="20" a="1"/>
  <c r="CJ47" i="20" s="1"/>
  <c r="CR56" i="20" a="1"/>
  <c r="CR56" i="20" s="1"/>
  <c r="BW38" i="20"/>
  <c r="CS43" i="20"/>
  <c r="Q91" i="19"/>
  <c r="Z91" i="19"/>
  <c r="AH91" i="19"/>
  <c r="AP91" i="19"/>
  <c r="AX91" i="19"/>
  <c r="BF91" i="19"/>
  <c r="BO91" i="19"/>
  <c r="BW91" i="19"/>
  <c r="CE91" i="19"/>
  <c r="CM91" i="19"/>
  <c r="CU91" i="19"/>
  <c r="DC91" i="19"/>
  <c r="BJ83" i="20" a="1"/>
  <c r="BJ83" i="20" s="1"/>
  <c r="BJ77" i="20" a="1"/>
  <c r="BJ77" i="20" s="1"/>
  <c r="BJ74" i="20" a="1"/>
  <c r="BJ74" i="20" s="1"/>
  <c r="BR86" i="20" a="1"/>
  <c r="BR86" i="20" s="1"/>
  <c r="BR83" i="20" a="1"/>
  <c r="BR83" i="20" s="1"/>
  <c r="BZ74" i="20" a="1"/>
  <c r="BZ74" i="20" s="1"/>
  <c r="CH77" i="20" a="1"/>
  <c r="CH77" i="20" s="1"/>
  <c r="CP77" i="20" a="1"/>
  <c r="CP77" i="20" s="1"/>
  <c r="BR37" i="20"/>
  <c r="CE37" i="20"/>
  <c r="CP38" i="20"/>
  <c r="CM40" i="20"/>
  <c r="CF41" i="20" a="1"/>
  <c r="CF41" i="20" s="1"/>
  <c r="M43" i="20"/>
  <c r="Z43" i="20"/>
  <c r="AN43" i="20"/>
  <c r="AZ43" i="20"/>
  <c r="BN43" i="20"/>
  <c r="BZ43" i="20"/>
  <c r="CM43" i="20"/>
  <c r="Y44" i="20" a="1"/>
  <c r="Y44" i="20" s="1"/>
  <c r="AE44" i="20" a="1"/>
  <c r="AE44" i="20" s="1"/>
  <c r="BF44" i="20" a="1"/>
  <c r="BF44" i="20" s="1"/>
  <c r="BL44" i="20" a="1"/>
  <c r="BL44" i="20" s="1"/>
  <c r="BT47" i="20" a="1"/>
  <c r="BT47" i="20" s="1"/>
  <c r="CB47" i="20" a="1"/>
  <c r="CB47" i="20" s="1"/>
  <c r="CR47" i="20" a="1"/>
  <c r="CR47" i="20" s="1"/>
  <c r="P49" i="20"/>
  <c r="AF49" i="20"/>
  <c r="AV49" i="20"/>
  <c r="BM49" i="20"/>
  <c r="CC49" i="20"/>
  <c r="CS49" i="20"/>
  <c r="S91" i="19"/>
  <c r="AA91" i="19"/>
  <c r="AI91" i="19"/>
  <c r="AQ91" i="19"/>
  <c r="AY91" i="19"/>
  <c r="BG91" i="19"/>
  <c r="BP91" i="19"/>
  <c r="BX91" i="19"/>
  <c r="CF91" i="19"/>
  <c r="CN91" i="19"/>
  <c r="CV91" i="19"/>
  <c r="I92" i="19" a="1"/>
  <c r="I92" i="19" s="1"/>
  <c r="U92" i="19" a="1"/>
  <c r="U92" i="19" s="1"/>
  <c r="Y92" i="19" a="1"/>
  <c r="Y92" i="19" s="1"/>
  <c r="AC92" i="19" a="1"/>
  <c r="AC92" i="19" s="1"/>
  <c r="AG92" i="19" a="1"/>
  <c r="AG92" i="19" s="1"/>
  <c r="AK92" i="19" a="1"/>
  <c r="AK92" i="19" s="1"/>
  <c r="AO92" i="19" a="1"/>
  <c r="AO92" i="19" s="1"/>
  <c r="AS92" i="19" a="1"/>
  <c r="AS92" i="19" s="1"/>
  <c r="AW92" i="19" a="1"/>
  <c r="AW92" i="19" s="1"/>
  <c r="BA92" i="19" a="1"/>
  <c r="BA92" i="19" s="1"/>
  <c r="BE92" i="19" a="1"/>
  <c r="BE92" i="19" s="1"/>
  <c r="BI92" i="19" a="1"/>
  <c r="BI92" i="19" s="1"/>
  <c r="BN92" i="19" a="1"/>
  <c r="BN92" i="19" s="1"/>
  <c r="BR92" i="19" a="1"/>
  <c r="BR92" i="19" s="1"/>
  <c r="CT92" i="19" a="1"/>
  <c r="CT92" i="19" s="1"/>
  <c r="BK77" i="20" a="1"/>
  <c r="BK77" i="20" s="1"/>
  <c r="BK71" i="20" a="1"/>
  <c r="BK71" i="20" s="1"/>
  <c r="BK38" i="20"/>
  <c r="BK59" i="20" a="1"/>
  <c r="BK59" i="20" s="1"/>
  <c r="BK53" i="20" a="1"/>
  <c r="BK53" i="20" s="1"/>
  <c r="BS83" i="20" a="1"/>
  <c r="BS83" i="20" s="1"/>
  <c r="BS71" i="20" a="1"/>
  <c r="BS71" i="20" s="1"/>
  <c r="BS38" i="20"/>
  <c r="BS53" i="20" a="1"/>
  <c r="BS53" i="20" s="1"/>
  <c r="CA83" i="20" a="1"/>
  <c r="CA83" i="20" s="1"/>
  <c r="CA38" i="20"/>
  <c r="CA59" i="20" a="1"/>
  <c r="CA59" i="20" s="1"/>
  <c r="CA53" i="20" a="1"/>
  <c r="CA53" i="20" s="1"/>
  <c r="CI77" i="20" a="1"/>
  <c r="CI77" i="20" s="1"/>
  <c r="CI71" i="20" a="1"/>
  <c r="CI71" i="20" s="1"/>
  <c r="CI38" i="20"/>
  <c r="CI59" i="20" a="1"/>
  <c r="CI59" i="20" s="1"/>
  <c r="CI53" i="20" a="1"/>
  <c r="CI53" i="20" s="1"/>
  <c r="CQ77" i="20" a="1"/>
  <c r="CQ77" i="20" s="1"/>
  <c r="CQ71" i="20" a="1"/>
  <c r="CQ71" i="20" s="1"/>
  <c r="CQ38" i="20"/>
  <c r="CQ53" i="20" a="1"/>
  <c r="CQ53" i="20" s="1"/>
  <c r="BG37" i="20"/>
  <c r="BS37" i="20"/>
  <c r="BR38" i="20"/>
  <c r="CE38" i="20"/>
  <c r="BO40" i="20"/>
  <c r="CP40" i="20"/>
  <c r="BZ41" i="20" a="1"/>
  <c r="BZ41" i="20" s="1"/>
  <c r="P43" i="20"/>
  <c r="AB43" i="20"/>
  <c r="AO43" i="20"/>
  <c r="BA43" i="20"/>
  <c r="BO43" i="20"/>
  <c r="CC43" i="20"/>
  <c r="CO43" i="20"/>
  <c r="M44" i="20" a="1"/>
  <c r="M44" i="20" s="1"/>
  <c r="S44" i="20" a="1"/>
  <c r="S44" i="20" s="1"/>
  <c r="AS44" i="20" a="1"/>
  <c r="AS44" i="20" s="1"/>
  <c r="AY44" i="20" a="1"/>
  <c r="AY44" i="20" s="1"/>
  <c r="R49" i="20"/>
  <c r="AH49" i="20"/>
  <c r="AX49" i="20"/>
  <c r="BO49" i="20"/>
  <c r="CE49" i="20"/>
  <c r="CU49" i="20"/>
  <c r="BJ53" i="20" a="1"/>
  <c r="BJ53" i="20" s="1"/>
  <c r="BZ53" i="20" a="1"/>
  <c r="BZ53" i="20" s="1"/>
  <c r="CP53" i="20" a="1"/>
  <c r="CP53" i="20" s="1"/>
  <c r="CF59" i="20" a="1"/>
  <c r="CF59" i="20" s="1"/>
  <c r="CU65" i="20" a="1"/>
  <c r="CU65" i="20" s="1"/>
  <c r="CQ65" i="20" a="1"/>
  <c r="CQ65" i="20" s="1"/>
  <c r="CU64" i="20"/>
  <c r="CM64" i="20"/>
  <c r="CE64" i="20"/>
  <c r="BW64" i="20"/>
  <c r="BO64" i="20"/>
  <c r="BG64" i="20"/>
  <c r="AX64" i="20"/>
  <c r="AP64" i="20"/>
  <c r="AH64" i="20"/>
  <c r="Z64" i="20"/>
  <c r="R64" i="20"/>
  <c r="I64" i="20"/>
  <c r="CO65" i="20" a="1"/>
  <c r="CO65" i="20" s="1"/>
  <c r="CK65" i="20" a="1"/>
  <c r="CK65" i="20" s="1"/>
  <c r="CG65" i="20" a="1"/>
  <c r="CG65" i="20" s="1"/>
  <c r="CC65" i="20" a="1"/>
  <c r="CC65" i="20" s="1"/>
  <c r="BY65" i="20" a="1"/>
  <c r="BY65" i="20" s="1"/>
  <c r="BU65" i="20" a="1"/>
  <c r="BU65" i="20" s="1"/>
  <c r="BQ65" i="20" a="1"/>
  <c r="BQ65" i="20" s="1"/>
  <c r="BM65" i="20" a="1"/>
  <c r="BM65" i="20" s="1"/>
  <c r="BI65" i="20" a="1"/>
  <c r="BI65" i="20" s="1"/>
  <c r="BE65" i="20" a="1"/>
  <c r="BE65" i="20" s="1"/>
  <c r="AZ65" i="20" a="1"/>
  <c r="AZ65" i="20" s="1"/>
  <c r="AV65" i="20" a="1"/>
  <c r="AV65" i="20" s="1"/>
  <c r="AR65" i="20" a="1"/>
  <c r="AR65" i="20" s="1"/>
  <c r="AN65" i="20" a="1"/>
  <c r="AN65" i="20" s="1"/>
  <c r="AJ65" i="20" a="1"/>
  <c r="AJ65" i="20" s="1"/>
  <c r="AF65" i="20" a="1"/>
  <c r="AF65" i="20" s="1"/>
  <c r="AB65" i="20" a="1"/>
  <c r="AB65" i="20" s="1"/>
  <c r="X65" i="20" a="1"/>
  <c r="X65" i="20" s="1"/>
  <c r="T65" i="20" a="1"/>
  <c r="T65" i="20" s="1"/>
  <c r="P65" i="20" a="1"/>
  <c r="P65" i="20" s="1"/>
  <c r="L65" i="20" a="1"/>
  <c r="L65" i="20" s="1"/>
  <c r="CR64" i="20"/>
  <c r="CJ64" i="20"/>
  <c r="CB64" i="20"/>
  <c r="BT64" i="20"/>
  <c r="BL64" i="20"/>
  <c r="BD64" i="20"/>
  <c r="AU64" i="20"/>
  <c r="AM64" i="20"/>
  <c r="AE64" i="20"/>
  <c r="W64" i="20"/>
  <c r="O64" i="20"/>
  <c r="CD65" i="20" a="1"/>
  <c r="CD65" i="20" s="1"/>
  <c r="BN65" i="20" a="1"/>
  <c r="BN65" i="20" s="1"/>
  <c r="AW65" i="20" a="1"/>
  <c r="AW65" i="20" s="1"/>
  <c r="AG65" i="20" a="1"/>
  <c r="AG65" i="20" s="1"/>
  <c r="Q65" i="20" a="1"/>
  <c r="Q65" i="20" s="1"/>
  <c r="CO64" i="20"/>
  <c r="CD64" i="20"/>
  <c r="BS64" i="20"/>
  <c r="BI64" i="20"/>
  <c r="AW64" i="20"/>
  <c r="AL64" i="20"/>
  <c r="AB64" i="20"/>
  <c r="Q64" i="20"/>
  <c r="CT65" i="20" a="1"/>
  <c r="CT65" i="20" s="1"/>
  <c r="CN65" i="20" a="1"/>
  <c r="CN65" i="20" s="1"/>
  <c r="CI65" i="20" a="1"/>
  <c r="CI65" i="20" s="1"/>
  <c r="BX65" i="20" a="1"/>
  <c r="BX65" i="20" s="1"/>
  <c r="BS65" i="20" a="1"/>
  <c r="BS65" i="20" s="1"/>
  <c r="BH65" i="20" a="1"/>
  <c r="BH65" i="20" s="1"/>
  <c r="BB65" i="20" a="1"/>
  <c r="BB65" i="20" s="1"/>
  <c r="AQ65" i="20" a="1"/>
  <c r="AQ65" i="20" s="1"/>
  <c r="AL65" i="20" a="1"/>
  <c r="AL65" i="20" s="1"/>
  <c r="AA65" i="20" a="1"/>
  <c r="AA65" i="20" s="1"/>
  <c r="V65" i="20" a="1"/>
  <c r="V65" i="20" s="1"/>
  <c r="K65" i="20" a="1"/>
  <c r="K65" i="20" s="1"/>
  <c r="CN64" i="20"/>
  <c r="CC64" i="20"/>
  <c r="BR64" i="20"/>
  <c r="BH64" i="20"/>
  <c r="AV64" i="20"/>
  <c r="AK64" i="20"/>
  <c r="CR65" i="20" a="1"/>
  <c r="CR65" i="20" s="1"/>
  <c r="CL65" i="20" a="1"/>
  <c r="CL65" i="20" s="1"/>
  <c r="BV65" i="20" a="1"/>
  <c r="BV65" i="20" s="1"/>
  <c r="BF65" i="20" a="1"/>
  <c r="BF65" i="20" s="1"/>
  <c r="AO65" i="20" a="1"/>
  <c r="AO65" i="20" s="1"/>
  <c r="Y65" i="20" a="1"/>
  <c r="Y65" i="20" s="1"/>
  <c r="CT64" i="20"/>
  <c r="CI64" i="20"/>
  <c r="BY64" i="20"/>
  <c r="BN64" i="20"/>
  <c r="BB64" i="20"/>
  <c r="AR64" i="20"/>
  <c r="CF65" i="20" a="1"/>
  <c r="CF65" i="20" s="1"/>
  <c r="CA65" i="20" a="1"/>
  <c r="CA65" i="20" s="1"/>
  <c r="BP65" i="20" a="1"/>
  <c r="BP65" i="20" s="1"/>
  <c r="BK65" i="20" a="1"/>
  <c r="BK65" i="20" s="1"/>
  <c r="AY65" i="20" a="1"/>
  <c r="AY65" i="20" s="1"/>
  <c r="AT65" i="20" a="1"/>
  <c r="AT65" i="20" s="1"/>
  <c r="AI65" i="20" a="1"/>
  <c r="AI65" i="20" s="1"/>
  <c r="AD65" i="20" a="1"/>
  <c r="AD65" i="20" s="1"/>
  <c r="S65" i="20" a="1"/>
  <c r="S65" i="20" s="1"/>
  <c r="N65" i="20" a="1"/>
  <c r="N65" i="20" s="1"/>
  <c r="CS64" i="20"/>
  <c r="CH64" i="20"/>
  <c r="BX64" i="20"/>
  <c r="BM64" i="20"/>
  <c r="BA64" i="20"/>
  <c r="AQ64" i="20"/>
  <c r="AF64" i="20"/>
  <c r="U64" i="20"/>
  <c r="K64" i="20"/>
  <c r="BW65" i="20" a="1"/>
  <c r="BW65" i="20" s="1"/>
  <c r="BL65" i="20" a="1"/>
  <c r="BL65" i="20" s="1"/>
  <c r="AP65" i="20" a="1"/>
  <c r="AP65" i="20" s="1"/>
  <c r="AE65" i="20" a="1"/>
  <c r="AE65" i="20" s="1"/>
  <c r="I65" i="20" a="1"/>
  <c r="I65" i="20" s="1"/>
  <c r="BZ64" i="20"/>
  <c r="BE64" i="20"/>
  <c r="AI64" i="20"/>
  <c r="T64" i="20"/>
  <c r="CP65" i="20" a="1"/>
  <c r="CP65" i="20" s="1"/>
  <c r="BJ65" i="20" a="1"/>
  <c r="BJ65" i="20" s="1"/>
  <c r="AC65" i="20" a="1"/>
  <c r="AC65" i="20" s="1"/>
  <c r="CQ64" i="20"/>
  <c r="BV64" i="20"/>
  <c r="AZ64" i="20"/>
  <c r="AG64" i="20"/>
  <c r="S64" i="20"/>
  <c r="CE65" i="20" a="1"/>
  <c r="CE65" i="20" s="1"/>
  <c r="BT65" i="20" a="1"/>
  <c r="BT65" i="20" s="1"/>
  <c r="AX65" i="20" a="1"/>
  <c r="AX65" i="20" s="1"/>
  <c r="AM65" i="20" a="1"/>
  <c r="AM65" i="20" s="1"/>
  <c r="R65" i="20" a="1"/>
  <c r="R65" i="20" s="1"/>
  <c r="CP64" i="20"/>
  <c r="BU64" i="20"/>
  <c r="AY64" i="20"/>
  <c r="AD64" i="20"/>
  <c r="P64" i="20"/>
  <c r="BR65" i="20" a="1"/>
  <c r="BR65" i="20" s="1"/>
  <c r="AK65" i="20" a="1"/>
  <c r="AK65" i="20" s="1"/>
  <c r="CL64" i="20"/>
  <c r="BQ64" i="20"/>
  <c r="AT64" i="20"/>
  <c r="AC64" i="20"/>
  <c r="N64" i="20"/>
  <c r="CM65" i="20" a="1"/>
  <c r="CM65" i="20" s="1"/>
  <c r="CB65" i="20" a="1"/>
  <c r="CB65" i="20" s="1"/>
  <c r="BG65" i="20" a="1"/>
  <c r="BG65" i="20" s="1"/>
  <c r="AU65" i="20" a="1"/>
  <c r="AU65" i="20" s="1"/>
  <c r="Z65" i="20" a="1"/>
  <c r="Z65" i="20" s="1"/>
  <c r="O65" i="20" a="1"/>
  <c r="O65" i="20" s="1"/>
  <c r="CK64" i="20"/>
  <c r="BP64" i="20"/>
  <c r="AS64" i="20"/>
  <c r="AA64" i="20"/>
  <c r="M64" i="20"/>
  <c r="BZ65" i="20" a="1"/>
  <c r="BZ65" i="20" s="1"/>
  <c r="AS65" i="20" a="1"/>
  <c r="AS65" i="20" s="1"/>
  <c r="M65" i="20" a="1"/>
  <c r="M65" i="20" s="1"/>
  <c r="CG64" i="20"/>
  <c r="BK64" i="20"/>
  <c r="AO64" i="20"/>
  <c r="Y64" i="20"/>
  <c r="L64" i="20"/>
  <c r="CJ65" i="20" a="1"/>
  <c r="CJ65" i="20" s="1"/>
  <c r="BO65" i="20" a="1"/>
  <c r="BO65" i="20" s="1"/>
  <c r="BD65" i="20" a="1"/>
  <c r="BD65" i="20" s="1"/>
  <c r="AH65" i="20" a="1"/>
  <c r="AH65" i="20" s="1"/>
  <c r="W65" i="20" a="1"/>
  <c r="W65" i="20" s="1"/>
  <c r="CF64" i="20"/>
  <c r="BJ64" i="20"/>
  <c r="AN64" i="20"/>
  <c r="X64" i="20"/>
  <c r="H64" i="20"/>
  <c r="H91" i="19"/>
  <c r="T91" i="19"/>
  <c r="AB91" i="19"/>
  <c r="AJ91" i="19"/>
  <c r="AR91" i="19"/>
  <c r="AZ91" i="19"/>
  <c r="BH91" i="19"/>
  <c r="BQ91" i="19"/>
  <c r="BY91" i="19"/>
  <c r="CG91" i="19"/>
  <c r="CO91" i="19"/>
  <c r="CW91" i="19"/>
  <c r="BD83" i="20" a="1"/>
  <c r="BD83" i="20" s="1"/>
  <c r="BD74" i="20" a="1"/>
  <c r="BD74" i="20" s="1"/>
  <c r="BD71" i="20" a="1"/>
  <c r="BD71" i="20" s="1"/>
  <c r="BD38" i="20"/>
  <c r="BD37" i="20"/>
  <c r="BD53" i="20" a="1"/>
  <c r="BD53" i="20" s="1"/>
  <c r="BD59" i="20" a="1"/>
  <c r="BD59" i="20" s="1"/>
  <c r="BL77" i="20" a="1"/>
  <c r="BL77" i="20" s="1"/>
  <c r="BL74" i="20" a="1"/>
  <c r="BL74" i="20" s="1"/>
  <c r="BL38" i="20"/>
  <c r="BL37" i="20"/>
  <c r="BL59" i="20" a="1"/>
  <c r="BL59" i="20" s="1"/>
  <c r="BL53" i="20" a="1"/>
  <c r="BL53" i="20" s="1"/>
  <c r="BT77" i="20" a="1"/>
  <c r="BT77" i="20" s="1"/>
  <c r="BT74" i="20" a="1"/>
  <c r="BT74" i="20" s="1"/>
  <c r="BT38" i="20"/>
  <c r="BT37" i="20"/>
  <c r="BT53" i="20" a="1"/>
  <c r="BT53" i="20" s="1"/>
  <c r="CB38" i="20"/>
  <c r="CB37" i="20"/>
  <c r="CB53" i="20" a="1"/>
  <c r="CB53" i="20" s="1"/>
  <c r="CJ80" i="20" a="1"/>
  <c r="CJ80" i="20" s="1"/>
  <c r="CJ74" i="20" a="1"/>
  <c r="CJ74" i="20" s="1"/>
  <c r="CJ71" i="20" a="1"/>
  <c r="CJ71" i="20" s="1"/>
  <c r="CJ38" i="20"/>
  <c r="CJ37" i="20"/>
  <c r="CJ59" i="20" a="1"/>
  <c r="CJ59" i="20" s="1"/>
  <c r="CJ53" i="20" a="1"/>
  <c r="CJ53" i="20" s="1"/>
  <c r="CR77" i="20" a="1"/>
  <c r="CR77" i="20" s="1"/>
  <c r="CR38" i="20"/>
  <c r="CR37" i="20"/>
  <c r="CR53" i="20" a="1"/>
  <c r="CR53" i="20" s="1"/>
  <c r="BH37" i="20"/>
  <c r="CH37" i="20"/>
  <c r="CU37" i="20"/>
  <c r="BG38" i="20"/>
  <c r="BD40" i="20"/>
  <c r="BR40" i="20"/>
  <c r="CQ40" i="20"/>
  <c r="BH41" i="20" a="1"/>
  <c r="BH41" i="20" s="1"/>
  <c r="CN41" i="20" a="1"/>
  <c r="CN41" i="20" s="1"/>
  <c r="Q43" i="20"/>
  <c r="AC43" i="20"/>
  <c r="AP43" i="20"/>
  <c r="BE43" i="20"/>
  <c r="BQ43" i="20"/>
  <c r="CD43" i="20"/>
  <c r="CP43" i="20"/>
  <c r="AG44" i="20" a="1"/>
  <c r="AG44" i="20" s="1"/>
  <c r="AM44" i="20" a="1"/>
  <c r="AM44" i="20" s="1"/>
  <c r="BN44" i="20" a="1"/>
  <c r="BN44" i="20" s="1"/>
  <c r="BT44" i="20" a="1"/>
  <c r="BT44" i="20" s="1"/>
  <c r="CB44" i="20" a="1"/>
  <c r="CB44" i="20" s="1"/>
  <c r="CJ44" i="20" a="1"/>
  <c r="CJ44" i="20" s="1"/>
  <c r="CR44" i="20" a="1"/>
  <c r="CR44" i="20" s="1"/>
  <c r="S49" i="20"/>
  <c r="AI49" i="20"/>
  <c r="AY49" i="20"/>
  <c r="BP49" i="20"/>
  <c r="CF49" i="20"/>
  <c r="I50" i="20" a="1"/>
  <c r="I50" i="20" s="1"/>
  <c r="R50" i="20" a="1"/>
  <c r="R50" i="20" s="1"/>
  <c r="Z50" i="20" a="1"/>
  <c r="Z50" i="20" s="1"/>
  <c r="AH50" i="20" a="1"/>
  <c r="AH50" i="20" s="1"/>
  <c r="AP50" i="20" a="1"/>
  <c r="AP50" i="20" s="1"/>
  <c r="AX50" i="20" a="1"/>
  <c r="AX50" i="20" s="1"/>
  <c r="BG50" i="20" a="1"/>
  <c r="BG50" i="20" s="1"/>
  <c r="BO50" i="20" a="1"/>
  <c r="BO50" i="20" s="1"/>
  <c r="BW50" i="20" a="1"/>
  <c r="BW50" i="20" s="1"/>
  <c r="CE50" i="20" a="1"/>
  <c r="CE50" i="20" s="1"/>
  <c r="CM50" i="20" a="1"/>
  <c r="CM50" i="20" s="1"/>
  <c r="CU50" i="20" a="1"/>
  <c r="CU50" i="20" s="1"/>
  <c r="BL56" i="20" a="1"/>
  <c r="BL56" i="20" s="1"/>
  <c r="BG59" i="20" a="1"/>
  <c r="BG59" i="20" s="1"/>
  <c r="V64" i="20"/>
  <c r="BA65" i="20" a="1"/>
  <c r="BA65" i="20" s="1"/>
  <c r="CB41" i="20" a="1"/>
  <c r="CB41" i="20" s="1"/>
  <c r="CH41" i="20" a="1"/>
  <c r="CH41" i="20" s="1"/>
  <c r="BA44" i="20" a="1"/>
  <c r="BA44" i="20" s="1"/>
  <c r="V49" i="20"/>
  <c r="AL49" i="20"/>
  <c r="BB49" i="20"/>
  <c r="BS49" i="20"/>
  <c r="CR59" i="20" a="1"/>
  <c r="CR59" i="20" s="1"/>
  <c r="BH68" i="20" a="1"/>
  <c r="BH68" i="20" s="1"/>
  <c r="BK37" i="20"/>
  <c r="BJ38" i="20"/>
  <c r="CO40" i="20"/>
  <c r="BT40" i="20"/>
  <c r="CH40" i="20"/>
  <c r="BP41" i="20" a="1"/>
  <c r="BP41" i="20" s="1"/>
  <c r="CS44" i="20" a="1"/>
  <c r="CS44" i="20" s="1"/>
  <c r="CO44" i="20" a="1"/>
  <c r="CO44" i="20" s="1"/>
  <c r="CK44" i="20" a="1"/>
  <c r="CK44" i="20" s="1"/>
  <c r="CG44" i="20" a="1"/>
  <c r="CG44" i="20" s="1"/>
  <c r="CC44" i="20" a="1"/>
  <c r="CC44" i="20" s="1"/>
  <c r="BY44" i="20" a="1"/>
  <c r="BY44" i="20" s="1"/>
  <c r="BU44" i="20" a="1"/>
  <c r="BU44" i="20" s="1"/>
  <c r="BQ44" i="20" a="1"/>
  <c r="BQ44" i="20" s="1"/>
  <c r="BM44" i="20" a="1"/>
  <c r="BM44" i="20" s="1"/>
  <c r="BI44" i="20" a="1"/>
  <c r="BI44" i="20" s="1"/>
  <c r="BE44" i="20" a="1"/>
  <c r="BE44" i="20" s="1"/>
  <c r="AZ44" i="20" a="1"/>
  <c r="AZ44" i="20" s="1"/>
  <c r="AV44" i="20" a="1"/>
  <c r="AV44" i="20" s="1"/>
  <c r="AR44" i="20" a="1"/>
  <c r="AR44" i="20" s="1"/>
  <c r="AN44" i="20" a="1"/>
  <c r="AN44" i="20" s="1"/>
  <c r="AJ44" i="20" a="1"/>
  <c r="AJ44" i="20" s="1"/>
  <c r="AF44" i="20" a="1"/>
  <c r="AF44" i="20" s="1"/>
  <c r="AB44" i="20" a="1"/>
  <c r="AB44" i="20" s="1"/>
  <c r="X44" i="20" a="1"/>
  <c r="X44" i="20" s="1"/>
  <c r="T44" i="20" a="1"/>
  <c r="T44" i="20" s="1"/>
  <c r="P44" i="20" a="1"/>
  <c r="P44" i="20" s="1"/>
  <c r="L44" i="20" a="1"/>
  <c r="L44" i="20" s="1"/>
  <c r="CR43" i="20"/>
  <c r="CJ43" i="20"/>
  <c r="CB43" i="20"/>
  <c r="BT43" i="20"/>
  <c r="BL43" i="20"/>
  <c r="BD43" i="20"/>
  <c r="AU43" i="20"/>
  <c r="AM43" i="20"/>
  <c r="AE43" i="20"/>
  <c r="W43" i="20"/>
  <c r="O43" i="20"/>
  <c r="CQ43" i="20"/>
  <c r="CI43" i="20"/>
  <c r="CA43" i="20"/>
  <c r="BS43" i="20"/>
  <c r="BK43" i="20"/>
  <c r="BB43" i="20"/>
  <c r="AT43" i="20"/>
  <c r="AL43" i="20"/>
  <c r="AD43" i="20"/>
  <c r="V43" i="20"/>
  <c r="N43" i="20"/>
  <c r="CU44" i="20" a="1"/>
  <c r="CU44" i="20" s="1"/>
  <c r="CQ44" i="20" a="1"/>
  <c r="CQ44" i="20" s="1"/>
  <c r="CM44" i="20" a="1"/>
  <c r="CM44" i="20" s="1"/>
  <c r="CI44" i="20" a="1"/>
  <c r="CI44" i="20" s="1"/>
  <c r="CE44" i="20" a="1"/>
  <c r="CE44" i="20" s="1"/>
  <c r="CA44" i="20" a="1"/>
  <c r="CA44" i="20" s="1"/>
  <c r="BW44" i="20" a="1"/>
  <c r="BW44" i="20" s="1"/>
  <c r="BS44" i="20" a="1"/>
  <c r="BS44" i="20" s="1"/>
  <c r="BO44" i="20" a="1"/>
  <c r="BO44" i="20" s="1"/>
  <c r="BK44" i="20" a="1"/>
  <c r="BK44" i="20" s="1"/>
  <c r="BG44" i="20" a="1"/>
  <c r="BG44" i="20" s="1"/>
  <c r="BB44" i="20" a="1"/>
  <c r="BB44" i="20" s="1"/>
  <c r="AX44" i="20" a="1"/>
  <c r="AX44" i="20" s="1"/>
  <c r="AT44" i="20" a="1"/>
  <c r="AT44" i="20" s="1"/>
  <c r="AP44" i="20" a="1"/>
  <c r="AP44" i="20" s="1"/>
  <c r="AL44" i="20" a="1"/>
  <c r="AL44" i="20" s="1"/>
  <c r="AH44" i="20" a="1"/>
  <c r="AH44" i="20" s="1"/>
  <c r="AD44" i="20" a="1"/>
  <c r="AD44" i="20" s="1"/>
  <c r="Z44" i="20" a="1"/>
  <c r="Z44" i="20" s="1"/>
  <c r="V44" i="20" a="1"/>
  <c r="V44" i="20" s="1"/>
  <c r="R44" i="20" a="1"/>
  <c r="R44" i="20" s="1"/>
  <c r="N44" i="20" a="1"/>
  <c r="N44" i="20" s="1"/>
  <c r="I44" i="20" a="1"/>
  <c r="I44" i="20" s="1"/>
  <c r="CN43" i="20"/>
  <c r="CF43" i="20"/>
  <c r="BX43" i="20"/>
  <c r="BP43" i="20"/>
  <c r="BH43" i="20"/>
  <c r="AY43" i="20"/>
  <c r="AQ43" i="20"/>
  <c r="AI43" i="20"/>
  <c r="AA43" i="20"/>
  <c r="S43" i="20"/>
  <c r="K43" i="20"/>
  <c r="CT44" i="20" a="1"/>
  <c r="CT44" i="20" s="1"/>
  <c r="CP44" i="20" a="1"/>
  <c r="CP44" i="20" s="1"/>
  <c r="CL44" i="20" a="1"/>
  <c r="CL44" i="20" s="1"/>
  <c r="CH44" i="20" a="1"/>
  <c r="CH44" i="20" s="1"/>
  <c r="CD44" i="20" a="1"/>
  <c r="CD44" i="20" s="1"/>
  <c r="BZ44" i="20" a="1"/>
  <c r="BZ44" i="20" s="1"/>
  <c r="BV44" i="20" a="1"/>
  <c r="BV44" i="20" s="1"/>
  <c r="T43" i="20"/>
  <c r="AG43" i="20"/>
  <c r="AS43" i="20"/>
  <c r="BG43" i="20"/>
  <c r="BU43" i="20"/>
  <c r="CG43" i="20"/>
  <c r="CT43" i="20"/>
  <c r="O44" i="20" a="1"/>
  <c r="O44" i="20" s="1"/>
  <c r="AO44" i="20" a="1"/>
  <c r="AO44" i="20" s="1"/>
  <c r="AU44" i="20" a="1"/>
  <c r="AU44" i="20" s="1"/>
  <c r="CR50" i="20" a="1"/>
  <c r="CR50" i="20" s="1"/>
  <c r="CN50" i="20" a="1"/>
  <c r="CN50" i="20" s="1"/>
  <c r="CJ50" i="20" a="1"/>
  <c r="CJ50" i="20" s="1"/>
  <c r="CF50" i="20" a="1"/>
  <c r="CF50" i="20" s="1"/>
  <c r="CB50" i="20" a="1"/>
  <c r="CB50" i="20" s="1"/>
  <c r="BX50" i="20" a="1"/>
  <c r="BX50" i="20" s="1"/>
  <c r="BT50" i="20" a="1"/>
  <c r="BT50" i="20" s="1"/>
  <c r="BP50" i="20" a="1"/>
  <c r="BP50" i="20" s="1"/>
  <c r="BL50" i="20" a="1"/>
  <c r="BL50" i="20" s="1"/>
  <c r="BH50" i="20" a="1"/>
  <c r="BH50" i="20" s="1"/>
  <c r="BD50" i="20" a="1"/>
  <c r="BD50" i="20" s="1"/>
  <c r="AY50" i="20" a="1"/>
  <c r="AY50" i="20" s="1"/>
  <c r="AU50" i="20" a="1"/>
  <c r="AU50" i="20" s="1"/>
  <c r="AQ50" i="20" a="1"/>
  <c r="AQ50" i="20" s="1"/>
  <c r="AM50" i="20" a="1"/>
  <c r="AM50" i="20" s="1"/>
  <c r="AI50" i="20" a="1"/>
  <c r="AI50" i="20" s="1"/>
  <c r="AE50" i="20" a="1"/>
  <c r="AE50" i="20" s="1"/>
  <c r="AA50" i="20" a="1"/>
  <c r="AA50" i="20" s="1"/>
  <c r="W50" i="20" a="1"/>
  <c r="W50" i="20" s="1"/>
  <c r="S50" i="20" a="1"/>
  <c r="S50" i="20" s="1"/>
  <c r="O50" i="20" a="1"/>
  <c r="O50" i="20" s="1"/>
  <c r="K50" i="20" a="1"/>
  <c r="K50" i="20" s="1"/>
  <c r="CP49" i="20"/>
  <c r="CH49" i="20"/>
  <c r="BZ49" i="20"/>
  <c r="BR49" i="20"/>
  <c r="BJ49" i="20"/>
  <c r="BA49" i="20"/>
  <c r="AS49" i="20"/>
  <c r="AK49" i="20"/>
  <c r="AC49" i="20"/>
  <c r="U49" i="20"/>
  <c r="M49" i="20"/>
  <c r="CO49" i="20"/>
  <c r="CG49" i="20"/>
  <c r="BY49" i="20"/>
  <c r="BQ49" i="20"/>
  <c r="BI49" i="20"/>
  <c r="AZ49" i="20"/>
  <c r="AR49" i="20"/>
  <c r="AJ49" i="20"/>
  <c r="AB49" i="20"/>
  <c r="T49" i="20"/>
  <c r="L49" i="20"/>
  <c r="CT50" i="20" a="1"/>
  <c r="CT50" i="20" s="1"/>
  <c r="CP50" i="20" a="1"/>
  <c r="CP50" i="20" s="1"/>
  <c r="CL50" i="20" a="1"/>
  <c r="CL50" i="20" s="1"/>
  <c r="CH50" i="20" a="1"/>
  <c r="CH50" i="20" s="1"/>
  <c r="CD50" i="20" a="1"/>
  <c r="CD50" i="20" s="1"/>
  <c r="BZ50" i="20" a="1"/>
  <c r="BZ50" i="20" s="1"/>
  <c r="BV50" i="20" a="1"/>
  <c r="BV50" i="20" s="1"/>
  <c r="BR50" i="20" a="1"/>
  <c r="BR50" i="20" s="1"/>
  <c r="BN50" i="20" a="1"/>
  <c r="BN50" i="20" s="1"/>
  <c r="BJ50" i="20" a="1"/>
  <c r="BJ50" i="20" s="1"/>
  <c r="BF50" i="20" a="1"/>
  <c r="BF50" i="20" s="1"/>
  <c r="BA50" i="20" a="1"/>
  <c r="BA50" i="20" s="1"/>
  <c r="AW50" i="20" a="1"/>
  <c r="AW50" i="20" s="1"/>
  <c r="AS50" i="20" a="1"/>
  <c r="AS50" i="20" s="1"/>
  <c r="AO50" i="20" a="1"/>
  <c r="AO50" i="20" s="1"/>
  <c r="AK50" i="20" a="1"/>
  <c r="AK50" i="20" s="1"/>
  <c r="AG50" i="20" a="1"/>
  <c r="AG50" i="20" s="1"/>
  <c r="AC50" i="20" a="1"/>
  <c r="AC50" i="20" s="1"/>
  <c r="Y50" i="20" a="1"/>
  <c r="Y50" i="20" s="1"/>
  <c r="U50" i="20" a="1"/>
  <c r="U50" i="20" s="1"/>
  <c r="Q50" i="20" a="1"/>
  <c r="Q50" i="20" s="1"/>
  <c r="M50" i="20" a="1"/>
  <c r="M50" i="20" s="1"/>
  <c r="CT49" i="20"/>
  <c r="CL49" i="20"/>
  <c r="CD49" i="20"/>
  <c r="BV49" i="20"/>
  <c r="BN49" i="20"/>
  <c r="BF49" i="20"/>
  <c r="AW49" i="20"/>
  <c r="AO49" i="20"/>
  <c r="AG49" i="20"/>
  <c r="Y49" i="20"/>
  <c r="Q49" i="20"/>
  <c r="H49" i="20"/>
  <c r="CS50" i="20" a="1"/>
  <c r="CS50" i="20" s="1"/>
  <c r="CO50" i="20" a="1"/>
  <c r="CO50" i="20" s="1"/>
  <c r="CK50" i="20" a="1"/>
  <c r="CK50" i="20" s="1"/>
  <c r="CG50" i="20" a="1"/>
  <c r="CG50" i="20" s="1"/>
  <c r="CC50" i="20" a="1"/>
  <c r="CC50" i="20" s="1"/>
  <c r="BY50" i="20" a="1"/>
  <c r="BY50" i="20" s="1"/>
  <c r="BU50" i="20" a="1"/>
  <c r="BU50" i="20" s="1"/>
  <c r="BQ50" i="20" a="1"/>
  <c r="BQ50" i="20" s="1"/>
  <c r="BM50" i="20" a="1"/>
  <c r="BM50" i="20" s="1"/>
  <c r="BI50" i="20" a="1"/>
  <c r="BI50" i="20" s="1"/>
  <c r="BE50" i="20" a="1"/>
  <c r="BE50" i="20" s="1"/>
  <c r="AZ50" i="20" a="1"/>
  <c r="AZ50" i="20" s="1"/>
  <c r="AV50" i="20" a="1"/>
  <c r="AV50" i="20" s="1"/>
  <c r="AR50" i="20" a="1"/>
  <c r="AR50" i="20" s="1"/>
  <c r="AN50" i="20" a="1"/>
  <c r="AN50" i="20" s="1"/>
  <c r="AJ50" i="20" a="1"/>
  <c r="AJ50" i="20" s="1"/>
  <c r="AF50" i="20" a="1"/>
  <c r="AF50" i="20" s="1"/>
  <c r="AB50" i="20" a="1"/>
  <c r="AB50" i="20" s="1"/>
  <c r="X50" i="20" a="1"/>
  <c r="X50" i="20" s="1"/>
  <c r="T50" i="20" a="1"/>
  <c r="T50" i="20" s="1"/>
  <c r="P50" i="20" a="1"/>
  <c r="P50" i="20" s="1"/>
  <c r="L50" i="20" a="1"/>
  <c r="L50" i="20" s="1"/>
  <c r="CR49" i="20"/>
  <c r="CJ49" i="20"/>
  <c r="CB49" i="20"/>
  <c r="BT49" i="20"/>
  <c r="BL49" i="20"/>
  <c r="BD49" i="20"/>
  <c r="AU49" i="20"/>
  <c r="AM49" i="20"/>
  <c r="AE49" i="20"/>
  <c r="W49" i="20"/>
  <c r="O49" i="20"/>
  <c r="X49" i="20"/>
  <c r="AN49" i="20"/>
  <c r="BE49" i="20"/>
  <c r="BU49" i="20"/>
  <c r="CK49" i="20"/>
  <c r="CO56" i="20" a="1"/>
  <c r="CO56" i="20" s="1"/>
  <c r="CD62" i="20" a="1"/>
  <c r="CD62" i="20" s="1"/>
  <c r="BF64" i="20"/>
  <c r="BT68" i="20" a="1"/>
  <c r="BT68" i="20" s="1"/>
  <c r="S82" i="19"/>
  <c r="AA82" i="19"/>
  <c r="AI82" i="19"/>
  <c r="AQ82" i="19"/>
  <c r="AY82" i="19"/>
  <c r="BG82" i="19"/>
  <c r="BP82" i="19"/>
  <c r="BX82" i="19"/>
  <c r="CF82" i="19"/>
  <c r="CN82" i="19"/>
  <c r="CV82" i="19"/>
  <c r="I83" i="19" a="1"/>
  <c r="I83" i="19" s="1"/>
  <c r="U83" i="19" a="1"/>
  <c r="U83" i="19" s="1"/>
  <c r="Y83" i="19" a="1"/>
  <c r="Y83" i="19" s="1"/>
  <c r="AC83" i="19" a="1"/>
  <c r="AC83" i="19" s="1"/>
  <c r="AG83" i="19" a="1"/>
  <c r="AG83" i="19" s="1"/>
  <c r="AK83" i="19" a="1"/>
  <c r="AK83" i="19" s="1"/>
  <c r="AO83" i="19" a="1"/>
  <c r="AO83" i="19" s="1"/>
  <c r="AS83" i="19" a="1"/>
  <c r="AS83" i="19" s="1"/>
  <c r="AW83" i="19" a="1"/>
  <c r="AW83" i="19" s="1"/>
  <c r="BA83" i="19" a="1"/>
  <c r="BA83" i="19" s="1"/>
  <c r="BE83" i="19" a="1"/>
  <c r="BE83" i="19" s="1"/>
  <c r="BI83" i="19" a="1"/>
  <c r="BI83" i="19" s="1"/>
  <c r="BR83" i="19" a="1"/>
  <c r="BR83" i="19" s="1"/>
  <c r="BV83" i="19" a="1"/>
  <c r="BV83" i="19" s="1"/>
  <c r="CH83" i="19" a="1"/>
  <c r="CH83" i="19" s="1"/>
  <c r="DB83" i="19" a="1"/>
  <c r="DB83" i="19" s="1"/>
  <c r="S88" i="19"/>
  <c r="AA88" i="19"/>
  <c r="AI88" i="19"/>
  <c r="AQ88" i="19"/>
  <c r="AY88" i="19"/>
  <c r="BG88" i="19"/>
  <c r="BP88" i="19"/>
  <c r="BX88" i="19"/>
  <c r="CF88" i="19"/>
  <c r="CN88" i="19"/>
  <c r="CV88" i="19"/>
  <c r="I89" i="19" a="1"/>
  <c r="I89" i="19" s="1"/>
  <c r="U89" i="19" a="1"/>
  <c r="U89" i="19" s="1"/>
  <c r="Y89" i="19" a="1"/>
  <c r="Y89" i="19" s="1"/>
  <c r="AC89" i="19" a="1"/>
  <c r="AC89" i="19" s="1"/>
  <c r="AG89" i="19" a="1"/>
  <c r="AG89" i="19" s="1"/>
  <c r="AK89" i="19" a="1"/>
  <c r="AK89" i="19" s="1"/>
  <c r="AO89" i="19" a="1"/>
  <c r="AO89" i="19" s="1"/>
  <c r="AS89" i="19" a="1"/>
  <c r="AS89" i="19" s="1"/>
  <c r="AW89" i="19" a="1"/>
  <c r="AW89" i="19" s="1"/>
  <c r="BA89" i="19" a="1"/>
  <c r="BA89" i="19" s="1"/>
  <c r="BE89" i="19" a="1"/>
  <c r="BE89" i="19" s="1"/>
  <c r="BI89" i="19" a="1"/>
  <c r="BI89" i="19" s="1"/>
  <c r="BR89" i="19" a="1"/>
  <c r="BR89" i="19" s="1"/>
  <c r="CP89" i="19" a="1"/>
  <c r="CP89" i="19" s="1"/>
  <c r="DB89" i="19" a="1"/>
  <c r="DB89" i="19" s="1"/>
  <c r="N91" i="19"/>
  <c r="W91" i="19"/>
  <c r="AE91" i="19"/>
  <c r="AM91" i="19"/>
  <c r="AU91" i="19"/>
  <c r="BC91" i="19"/>
  <c r="BL91" i="19"/>
  <c r="BT91" i="19"/>
  <c r="CB91" i="19"/>
  <c r="CJ91" i="19"/>
  <c r="CR91" i="19"/>
  <c r="CZ91" i="19"/>
  <c r="N92" i="19" a="1"/>
  <c r="N92" i="19" s="1"/>
  <c r="S92" i="19" a="1"/>
  <c r="S92" i="19" s="1"/>
  <c r="W92" i="19" a="1"/>
  <c r="W92" i="19" s="1"/>
  <c r="AA92" i="19" a="1"/>
  <c r="AA92" i="19" s="1"/>
  <c r="AE92" i="19" a="1"/>
  <c r="AE92" i="19" s="1"/>
  <c r="AI92" i="19" a="1"/>
  <c r="AI92" i="19" s="1"/>
  <c r="AM92" i="19" a="1"/>
  <c r="AM92" i="19" s="1"/>
  <c r="AQ92" i="19" a="1"/>
  <c r="AQ92" i="19" s="1"/>
  <c r="AU92" i="19" a="1"/>
  <c r="AU92" i="19" s="1"/>
  <c r="AY92" i="19" a="1"/>
  <c r="AY92" i="19" s="1"/>
  <c r="BC92" i="19" a="1"/>
  <c r="BC92" i="19" s="1"/>
  <c r="BG92" i="19" a="1"/>
  <c r="BG92" i="19" s="1"/>
  <c r="CN92" i="19" a="1"/>
  <c r="CN92" i="19" s="1"/>
  <c r="BG86" i="20" a="1"/>
  <c r="BG86" i="20" s="1"/>
  <c r="BG77" i="20" a="1"/>
  <c r="BG77" i="20" s="1"/>
  <c r="BG71" i="20" a="1"/>
  <c r="BG71" i="20" s="1"/>
  <c r="BG53" i="20" a="1"/>
  <c r="BG53" i="20" s="1"/>
  <c r="BO77" i="20" a="1"/>
  <c r="BO77" i="20" s="1"/>
  <c r="BO56" i="20" a="1"/>
  <c r="BO56" i="20" s="1"/>
  <c r="BO71" i="20" a="1"/>
  <c r="BO71" i="20" s="1"/>
  <c r="BO59" i="20" a="1"/>
  <c r="BO59" i="20" s="1"/>
  <c r="BO53" i="20" a="1"/>
  <c r="BO53" i="20" s="1"/>
  <c r="BW86" i="20" a="1"/>
  <c r="BW86" i="20" s="1"/>
  <c r="BW59" i="20" a="1"/>
  <c r="BW59" i="20" s="1"/>
  <c r="BW53" i="20" a="1"/>
  <c r="BW53" i="20" s="1"/>
  <c r="CE71" i="20" a="1"/>
  <c r="CE71" i="20" s="1"/>
  <c r="CE53" i="20" a="1"/>
  <c r="CE53" i="20" s="1"/>
  <c r="CM77" i="20" a="1"/>
  <c r="CM77" i="20" s="1"/>
  <c r="CM59" i="20" a="1"/>
  <c r="CM59" i="20" s="1"/>
  <c r="CM53" i="20" a="1"/>
  <c r="CM53" i="20" s="1"/>
  <c r="CU77" i="20" a="1"/>
  <c r="CU77" i="20" s="1"/>
  <c r="CU71" i="20" a="1"/>
  <c r="CU71" i="20" s="1"/>
  <c r="CU80" i="20" a="1"/>
  <c r="CU80" i="20" s="1"/>
  <c r="CU56" i="20" a="1"/>
  <c r="CU56" i="20" s="1"/>
  <c r="CU59" i="20" a="1"/>
  <c r="CU59" i="20" s="1"/>
  <c r="CU53" i="20" a="1"/>
  <c r="CU53" i="20" s="1"/>
  <c r="BZ37" i="20"/>
  <c r="CM37" i="20"/>
  <c r="BJ40" i="20"/>
  <c r="CI40" i="20"/>
  <c r="CU40" i="20"/>
  <c r="BD41" i="20" a="1"/>
  <c r="BD41" i="20" s="1"/>
  <c r="BJ41" i="20" a="1"/>
  <c r="BJ41" i="20" s="1"/>
  <c r="CJ41" i="20" a="1"/>
  <c r="CJ41" i="20" s="1"/>
  <c r="CP41" i="20" a="1"/>
  <c r="CP41" i="20" s="1"/>
  <c r="H43" i="20"/>
  <c r="U43" i="20"/>
  <c r="AH43" i="20"/>
  <c r="AV43" i="20"/>
  <c r="BI43" i="20"/>
  <c r="BV43" i="20"/>
  <c r="CH43" i="20"/>
  <c r="CU43" i="20"/>
  <c r="AC44" i="20" a="1"/>
  <c r="AC44" i="20" s="1"/>
  <c r="AI44" i="20" a="1"/>
  <c r="AI44" i="20" s="1"/>
  <c r="BJ44" i="20" a="1"/>
  <c r="BJ44" i="20" s="1"/>
  <c r="BP44" i="20" a="1"/>
  <c r="BP44" i="20" s="1"/>
  <c r="AR47" i="20" a="1"/>
  <c r="AR47" i="20" s="1"/>
  <c r="AZ47" i="20" a="1"/>
  <c r="AZ47" i="20" s="1"/>
  <c r="BI47" i="20" a="1"/>
  <c r="BI47" i="20" s="1"/>
  <c r="BQ47" i="20" a="1"/>
  <c r="BQ47" i="20" s="1"/>
  <c r="BY47" i="20" a="1"/>
  <c r="BY47" i="20" s="1"/>
  <c r="CG47" i="20" a="1"/>
  <c r="CG47" i="20" s="1"/>
  <c r="I49" i="20"/>
  <c r="Z49" i="20"/>
  <c r="AP49" i="20"/>
  <c r="BG49" i="20"/>
  <c r="BW49" i="20"/>
  <c r="CM49" i="20"/>
  <c r="BR53" i="20" a="1"/>
  <c r="BR53" i="20" s="1"/>
  <c r="CH53" i="20" a="1"/>
  <c r="CH53" i="20" s="1"/>
  <c r="BS62" i="20" a="1"/>
  <c r="BS62" i="20" s="1"/>
  <c r="CA64" i="20"/>
  <c r="CH65" i="20" a="1"/>
  <c r="CH65" i="20" s="1"/>
  <c r="H82" i="19"/>
  <c r="T82" i="19"/>
  <c r="AB82" i="19"/>
  <c r="AJ82" i="19"/>
  <c r="AR82" i="19"/>
  <c r="AZ82" i="19"/>
  <c r="BH82" i="19"/>
  <c r="BQ82" i="19"/>
  <c r="BY82" i="19"/>
  <c r="CG82" i="19"/>
  <c r="CO82" i="19"/>
  <c r="H88" i="19"/>
  <c r="T88" i="19"/>
  <c r="AB88" i="19"/>
  <c r="AJ88" i="19"/>
  <c r="AR88" i="19"/>
  <c r="AZ88" i="19"/>
  <c r="BH88" i="19"/>
  <c r="BQ88" i="19"/>
  <c r="BY88" i="19"/>
  <c r="CG88" i="19"/>
  <c r="CO88" i="19"/>
  <c r="O91" i="19"/>
  <c r="X91" i="19"/>
  <c r="AF91" i="19"/>
  <c r="AN91" i="19"/>
  <c r="AV91" i="19"/>
  <c r="BD91" i="19"/>
  <c r="BM91" i="19"/>
  <c r="BU91" i="19"/>
  <c r="CC91" i="19"/>
  <c r="CK91" i="19"/>
  <c r="CS91" i="19"/>
  <c r="BH71" i="20" a="1"/>
  <c r="BH71" i="20" s="1"/>
  <c r="BH53" i="20" a="1"/>
  <c r="BH53" i="20" s="1"/>
  <c r="BH38" i="20"/>
  <c r="BP71" i="20" a="1"/>
  <c r="BP71" i="20" s="1"/>
  <c r="BP77" i="20" a="1"/>
  <c r="BP77" i="20" s="1"/>
  <c r="BP53" i="20" a="1"/>
  <c r="BP53" i="20" s="1"/>
  <c r="BP59" i="20" a="1"/>
  <c r="BP59" i="20" s="1"/>
  <c r="BP38" i="20"/>
  <c r="BX77" i="20" a="1"/>
  <c r="BX77" i="20" s="1"/>
  <c r="BX86" i="20" a="1"/>
  <c r="BX86" i="20" s="1"/>
  <c r="BX83" i="20" a="1"/>
  <c r="BX83" i="20" s="1"/>
  <c r="BX71" i="20" a="1"/>
  <c r="BX71" i="20" s="1"/>
  <c r="BX56" i="20" a="1"/>
  <c r="BX56" i="20" s="1"/>
  <c r="BX53" i="20" a="1"/>
  <c r="BX53" i="20" s="1"/>
  <c r="BX38" i="20"/>
  <c r="CF83" i="20" a="1"/>
  <c r="CF83" i="20" s="1"/>
  <c r="CF71" i="20" a="1"/>
  <c r="CF71" i="20" s="1"/>
  <c r="CF74" i="20" a="1"/>
  <c r="CF74" i="20" s="1"/>
  <c r="CF53" i="20" a="1"/>
  <c r="CF53" i="20" s="1"/>
  <c r="CF38" i="20"/>
  <c r="CN86" i="20" a="1"/>
  <c r="CN86" i="20" s="1"/>
  <c r="CN71" i="20" a="1"/>
  <c r="CN71" i="20" s="1"/>
  <c r="CN53" i="20" a="1"/>
  <c r="CN53" i="20" s="1"/>
  <c r="CN38" i="20"/>
  <c r="BO37" i="20"/>
  <c r="CA37" i="20"/>
  <c r="CN37" i="20"/>
  <c r="BZ38" i="20"/>
  <c r="CM38" i="20"/>
  <c r="BK40" i="20"/>
  <c r="BW40" i="20"/>
  <c r="CJ40" i="20"/>
  <c r="BX41" i="20" a="1"/>
  <c r="BX41" i="20" s="1"/>
  <c r="I43" i="20"/>
  <c r="X43" i="20"/>
  <c r="AJ43" i="20"/>
  <c r="AW43" i="20"/>
  <c r="BJ43" i="20"/>
  <c r="BW43" i="20"/>
  <c r="CK43" i="20"/>
  <c r="Q44" i="20" a="1"/>
  <c r="Q44" i="20" s="1"/>
  <c r="W44" i="20" a="1"/>
  <c r="W44" i="20" s="1"/>
  <c r="AW44" i="20" a="1"/>
  <c r="AW44" i="20" s="1"/>
  <c r="BD44" i="20" a="1"/>
  <c r="BD44" i="20" s="1"/>
  <c r="BX44" i="20" a="1"/>
  <c r="BX44" i="20" s="1"/>
  <c r="CF44" i="20" a="1"/>
  <c r="CF44" i="20" s="1"/>
  <c r="CN44" i="20" a="1"/>
  <c r="CN44" i="20" s="1"/>
  <c r="CU46" i="20"/>
  <c r="CM46" i="20"/>
  <c r="CE46" i="20"/>
  <c r="BW46" i="20"/>
  <c r="BO46" i="20"/>
  <c r="BG46" i="20"/>
  <c r="AX46" i="20"/>
  <c r="AP46" i="20"/>
  <c r="AH46" i="20"/>
  <c r="Z46" i="20"/>
  <c r="R46" i="20"/>
  <c r="I46" i="20"/>
  <c r="CT47" i="20" a="1"/>
  <c r="CT47" i="20" s="1"/>
  <c r="CP47" i="20" a="1"/>
  <c r="CP47" i="20" s="1"/>
  <c r="CL47" i="20" a="1"/>
  <c r="CL47" i="20" s="1"/>
  <c r="CH47" i="20" a="1"/>
  <c r="CH47" i="20" s="1"/>
  <c r="CD47" i="20" a="1"/>
  <c r="CD47" i="20" s="1"/>
  <c r="BZ47" i="20" a="1"/>
  <c r="BZ47" i="20" s="1"/>
  <c r="BV47" i="20" a="1"/>
  <c r="BV47" i="20" s="1"/>
  <c r="BR47" i="20" a="1"/>
  <c r="BR47" i="20" s="1"/>
  <c r="BN47" i="20" a="1"/>
  <c r="BN47" i="20" s="1"/>
  <c r="BJ47" i="20" a="1"/>
  <c r="BJ47" i="20" s="1"/>
  <c r="BF47" i="20" a="1"/>
  <c r="BF47" i="20" s="1"/>
  <c r="BA47" i="20" a="1"/>
  <c r="BA47" i="20" s="1"/>
  <c r="AW47" i="20" a="1"/>
  <c r="AW47" i="20" s="1"/>
  <c r="AS47" i="20" a="1"/>
  <c r="AS47" i="20" s="1"/>
  <c r="AO47" i="20" a="1"/>
  <c r="AO47" i="20" s="1"/>
  <c r="AK47" i="20" a="1"/>
  <c r="AK47" i="20" s="1"/>
  <c r="AG47" i="20" a="1"/>
  <c r="AG47" i="20" s="1"/>
  <c r="AC47" i="20" a="1"/>
  <c r="AC47" i="20" s="1"/>
  <c r="Y47" i="20" a="1"/>
  <c r="Y47" i="20" s="1"/>
  <c r="U47" i="20" a="1"/>
  <c r="U47" i="20" s="1"/>
  <c r="Q47" i="20" a="1"/>
  <c r="Q47" i="20" s="1"/>
  <c r="M47" i="20" a="1"/>
  <c r="M47" i="20" s="1"/>
  <c r="CT46" i="20"/>
  <c r="CL46" i="20"/>
  <c r="CD46" i="20"/>
  <c r="BV46" i="20"/>
  <c r="BN46" i="20"/>
  <c r="BF46" i="20"/>
  <c r="AW46" i="20"/>
  <c r="AO46" i="20"/>
  <c r="AG46" i="20"/>
  <c r="Y46" i="20"/>
  <c r="Q46" i="20"/>
  <c r="H46" i="20"/>
  <c r="CQ46" i="20"/>
  <c r="CI46" i="20"/>
  <c r="CA46" i="20"/>
  <c r="BS46" i="20"/>
  <c r="BK46" i="20"/>
  <c r="BB46" i="20"/>
  <c r="AT46" i="20"/>
  <c r="AL46" i="20"/>
  <c r="AD46" i="20"/>
  <c r="V46" i="20"/>
  <c r="N46" i="20"/>
  <c r="CO46" i="20"/>
  <c r="CG46" i="20"/>
  <c r="BY46" i="20"/>
  <c r="BQ46" i="20"/>
  <c r="BI46" i="20"/>
  <c r="AZ46" i="20"/>
  <c r="AR46" i="20"/>
  <c r="AJ46" i="20"/>
  <c r="AB46" i="20"/>
  <c r="T46" i="20"/>
  <c r="L46" i="20"/>
  <c r="X46" i="20"/>
  <c r="AN46" i="20"/>
  <c r="BE46" i="20"/>
  <c r="BU46" i="20"/>
  <c r="CK46" i="20"/>
  <c r="K49" i="20"/>
  <c r="AA49" i="20"/>
  <c r="AQ49" i="20"/>
  <c r="BH49" i="20"/>
  <c r="BX49" i="20"/>
  <c r="CN49" i="20"/>
  <c r="N50" i="20" a="1"/>
  <c r="N50" i="20" s="1"/>
  <c r="V50" i="20" a="1"/>
  <c r="V50" i="20" s="1"/>
  <c r="AD50" i="20" a="1"/>
  <c r="AD50" i="20" s="1"/>
  <c r="AL50" i="20" a="1"/>
  <c r="AL50" i="20" s="1"/>
  <c r="AT50" i="20" a="1"/>
  <c r="AT50" i="20" s="1"/>
  <c r="BB50" i="20" a="1"/>
  <c r="BB50" i="20" s="1"/>
  <c r="BK50" i="20" a="1"/>
  <c r="BK50" i="20" s="1"/>
  <c r="BS50" i="20" a="1"/>
  <c r="BS50" i="20" s="1"/>
  <c r="CA50" i="20" a="1"/>
  <c r="CA50" i="20" s="1"/>
  <c r="CI50" i="20" a="1"/>
  <c r="CI50" i="20" s="1"/>
  <c r="CQ50" i="20" a="1"/>
  <c r="CQ50" i="20" s="1"/>
  <c r="CS65" i="20" a="1"/>
  <c r="CS65" i="20" s="1"/>
  <c r="W56" i="20" a="1"/>
  <c r="W56" i="20" s="1"/>
  <c r="AA56" i="20" a="1"/>
  <c r="AA56" i="20" s="1"/>
  <c r="AE56" i="20" a="1"/>
  <c r="AE56" i="20" s="1"/>
  <c r="AI56" i="20" a="1"/>
  <c r="AI56" i="20" s="1"/>
  <c r="AM56" i="20" a="1"/>
  <c r="AM56" i="20" s="1"/>
  <c r="AQ56" i="20" a="1"/>
  <c r="AQ56" i="20" s="1"/>
  <c r="AU56" i="20" a="1"/>
  <c r="AU56" i="20" s="1"/>
  <c r="AY56" i="20" a="1"/>
  <c r="AY56" i="20" s="1"/>
  <c r="BD56" i="20" a="1"/>
  <c r="BD56" i="20" s="1"/>
  <c r="BH56" i="20" a="1"/>
  <c r="BH56" i="20" s="1"/>
  <c r="BQ56" i="20" a="1"/>
  <c r="BQ56" i="20" s="1"/>
  <c r="CE56" i="20" a="1"/>
  <c r="CE56" i="20" s="1"/>
  <c r="CN56" i="20" a="1"/>
  <c r="CN56" i="20" s="1"/>
  <c r="N61" i="20"/>
  <c r="Z61" i="20"/>
  <c r="AL61" i="20"/>
  <c r="AX61" i="20"/>
  <c r="BK61" i="20"/>
  <c r="BW61" i="20"/>
  <c r="CI61" i="20"/>
  <c r="I62" i="20" a="1"/>
  <c r="I62" i="20" s="1"/>
  <c r="V62" i="20" a="1"/>
  <c r="V62" i="20" s="1"/>
  <c r="AQ62" i="20" a="1"/>
  <c r="AQ62" i="20" s="1"/>
  <c r="BF62" i="20" a="1"/>
  <c r="BF62" i="20" s="1"/>
  <c r="BT62" i="20" a="1"/>
  <c r="BT62" i="20" s="1"/>
  <c r="CA62" i="20" a="1"/>
  <c r="CA62" i="20" s="1"/>
  <c r="CQ67" i="20"/>
  <c r="CI67" i="20"/>
  <c r="CA67" i="20"/>
  <c r="BS67" i="20"/>
  <c r="BK67" i="20"/>
  <c r="BB67" i="20"/>
  <c r="AT67" i="20"/>
  <c r="AL67" i="20"/>
  <c r="AD67" i="20"/>
  <c r="V67" i="20"/>
  <c r="N67" i="20"/>
  <c r="CO68" i="20" a="1"/>
  <c r="CO68" i="20" s="1"/>
  <c r="CJ68" i="20" a="1"/>
  <c r="CJ68" i="20" s="1"/>
  <c r="CA68" i="20" a="1"/>
  <c r="CA68" i="20" s="1"/>
  <c r="BR68" i="20" a="1"/>
  <c r="BR68" i="20" s="1"/>
  <c r="BI68" i="20" a="1"/>
  <c r="BI68" i="20" s="1"/>
  <c r="BD68" i="20" a="1"/>
  <c r="BD68" i="20" s="1"/>
  <c r="AT68" i="20" a="1"/>
  <c r="AT68" i="20" s="1"/>
  <c r="AK68" i="20" a="1"/>
  <c r="AK68" i="20" s="1"/>
  <c r="AB68" i="20" a="1"/>
  <c r="AB68" i="20" s="1"/>
  <c r="W68" i="20" a="1"/>
  <c r="W68" i="20" s="1"/>
  <c r="N68" i="20" a="1"/>
  <c r="N68" i="20" s="1"/>
  <c r="CU67" i="20"/>
  <c r="CL67" i="20"/>
  <c r="CC67" i="20"/>
  <c r="BT67" i="20"/>
  <c r="BJ67" i="20"/>
  <c r="AZ67" i="20"/>
  <c r="AQ67" i="20"/>
  <c r="AH67" i="20"/>
  <c r="Y67" i="20"/>
  <c r="P67" i="20"/>
  <c r="CM68" i="20" a="1"/>
  <c r="CM68" i="20" s="1"/>
  <c r="CD68" i="20" a="1"/>
  <c r="CD68" i="20" s="1"/>
  <c r="BU68" i="20" a="1"/>
  <c r="BU68" i="20" s="1"/>
  <c r="BP68" i="20" a="1"/>
  <c r="BP68" i="20" s="1"/>
  <c r="BG68" i="20" a="1"/>
  <c r="BG68" i="20" s="1"/>
  <c r="AW68" i="20" a="1"/>
  <c r="AW68" i="20" s="1"/>
  <c r="AN68" i="20" a="1"/>
  <c r="AN68" i="20" s="1"/>
  <c r="AI68" i="20" a="1"/>
  <c r="AI68" i="20" s="1"/>
  <c r="Z68" i="20" a="1"/>
  <c r="Z68" i="20" s="1"/>
  <c r="Q68" i="20" a="1"/>
  <c r="Q68" i="20" s="1"/>
  <c r="CR67" i="20"/>
  <c r="CH67" i="20"/>
  <c r="BY67" i="20"/>
  <c r="BP67" i="20"/>
  <c r="BG67" i="20"/>
  <c r="AW67" i="20"/>
  <c r="AN67" i="20"/>
  <c r="AE67" i="20"/>
  <c r="U67" i="20"/>
  <c r="L67" i="20"/>
  <c r="CN68" i="20" a="1"/>
  <c r="CN68" i="20" s="1"/>
  <c r="CH68" i="20" a="1"/>
  <c r="CH68" i="20" s="1"/>
  <c r="CB68" i="20" a="1"/>
  <c r="CB68" i="20" s="1"/>
  <c r="BV68" i="20" a="1"/>
  <c r="BV68" i="20" s="1"/>
  <c r="BJ68" i="20" a="1"/>
  <c r="BJ68" i="20" s="1"/>
  <c r="AD68" i="20" a="1"/>
  <c r="AD68" i="20" s="1"/>
  <c r="R68" i="20" a="1"/>
  <c r="R68" i="20" s="1"/>
  <c r="L68" i="20" a="1"/>
  <c r="L68" i="20" s="1"/>
  <c r="CN67" i="20"/>
  <c r="CB67" i="20"/>
  <c r="BO67" i="20"/>
  <c r="BD67" i="20"/>
  <c r="AP67" i="20"/>
  <c r="AC67" i="20"/>
  <c r="R67" i="20"/>
  <c r="CT68" i="20" a="1"/>
  <c r="CT68" i="20" s="1"/>
  <c r="BO68" i="20" a="1"/>
  <c r="BO68" i="20" s="1"/>
  <c r="BB68" i="20" a="1"/>
  <c r="BB68" i="20" s="1"/>
  <c r="AV68" i="20" a="1"/>
  <c r="AV68" i="20" s="1"/>
  <c r="AP68" i="20" a="1"/>
  <c r="AP68" i="20" s="1"/>
  <c r="AJ68" i="20" a="1"/>
  <c r="AJ68" i="20" s="1"/>
  <c r="X68" i="20" a="1"/>
  <c r="X68" i="20" s="1"/>
  <c r="K68" i="20" a="1"/>
  <c r="K68" i="20" s="1"/>
  <c r="CM67" i="20"/>
  <c r="BZ67" i="20"/>
  <c r="BN67" i="20"/>
  <c r="BA67" i="20"/>
  <c r="AO67" i="20"/>
  <c r="AB67" i="20"/>
  <c r="Q67" i="20"/>
  <c r="CQ68" i="20" a="1"/>
  <c r="CQ68" i="20" s="1"/>
  <c r="CE68" i="20" a="1"/>
  <c r="CE68" i="20" s="1"/>
  <c r="BY68" i="20" a="1"/>
  <c r="BY68" i="20" s="1"/>
  <c r="BS68" i="20" a="1"/>
  <c r="BS68" i="20" s="1"/>
  <c r="BM68" i="20" a="1"/>
  <c r="BM68" i="20" s="1"/>
  <c r="AZ68" i="20" a="1"/>
  <c r="AZ68" i="20" s="1"/>
  <c r="AM68" i="20" a="1"/>
  <c r="AM68" i="20" s="1"/>
  <c r="AA68" i="20" a="1"/>
  <c r="AA68" i="20" s="1"/>
  <c r="U68" i="20" a="1"/>
  <c r="U68" i="20" s="1"/>
  <c r="O68" i="20" a="1"/>
  <c r="O68" i="20" s="1"/>
  <c r="CT67" i="20"/>
  <c r="CG67" i="20"/>
  <c r="BV67" i="20"/>
  <c r="BI67" i="20"/>
  <c r="AV67" i="20"/>
  <c r="AJ67" i="20"/>
  <c r="X67" i="20"/>
  <c r="K67" i="20"/>
  <c r="CK68" i="20" a="1"/>
  <c r="CK68" i="20" s="1"/>
  <c r="BX68" i="20" a="1"/>
  <c r="BX68" i="20" s="1"/>
  <c r="BL68" i="20" a="1"/>
  <c r="BL68" i="20" s="1"/>
  <c r="BF68" i="20" a="1"/>
  <c r="BF68" i="20" s="1"/>
  <c r="AY68" i="20" a="1"/>
  <c r="AY68" i="20" s="1"/>
  <c r="AS68" i="20" a="1"/>
  <c r="AS68" i="20" s="1"/>
  <c r="AG68" i="20" a="1"/>
  <c r="AG68" i="20" s="1"/>
  <c r="CS67" i="20"/>
  <c r="CF67" i="20"/>
  <c r="BU67" i="20"/>
  <c r="BH67" i="20"/>
  <c r="AU67" i="20"/>
  <c r="AI67" i="20"/>
  <c r="W67" i="20"/>
  <c r="I67" i="20"/>
  <c r="AF67" i="20"/>
  <c r="BE67" i="20"/>
  <c r="CD67" i="20"/>
  <c r="M68" i="20" a="1"/>
  <c r="M68" i="20" s="1"/>
  <c r="Y68" i="20" a="1"/>
  <c r="Y68" i="20" s="1"/>
  <c r="BW68" i="20" a="1"/>
  <c r="BW68" i="20" s="1"/>
  <c r="CI68" i="20" a="1"/>
  <c r="CI68" i="20" s="1"/>
  <c r="CU68" i="20" a="1"/>
  <c r="CU68" i="20" s="1"/>
  <c r="N55" i="20"/>
  <c r="V55" i="20"/>
  <c r="AD55" i="20"/>
  <c r="AL55" i="20"/>
  <c r="AT55" i="20"/>
  <c r="BB55" i="20"/>
  <c r="BK55" i="20"/>
  <c r="BS55" i="20"/>
  <c r="CA55" i="20"/>
  <c r="CI55" i="20"/>
  <c r="CQ55" i="20"/>
  <c r="BM56" i="20" a="1"/>
  <c r="BM56" i="20" s="1"/>
  <c r="CA56" i="20" a="1"/>
  <c r="CA56" i="20" s="1"/>
  <c r="CJ56" i="20" a="1"/>
  <c r="CJ56" i="20" s="1"/>
  <c r="CS56" i="20" a="1"/>
  <c r="CS56" i="20" s="1"/>
  <c r="P61" i="20"/>
  <c r="AA61" i="20"/>
  <c r="AN61" i="20"/>
  <c r="AY61" i="20"/>
  <c r="BM61" i="20"/>
  <c r="BX61" i="20"/>
  <c r="CL61" i="20"/>
  <c r="K62" i="20" a="1"/>
  <c r="K62" i="20" s="1"/>
  <c r="Q62" i="20" a="1"/>
  <c r="Q62" i="20" s="1"/>
  <c r="W62" i="20" a="1"/>
  <c r="W62" i="20" s="1"/>
  <c r="AK62" i="20" a="1"/>
  <c r="AK62" i="20" s="1"/>
  <c r="AY62" i="20" a="1"/>
  <c r="AY62" i="20" s="1"/>
  <c r="BG62" i="20" a="1"/>
  <c r="BG62" i="20" s="1"/>
  <c r="BN62" i="20" a="1"/>
  <c r="BN62" i="20" s="1"/>
  <c r="CI62" i="20" a="1"/>
  <c r="CI62" i="20" s="1"/>
  <c r="H67" i="20"/>
  <c r="AG67" i="20"/>
  <c r="BF67" i="20"/>
  <c r="CE67" i="20"/>
  <c r="AL68" i="20" a="1"/>
  <c r="AL68" i="20" s="1"/>
  <c r="AX68" i="20" a="1"/>
  <c r="AX68" i="20" s="1"/>
  <c r="BK68" i="20" a="1"/>
  <c r="BK68" i="20" s="1"/>
  <c r="P40" i="20"/>
  <c r="X40" i="20"/>
  <c r="AF40" i="20"/>
  <c r="AN40" i="20"/>
  <c r="AV40" i="20"/>
  <c r="BE40" i="20"/>
  <c r="BM40" i="20"/>
  <c r="BU40" i="20"/>
  <c r="CC40" i="20"/>
  <c r="CK40" i="20"/>
  <c r="CS40" i="20"/>
  <c r="O55" i="20"/>
  <c r="W55" i="20"/>
  <c r="AE55" i="20"/>
  <c r="AM55" i="20"/>
  <c r="AU55" i="20"/>
  <c r="BD55" i="20"/>
  <c r="BL55" i="20"/>
  <c r="BT55" i="20"/>
  <c r="CB55" i="20"/>
  <c r="CJ55" i="20"/>
  <c r="CR55" i="20"/>
  <c r="L56" i="20" a="1"/>
  <c r="L56" i="20" s="1"/>
  <c r="P56" i="20" a="1"/>
  <c r="P56" i="20" s="1"/>
  <c r="T56" i="20" a="1"/>
  <c r="T56" i="20" s="1"/>
  <c r="X56" i="20" a="1"/>
  <c r="X56" i="20" s="1"/>
  <c r="AB56" i="20" a="1"/>
  <c r="AB56" i="20" s="1"/>
  <c r="AF56" i="20" a="1"/>
  <c r="AF56" i="20" s="1"/>
  <c r="AJ56" i="20" a="1"/>
  <c r="AJ56" i="20" s="1"/>
  <c r="AN56" i="20" a="1"/>
  <c r="AN56" i="20" s="1"/>
  <c r="AR56" i="20" a="1"/>
  <c r="AR56" i="20" s="1"/>
  <c r="AV56" i="20" a="1"/>
  <c r="AV56" i="20" s="1"/>
  <c r="AZ56" i="20" a="1"/>
  <c r="AZ56" i="20" s="1"/>
  <c r="BE56" i="20" a="1"/>
  <c r="BE56" i="20" s="1"/>
  <c r="BI56" i="20" a="1"/>
  <c r="BI56" i="20" s="1"/>
  <c r="BW56" i="20" a="1"/>
  <c r="BW56" i="20" s="1"/>
  <c r="CF56" i="20" a="1"/>
  <c r="CF56" i="20" s="1"/>
  <c r="CB59" i="20" a="1"/>
  <c r="CB59" i="20" s="1"/>
  <c r="Q61" i="20"/>
  <c r="AC61" i="20"/>
  <c r="AO61" i="20"/>
  <c r="BA61" i="20"/>
  <c r="BN61" i="20"/>
  <c r="CA61" i="20"/>
  <c r="CM61" i="20"/>
  <c r="AD62" i="20" a="1"/>
  <c r="AD62" i="20" s="1"/>
  <c r="BH62" i="20" a="1"/>
  <c r="BH62" i="20" s="1"/>
  <c r="BV62" i="20" a="1"/>
  <c r="BV62" i="20" s="1"/>
  <c r="CJ62" i="20" a="1"/>
  <c r="CJ62" i="20" s="1"/>
  <c r="CQ62" i="20" a="1"/>
  <c r="CQ62" i="20" s="1"/>
  <c r="M67" i="20"/>
  <c r="AK67" i="20"/>
  <c r="BL67" i="20"/>
  <c r="CJ67" i="20"/>
  <c r="P68" i="20" a="1"/>
  <c r="P68" i="20" s="1"/>
  <c r="BN68" i="20" a="1"/>
  <c r="BN68" i="20" s="1"/>
  <c r="BZ68" i="20" a="1"/>
  <c r="BZ68" i="20" s="1"/>
  <c r="CL68" i="20" a="1"/>
  <c r="CL68" i="20" s="1"/>
  <c r="CT56" i="20" a="1"/>
  <c r="CT56" i="20" s="1"/>
  <c r="CP56" i="20" a="1"/>
  <c r="CP56" i="20" s="1"/>
  <c r="CL56" i="20" a="1"/>
  <c r="CL56" i="20" s="1"/>
  <c r="CH56" i="20" a="1"/>
  <c r="CH56" i="20" s="1"/>
  <c r="CD56" i="20" a="1"/>
  <c r="CD56" i="20" s="1"/>
  <c r="BZ56" i="20" a="1"/>
  <c r="BZ56" i="20" s="1"/>
  <c r="BV56" i="20" a="1"/>
  <c r="BV56" i="20" s="1"/>
  <c r="BR56" i="20" a="1"/>
  <c r="BR56" i="20" s="1"/>
  <c r="BN56" i="20" a="1"/>
  <c r="BN56" i="20" s="1"/>
  <c r="BJ56" i="20" a="1"/>
  <c r="BJ56" i="20" s="1"/>
  <c r="P55" i="20"/>
  <c r="X55" i="20"/>
  <c r="AF55" i="20"/>
  <c r="AN55" i="20"/>
  <c r="AV55" i="20"/>
  <c r="BE55" i="20"/>
  <c r="BM55" i="20"/>
  <c r="BU55" i="20"/>
  <c r="CC55" i="20"/>
  <c r="CK55" i="20"/>
  <c r="CS55" i="20"/>
  <c r="BS56" i="20" a="1"/>
  <c r="BS56" i="20" s="1"/>
  <c r="CB56" i="20" a="1"/>
  <c r="CB56" i="20" s="1"/>
  <c r="CK56" i="20" a="1"/>
  <c r="CK56" i="20" s="1"/>
  <c r="R61" i="20"/>
  <c r="AD61" i="20"/>
  <c r="AP61" i="20"/>
  <c r="BB61" i="20"/>
  <c r="BP61" i="20"/>
  <c r="CC61" i="20"/>
  <c r="CN61" i="20"/>
  <c r="R62" i="20" a="1"/>
  <c r="R62" i="20" s="1"/>
  <c r="AL62" i="20" a="1"/>
  <c r="AL62" i="20" s="1"/>
  <c r="BA62" i="20" a="1"/>
  <c r="BA62" i="20" s="1"/>
  <c r="BP62" i="20" a="1"/>
  <c r="BP62" i="20" s="1"/>
  <c r="BW62" i="20" a="1"/>
  <c r="BW62" i="20" s="1"/>
  <c r="O67" i="20"/>
  <c r="AM67" i="20"/>
  <c r="BM67" i="20"/>
  <c r="CK67" i="20"/>
  <c r="AC68" i="20" a="1"/>
  <c r="AC68" i="20" s="1"/>
  <c r="AO68" i="20" a="1"/>
  <c r="AO68" i="20" s="1"/>
  <c r="BA68" i="20" a="1"/>
  <c r="BA68" i="20" s="1"/>
  <c r="CS62" i="20" a="1"/>
  <c r="CS62" i="20" s="1"/>
  <c r="CO62" i="20" a="1"/>
  <c r="CO62" i="20" s="1"/>
  <c r="CK62" i="20" a="1"/>
  <c r="CK62" i="20" s="1"/>
  <c r="CG62" i="20" a="1"/>
  <c r="CG62" i="20" s="1"/>
  <c r="CC62" i="20" a="1"/>
  <c r="CC62" i="20" s="1"/>
  <c r="BY62" i="20" a="1"/>
  <c r="BY62" i="20" s="1"/>
  <c r="BU62" i="20" a="1"/>
  <c r="BU62" i="20" s="1"/>
  <c r="BQ62" i="20" a="1"/>
  <c r="BQ62" i="20" s="1"/>
  <c r="BM62" i="20" a="1"/>
  <c r="BM62" i="20" s="1"/>
  <c r="BI62" i="20" a="1"/>
  <c r="BI62" i="20" s="1"/>
  <c r="BE62" i="20" a="1"/>
  <c r="BE62" i="20" s="1"/>
  <c r="AZ62" i="20" a="1"/>
  <c r="AZ62" i="20" s="1"/>
  <c r="AV62" i="20" a="1"/>
  <c r="AV62" i="20" s="1"/>
  <c r="AR62" i="20" a="1"/>
  <c r="AR62" i="20" s="1"/>
  <c r="AN62" i="20" a="1"/>
  <c r="AN62" i="20" s="1"/>
  <c r="AJ62" i="20" a="1"/>
  <c r="AJ62" i="20" s="1"/>
  <c r="AF62" i="20" a="1"/>
  <c r="AF62" i="20" s="1"/>
  <c r="AB62" i="20" a="1"/>
  <c r="AB62" i="20" s="1"/>
  <c r="X62" i="20" a="1"/>
  <c r="X62" i="20" s="1"/>
  <c r="T62" i="20" a="1"/>
  <c r="T62" i="20" s="1"/>
  <c r="P62" i="20" a="1"/>
  <c r="P62" i="20" s="1"/>
  <c r="L62" i="20" a="1"/>
  <c r="L62" i="20" s="1"/>
  <c r="CR61" i="20"/>
  <c r="CJ61" i="20"/>
  <c r="CB61" i="20"/>
  <c r="BT61" i="20"/>
  <c r="BL61" i="20"/>
  <c r="BD61" i="20"/>
  <c r="AU61" i="20"/>
  <c r="AM61" i="20"/>
  <c r="AE61" i="20"/>
  <c r="W61" i="20"/>
  <c r="O61" i="20"/>
  <c r="CO61" i="20"/>
  <c r="CG61" i="20"/>
  <c r="BY61" i="20"/>
  <c r="BQ61" i="20"/>
  <c r="BI61" i="20"/>
  <c r="AZ61" i="20"/>
  <c r="AR61" i="20"/>
  <c r="AJ61" i="20"/>
  <c r="AB61" i="20"/>
  <c r="T61" i="20"/>
  <c r="L61" i="20"/>
  <c r="CU62" i="20" a="1"/>
  <c r="CU62" i="20" s="1"/>
  <c r="CP62" i="20" a="1"/>
  <c r="CP62" i="20" s="1"/>
  <c r="CE62" i="20" a="1"/>
  <c r="CE62" i="20" s="1"/>
  <c r="BZ62" i="20" a="1"/>
  <c r="BZ62" i="20" s="1"/>
  <c r="BO62" i="20" a="1"/>
  <c r="BO62" i="20" s="1"/>
  <c r="BJ62" i="20" a="1"/>
  <c r="BJ62" i="20" s="1"/>
  <c r="AX62" i="20" a="1"/>
  <c r="AX62" i="20" s="1"/>
  <c r="AS62" i="20" a="1"/>
  <c r="AS62" i="20" s="1"/>
  <c r="AH62" i="20" a="1"/>
  <c r="AH62" i="20" s="1"/>
  <c r="AC62" i="20" a="1"/>
  <c r="AC62" i="20" s="1"/>
  <c r="CR62" i="20" a="1"/>
  <c r="CR62" i="20" s="1"/>
  <c r="CB62" i="20" a="1"/>
  <c r="CB62" i="20" s="1"/>
  <c r="BL62" i="20" a="1"/>
  <c r="BL62" i="20" s="1"/>
  <c r="AU62" i="20" a="1"/>
  <c r="AU62" i="20" s="1"/>
  <c r="AE62" i="20" a="1"/>
  <c r="AE62" i="20" s="1"/>
  <c r="O62" i="20" a="1"/>
  <c r="O62" i="20" s="1"/>
  <c r="CU61" i="20"/>
  <c r="CK61" i="20"/>
  <c r="BZ61" i="20"/>
  <c r="BO61" i="20"/>
  <c r="BE61" i="20"/>
  <c r="AS61" i="20"/>
  <c r="AH61" i="20"/>
  <c r="X61" i="20"/>
  <c r="M61" i="20"/>
  <c r="S61" i="20"/>
  <c r="AF61" i="20"/>
  <c r="AQ61" i="20"/>
  <c r="BF61" i="20"/>
  <c r="BR61" i="20"/>
  <c r="CD61" i="20"/>
  <c r="CP61" i="20"/>
  <c r="M62" i="20" a="1"/>
  <c r="M62" i="20" s="1"/>
  <c r="S62" i="20" a="1"/>
  <c r="S62" i="20" s="1"/>
  <c r="Y62" i="20" a="1"/>
  <c r="Y62" i="20" s="1"/>
  <c r="AM62" i="20" a="1"/>
  <c r="AM62" i="20" s="1"/>
  <c r="AT62" i="20" a="1"/>
  <c r="AT62" i="20" s="1"/>
  <c r="BX62" i="20" a="1"/>
  <c r="BX62" i="20" s="1"/>
  <c r="CL62" i="20" a="1"/>
  <c r="CL62" i="20" s="1"/>
  <c r="S68" i="20" a="1"/>
  <c r="S68" i="20" s="1"/>
  <c r="AE68" i="20" a="1"/>
  <c r="AE68" i="20" s="1"/>
  <c r="AQ68" i="20" a="1"/>
  <c r="AQ68" i="20" s="1"/>
  <c r="BE68" i="20" a="1"/>
  <c r="BE68" i="20" s="1"/>
  <c r="BQ68" i="20" a="1"/>
  <c r="BQ68" i="20" s="1"/>
  <c r="CC68" i="20" a="1"/>
  <c r="CC68" i="20" s="1"/>
  <c r="K40" i="20"/>
  <c r="S40" i="20"/>
  <c r="AA40" i="20"/>
  <c r="AI40" i="20"/>
  <c r="AQ40" i="20"/>
  <c r="AY40" i="20"/>
  <c r="BH40" i="20"/>
  <c r="BP40" i="20"/>
  <c r="BX40" i="20"/>
  <c r="CF40" i="20"/>
  <c r="CN40" i="20"/>
  <c r="I41" i="20" a="1"/>
  <c r="I41" i="20" s="1"/>
  <c r="N41" i="20" a="1"/>
  <c r="N41" i="20" s="1"/>
  <c r="R41" i="20" a="1"/>
  <c r="R41" i="20" s="1"/>
  <c r="V41" i="20" a="1"/>
  <c r="V41" i="20" s="1"/>
  <c r="Z41" i="20" a="1"/>
  <c r="Z41" i="20" s="1"/>
  <c r="AD41" i="20" a="1"/>
  <c r="AD41" i="20" s="1"/>
  <c r="AH41" i="20" a="1"/>
  <c r="AH41" i="20" s="1"/>
  <c r="AL41" i="20" a="1"/>
  <c r="AL41" i="20" s="1"/>
  <c r="AP41" i="20" a="1"/>
  <c r="AP41" i="20" s="1"/>
  <c r="AT41" i="20" a="1"/>
  <c r="AT41" i="20" s="1"/>
  <c r="AX41" i="20" a="1"/>
  <c r="AX41" i="20" s="1"/>
  <c r="BB41" i="20" a="1"/>
  <c r="BB41" i="20" s="1"/>
  <c r="BG41" i="20" a="1"/>
  <c r="BG41" i="20" s="1"/>
  <c r="BK41" i="20" a="1"/>
  <c r="BK41" i="20" s="1"/>
  <c r="BO41" i="20" a="1"/>
  <c r="BO41" i="20" s="1"/>
  <c r="BS41" i="20" a="1"/>
  <c r="BS41" i="20" s="1"/>
  <c r="BW41" i="20" a="1"/>
  <c r="BW41" i="20" s="1"/>
  <c r="CA41" i="20" a="1"/>
  <c r="CA41" i="20" s="1"/>
  <c r="CE41" i="20" a="1"/>
  <c r="CE41" i="20" s="1"/>
  <c r="CI41" i="20" a="1"/>
  <c r="CI41" i="20" s="1"/>
  <c r="CM41" i="20" a="1"/>
  <c r="CM41" i="20" s="1"/>
  <c r="CQ41" i="20" a="1"/>
  <c r="CQ41" i="20" s="1"/>
  <c r="CU41" i="20" a="1"/>
  <c r="CU41" i="20" s="1"/>
  <c r="AJ53" i="20" a="1"/>
  <c r="AJ53" i="20" s="1"/>
  <c r="AN53" i="20" a="1"/>
  <c r="AN53" i="20" s="1"/>
  <c r="AR53" i="20" a="1"/>
  <c r="AR53" i="20" s="1"/>
  <c r="AV53" i="20" a="1"/>
  <c r="AV53" i="20" s="1"/>
  <c r="AZ53" i="20" a="1"/>
  <c r="AZ53" i="20" s="1"/>
  <c r="BE53" i="20" a="1"/>
  <c r="BE53" i="20" s="1"/>
  <c r="BI53" i="20" a="1"/>
  <c r="BI53" i="20" s="1"/>
  <c r="BM53" i="20" a="1"/>
  <c r="BM53" i="20" s="1"/>
  <c r="BQ53" i="20" a="1"/>
  <c r="BQ53" i="20" s="1"/>
  <c r="BU53" i="20" a="1"/>
  <c r="BU53" i="20" s="1"/>
  <c r="BY53" i="20" a="1"/>
  <c r="BY53" i="20" s="1"/>
  <c r="CC53" i="20" a="1"/>
  <c r="CC53" i="20" s="1"/>
  <c r="CG53" i="20" a="1"/>
  <c r="CG53" i="20" s="1"/>
  <c r="CK53" i="20" a="1"/>
  <c r="CK53" i="20" s="1"/>
  <c r="CO53" i="20" a="1"/>
  <c r="CO53" i="20" s="1"/>
  <c r="CS53" i="20" a="1"/>
  <c r="CS53" i="20" s="1"/>
  <c r="I55" i="20"/>
  <c r="R55" i="20"/>
  <c r="Z55" i="20"/>
  <c r="AH55" i="20"/>
  <c r="AP55" i="20"/>
  <c r="AX55" i="20"/>
  <c r="BG55" i="20"/>
  <c r="BO55" i="20"/>
  <c r="BW55" i="20"/>
  <c r="CE55" i="20"/>
  <c r="CM55" i="20"/>
  <c r="CU55" i="20"/>
  <c r="BK56" i="20" a="1"/>
  <c r="BK56" i="20" s="1"/>
  <c r="BT56" i="20" a="1"/>
  <c r="BT56" i="20" s="1"/>
  <c r="CC56" i="20" a="1"/>
  <c r="CC56" i="20" s="1"/>
  <c r="CQ56" i="20" a="1"/>
  <c r="CQ56" i="20" s="1"/>
  <c r="P58" i="20"/>
  <c r="Y58" i="20"/>
  <c r="AI58" i="20"/>
  <c r="AT58" i="20"/>
  <c r="BE58" i="20"/>
  <c r="BP58" i="20"/>
  <c r="CA58" i="20"/>
  <c r="CK58" i="20"/>
  <c r="I59" i="20" a="1"/>
  <c r="I59" i="20" s="1"/>
  <c r="Z59" i="20" a="1"/>
  <c r="Z59" i="20" s="1"/>
  <c r="AP59" i="20" a="1"/>
  <c r="AP59" i="20" s="1"/>
  <c r="H61" i="20"/>
  <c r="U61" i="20"/>
  <c r="AG61" i="20"/>
  <c r="AT61" i="20"/>
  <c r="BG61" i="20"/>
  <c r="BS61" i="20"/>
  <c r="CE61" i="20"/>
  <c r="CQ61" i="20"/>
  <c r="Z62" i="20" a="1"/>
  <c r="Z62" i="20" s="1"/>
  <c r="AG62" i="20" a="1"/>
  <c r="AG62" i="20" s="1"/>
  <c r="BB62" i="20" a="1"/>
  <c r="BB62" i="20" s="1"/>
  <c r="BR62" i="20" a="1"/>
  <c r="BR62" i="20" s="1"/>
  <c r="CF62" i="20" a="1"/>
  <c r="CF62" i="20" s="1"/>
  <c r="CM62" i="20" a="1"/>
  <c r="CM62" i="20" s="1"/>
  <c r="CT62" i="20" a="1"/>
  <c r="CT62" i="20" s="1"/>
  <c r="T67" i="20"/>
  <c r="AS67" i="20"/>
  <c r="BR67" i="20"/>
  <c r="CP67" i="20"/>
  <c r="T68" i="20" a="1"/>
  <c r="T68" i="20" s="1"/>
  <c r="AF68" i="20" a="1"/>
  <c r="AF68" i="20" s="1"/>
  <c r="AR68" i="20" a="1"/>
  <c r="AR68" i="20" s="1"/>
  <c r="CP68" i="20" a="1"/>
  <c r="CP68" i="20" s="1"/>
  <c r="L40" i="20"/>
  <c r="T40" i="20"/>
  <c r="AB40" i="20"/>
  <c r="AJ40" i="20"/>
  <c r="AR40" i="20"/>
  <c r="AZ40" i="20"/>
  <c r="BI40" i="20"/>
  <c r="BQ40" i="20"/>
  <c r="BY40" i="20"/>
  <c r="CG40" i="20"/>
  <c r="P52" i="20"/>
  <c r="X52" i="20"/>
  <c r="AF52" i="20"/>
  <c r="AN52" i="20"/>
  <c r="AV52" i="20"/>
  <c r="BE52" i="20"/>
  <c r="BM52" i="20"/>
  <c r="BU52" i="20"/>
  <c r="CC52" i="20"/>
  <c r="CK52" i="20"/>
  <c r="K55" i="20"/>
  <c r="S55" i="20"/>
  <c r="AA55" i="20"/>
  <c r="AI55" i="20"/>
  <c r="AQ55" i="20"/>
  <c r="AY55" i="20"/>
  <c r="BH55" i="20"/>
  <c r="BP55" i="20"/>
  <c r="BX55" i="20"/>
  <c r="CF55" i="20"/>
  <c r="CN55" i="20"/>
  <c r="I56" i="20" a="1"/>
  <c r="I56" i="20" s="1"/>
  <c r="N56" i="20" a="1"/>
  <c r="N56" i="20" s="1"/>
  <c r="R56" i="20" a="1"/>
  <c r="R56" i="20" s="1"/>
  <c r="V56" i="20" a="1"/>
  <c r="V56" i="20" s="1"/>
  <c r="Z56" i="20" a="1"/>
  <c r="Z56" i="20" s="1"/>
  <c r="AD56" i="20" a="1"/>
  <c r="AD56" i="20" s="1"/>
  <c r="AH56" i="20" a="1"/>
  <c r="AH56" i="20" s="1"/>
  <c r="AL56" i="20" a="1"/>
  <c r="AL56" i="20" s="1"/>
  <c r="AP56" i="20" a="1"/>
  <c r="AP56" i="20" s="1"/>
  <c r="AT56" i="20" a="1"/>
  <c r="AT56" i="20" s="1"/>
  <c r="AX56" i="20" a="1"/>
  <c r="AX56" i="20" s="1"/>
  <c r="BB56" i="20" a="1"/>
  <c r="BB56" i="20" s="1"/>
  <c r="BG56" i="20" a="1"/>
  <c r="BG56" i="20" s="1"/>
  <c r="BP56" i="20" a="1"/>
  <c r="BP56" i="20" s="1"/>
  <c r="BY56" i="20" a="1"/>
  <c r="BY56" i="20" s="1"/>
  <c r="CM56" i="20" a="1"/>
  <c r="CM56" i="20" s="1"/>
  <c r="CO58" i="20"/>
  <c r="CG58" i="20"/>
  <c r="BY58" i="20"/>
  <c r="BQ58" i="20"/>
  <c r="BI58" i="20"/>
  <c r="AZ58" i="20"/>
  <c r="AR58" i="20"/>
  <c r="AJ58" i="20"/>
  <c r="AB58" i="20"/>
  <c r="T58" i="20"/>
  <c r="L58" i="20"/>
  <c r="CT59" i="20" a="1"/>
  <c r="CT59" i="20" s="1"/>
  <c r="CP59" i="20" a="1"/>
  <c r="CP59" i="20" s="1"/>
  <c r="CL59" i="20" a="1"/>
  <c r="CL59" i="20" s="1"/>
  <c r="CH59" i="20" a="1"/>
  <c r="CH59" i="20" s="1"/>
  <c r="CD59" i="20" a="1"/>
  <c r="CD59" i="20" s="1"/>
  <c r="BZ59" i="20" a="1"/>
  <c r="BZ59" i="20" s="1"/>
  <c r="BV59" i="20" a="1"/>
  <c r="BV59" i="20" s="1"/>
  <c r="BR59" i="20" a="1"/>
  <c r="BR59" i="20" s="1"/>
  <c r="BN59" i="20" a="1"/>
  <c r="BN59" i="20" s="1"/>
  <c r="BJ59" i="20" a="1"/>
  <c r="BJ59" i="20" s="1"/>
  <c r="BF59" i="20" a="1"/>
  <c r="BF59" i="20" s="1"/>
  <c r="BA59" i="20" a="1"/>
  <c r="BA59" i="20" s="1"/>
  <c r="AW59" i="20" a="1"/>
  <c r="AW59" i="20" s="1"/>
  <c r="AS59" i="20" a="1"/>
  <c r="AS59" i="20" s="1"/>
  <c r="AO59" i="20" a="1"/>
  <c r="AO59" i="20" s="1"/>
  <c r="AK59" i="20" a="1"/>
  <c r="AK59" i="20" s="1"/>
  <c r="AG59" i="20" a="1"/>
  <c r="AG59" i="20" s="1"/>
  <c r="AC59" i="20" a="1"/>
  <c r="AC59" i="20" s="1"/>
  <c r="Y59" i="20" a="1"/>
  <c r="Y59" i="20" s="1"/>
  <c r="U59" i="20" a="1"/>
  <c r="U59" i="20" s="1"/>
  <c r="Q59" i="20" a="1"/>
  <c r="Q59" i="20" s="1"/>
  <c r="M59" i="20" a="1"/>
  <c r="M59" i="20" s="1"/>
  <c r="CT58" i="20"/>
  <c r="CL58" i="20"/>
  <c r="CD58" i="20"/>
  <c r="BV58" i="20"/>
  <c r="BN58" i="20"/>
  <c r="BF58" i="20"/>
  <c r="AW58" i="20"/>
  <c r="AO58" i="20"/>
  <c r="AG58" i="20"/>
  <c r="CS59" i="20" a="1"/>
  <c r="CS59" i="20" s="1"/>
  <c r="CN59" i="20" a="1"/>
  <c r="CN59" i="20" s="1"/>
  <c r="CC59" i="20" a="1"/>
  <c r="CC59" i="20" s="1"/>
  <c r="BX59" i="20" a="1"/>
  <c r="BX59" i="20" s="1"/>
  <c r="Q58" i="20"/>
  <c r="Z58" i="20"/>
  <c r="AK58" i="20"/>
  <c r="AU58" i="20"/>
  <c r="BG58" i="20"/>
  <c r="BR58" i="20"/>
  <c r="CB58" i="20"/>
  <c r="CM58" i="20"/>
  <c r="K59" i="20" a="1"/>
  <c r="K59" i="20" s="1"/>
  <c r="P59" i="20" a="1"/>
  <c r="P59" i="20" s="1"/>
  <c r="AA59" i="20" a="1"/>
  <c r="AA59" i="20" s="1"/>
  <c r="AF59" i="20" a="1"/>
  <c r="AF59" i="20" s="1"/>
  <c r="AQ59" i="20" a="1"/>
  <c r="AQ59" i="20" s="1"/>
  <c r="AV59" i="20" a="1"/>
  <c r="AV59" i="20" s="1"/>
  <c r="BH59" i="20" a="1"/>
  <c r="BH59" i="20" s="1"/>
  <c r="BM59" i="20" a="1"/>
  <c r="BM59" i="20" s="1"/>
  <c r="BS59" i="20" a="1"/>
  <c r="BS59" i="20" s="1"/>
  <c r="BY59" i="20" a="1"/>
  <c r="BY59" i="20" s="1"/>
  <c r="CE59" i="20" a="1"/>
  <c r="CE59" i="20" s="1"/>
  <c r="CK59" i="20" a="1"/>
  <c r="CK59" i="20" s="1"/>
  <c r="CQ59" i="20" a="1"/>
  <c r="CQ59" i="20" s="1"/>
  <c r="I61" i="20"/>
  <c r="V61" i="20"/>
  <c r="AI61" i="20"/>
  <c r="AV61" i="20"/>
  <c r="BH61" i="20"/>
  <c r="BU61" i="20"/>
  <c r="CF61" i="20"/>
  <c r="CS61" i="20"/>
  <c r="N62" i="20" a="1"/>
  <c r="N62" i="20" s="1"/>
  <c r="U62" i="20" a="1"/>
  <c r="U62" i="20" s="1"/>
  <c r="AA62" i="20" a="1"/>
  <c r="AA62" i="20" s="1"/>
  <c r="AO62" i="20" a="1"/>
  <c r="AO62" i="20" s="1"/>
  <c r="BD62" i="20" a="1"/>
  <c r="BD62" i="20" s="1"/>
  <c r="BK62" i="20" a="1"/>
  <c r="BK62" i="20" s="1"/>
  <c r="CN62" i="20" a="1"/>
  <c r="CN62" i="20" s="1"/>
  <c r="Z67" i="20"/>
  <c r="AX67" i="20"/>
  <c r="BW67" i="20"/>
  <c r="I68" i="20" a="1"/>
  <c r="I68" i="20" s="1"/>
  <c r="V68" i="20" a="1"/>
  <c r="V68" i="20" s="1"/>
  <c r="AH68" i="20" a="1"/>
  <c r="AH68" i="20" s="1"/>
  <c r="CF68" i="20" a="1"/>
  <c r="CF68" i="20" s="1"/>
  <c r="CR68" i="20" a="1"/>
  <c r="CR68" i="20" s="1"/>
  <c r="CT77" i="20" a="1"/>
  <c r="CT77" i="20" s="1"/>
  <c r="BT80" i="20" a="1"/>
  <c r="BT80" i="20" s="1"/>
  <c r="CT71" i="20" a="1"/>
  <c r="CT71" i="20" s="1"/>
  <c r="CP71" i="20" a="1"/>
  <c r="CP71" i="20" s="1"/>
  <c r="CL71" i="20" a="1"/>
  <c r="CL71" i="20" s="1"/>
  <c r="CH71" i="20" a="1"/>
  <c r="CH71" i="20" s="1"/>
  <c r="CD71" i="20" a="1"/>
  <c r="CD71" i="20" s="1"/>
  <c r="BZ71" i="20" a="1"/>
  <c r="BZ71" i="20" s="1"/>
  <c r="BV71" i="20" a="1"/>
  <c r="BV71" i="20" s="1"/>
  <c r="BR71" i="20" a="1"/>
  <c r="BR71" i="20" s="1"/>
  <c r="BN71" i="20" a="1"/>
  <c r="BN71" i="20" s="1"/>
  <c r="BJ71" i="20" a="1"/>
  <c r="BJ71" i="20" s="1"/>
  <c r="BF71" i="20" a="1"/>
  <c r="BF71" i="20" s="1"/>
  <c r="BA71" i="20" a="1"/>
  <c r="BA71" i="20" s="1"/>
  <c r="AW71" i="20" a="1"/>
  <c r="AW71" i="20" s="1"/>
  <c r="AS71" i="20" a="1"/>
  <c r="AS71" i="20" s="1"/>
  <c r="AO71" i="20" a="1"/>
  <c r="AO71" i="20" s="1"/>
  <c r="AK71" i="20" a="1"/>
  <c r="AK71" i="20" s="1"/>
  <c r="AG71" i="20" a="1"/>
  <c r="AG71" i="20" s="1"/>
  <c r="AC71" i="20" a="1"/>
  <c r="AC71" i="20" s="1"/>
  <c r="Y71" i="20" a="1"/>
  <c r="Y71" i="20" s="1"/>
  <c r="U71" i="20" a="1"/>
  <c r="U71" i="20" s="1"/>
  <c r="Q71" i="20" a="1"/>
  <c r="Q71" i="20" s="1"/>
  <c r="CR71" i="20" a="1"/>
  <c r="CR71" i="20" s="1"/>
  <c r="CM71" i="20" a="1"/>
  <c r="CM71" i="20" s="1"/>
  <c r="CG71" i="20" a="1"/>
  <c r="CG71" i="20" s="1"/>
  <c r="CB71" i="20" a="1"/>
  <c r="CB71" i="20" s="1"/>
  <c r="BW71" i="20" a="1"/>
  <c r="BW71" i="20" s="1"/>
  <c r="BQ71" i="20" a="1"/>
  <c r="BQ71" i="20" s="1"/>
  <c r="BL71" i="20" a="1"/>
  <c r="BL71" i="20" s="1"/>
  <c r="BB71" i="20" a="1"/>
  <c r="BB71" i="20" s="1"/>
  <c r="AN71" i="20" a="1"/>
  <c r="AN71" i="20" s="1"/>
  <c r="AE71" i="20" a="1"/>
  <c r="AE71" i="20" s="1"/>
  <c r="V71" i="20" a="1"/>
  <c r="V71" i="20" s="1"/>
  <c r="M71" i="20" a="1"/>
  <c r="M71" i="20" s="1"/>
  <c r="CT70" i="20"/>
  <c r="CL70" i="20"/>
  <c r="CD70" i="20"/>
  <c r="BV70" i="20"/>
  <c r="BN70" i="20"/>
  <c r="BF70" i="20"/>
  <c r="AW70" i="20"/>
  <c r="AO70" i="20"/>
  <c r="AG70" i="20"/>
  <c r="Y70" i="20"/>
  <c r="Q70" i="20"/>
  <c r="H70" i="20"/>
  <c r="BI71" i="20" a="1"/>
  <c r="BI71" i="20" s="1"/>
  <c r="AY71" i="20" a="1"/>
  <c r="AY71" i="20" s="1"/>
  <c r="AP71" i="20" a="1"/>
  <c r="AP71" i="20" s="1"/>
  <c r="AB71" i="20" a="1"/>
  <c r="AB71" i="20" s="1"/>
  <c r="S71" i="20" a="1"/>
  <c r="S71" i="20" s="1"/>
  <c r="CO70" i="20"/>
  <c r="CG70" i="20"/>
  <c r="BY70" i="20"/>
  <c r="BQ70" i="20"/>
  <c r="BI70" i="20"/>
  <c r="AZ70" i="20"/>
  <c r="R70" i="20"/>
  <c r="AA70" i="20"/>
  <c r="AJ70" i="20"/>
  <c r="AS70" i="20"/>
  <c r="BD70" i="20"/>
  <c r="BO70" i="20"/>
  <c r="BZ70" i="20"/>
  <c r="CJ70" i="20"/>
  <c r="CU70" i="20"/>
  <c r="O71" i="20" a="1"/>
  <c r="O71" i="20" s="1"/>
  <c r="AA71" i="20" a="1"/>
  <c r="AA71" i="20" s="1"/>
  <c r="AM71" i="20" a="1"/>
  <c r="AM71" i="20" s="1"/>
  <c r="BT71" i="20" a="1"/>
  <c r="BT71" i="20" s="1"/>
  <c r="CA71" i="20" a="1"/>
  <c r="CA71" i="20" s="1"/>
  <c r="CO71" i="20" a="1"/>
  <c r="CO71" i="20" s="1"/>
  <c r="CR74" i="20" a="1"/>
  <c r="CR74" i="20" s="1"/>
  <c r="CN74" i="20" a="1"/>
  <c r="CN74" i="20" s="1"/>
  <c r="CO73" i="20"/>
  <c r="CG73" i="20"/>
  <c r="BY73" i="20"/>
  <c r="BQ73" i="20"/>
  <c r="BI73" i="20"/>
  <c r="AZ73" i="20"/>
  <c r="AR73" i="20"/>
  <c r="AJ73" i="20"/>
  <c r="AB73" i="20"/>
  <c r="T73" i="20"/>
  <c r="L73" i="20"/>
  <c r="CU74" i="20" a="1"/>
  <c r="CU74" i="20" s="1"/>
  <c r="CQ74" i="20" a="1"/>
  <c r="CQ74" i="20" s="1"/>
  <c r="CM74" i="20" a="1"/>
  <c r="CM74" i="20" s="1"/>
  <c r="CI74" i="20" a="1"/>
  <c r="CI74" i="20" s="1"/>
  <c r="CE74" i="20" a="1"/>
  <c r="CE74" i="20" s="1"/>
  <c r="CA74" i="20" a="1"/>
  <c r="CA74" i="20" s="1"/>
  <c r="BW74" i="20" a="1"/>
  <c r="BW74" i="20" s="1"/>
  <c r="BS74" i="20" a="1"/>
  <c r="BS74" i="20" s="1"/>
  <c r="BO74" i="20" a="1"/>
  <c r="BO74" i="20" s="1"/>
  <c r="BK74" i="20" a="1"/>
  <c r="BK74" i="20" s="1"/>
  <c r="BG74" i="20" a="1"/>
  <c r="BG74" i="20" s="1"/>
  <c r="BB74" i="20" a="1"/>
  <c r="BB74" i="20" s="1"/>
  <c r="AX74" i="20" a="1"/>
  <c r="AX74" i="20" s="1"/>
  <c r="AT74" i="20" a="1"/>
  <c r="AT74" i="20" s="1"/>
  <c r="AP74" i="20" a="1"/>
  <c r="AP74" i="20" s="1"/>
  <c r="AL74" i="20" a="1"/>
  <c r="AL74" i="20" s="1"/>
  <c r="AH74" i="20" a="1"/>
  <c r="AH74" i="20" s="1"/>
  <c r="AD74" i="20" a="1"/>
  <c r="AD74" i="20" s="1"/>
  <c r="Z74" i="20" a="1"/>
  <c r="Z74" i="20" s="1"/>
  <c r="V74" i="20" a="1"/>
  <c r="V74" i="20" s="1"/>
  <c r="R74" i="20" a="1"/>
  <c r="R74" i="20" s="1"/>
  <c r="N74" i="20" a="1"/>
  <c r="N74" i="20" s="1"/>
  <c r="I74" i="20" a="1"/>
  <c r="I74" i="20" s="1"/>
  <c r="CN73" i="20"/>
  <c r="CF73" i="20"/>
  <c r="BX73" i="20"/>
  <c r="BP73" i="20"/>
  <c r="BH73" i="20"/>
  <c r="AY73" i="20"/>
  <c r="AQ73" i="20"/>
  <c r="AI73" i="20"/>
  <c r="AA73" i="20"/>
  <c r="S73" i="20"/>
  <c r="K73" i="20"/>
  <c r="CS73" i="20"/>
  <c r="CI73" i="20"/>
  <c r="BW73" i="20"/>
  <c r="BM73" i="20"/>
  <c r="BB73" i="20"/>
  <c r="AP73" i="20"/>
  <c r="AF73" i="20"/>
  <c r="V73" i="20"/>
  <c r="I73" i="20"/>
  <c r="CT74" i="20" a="1"/>
  <c r="CT74" i="20" s="1"/>
  <c r="CH74" i="20" a="1"/>
  <c r="CH74" i="20" s="1"/>
  <c r="CC74" i="20" a="1"/>
  <c r="CC74" i="20" s="1"/>
  <c r="BX74" i="20" a="1"/>
  <c r="BX74" i="20" s="1"/>
  <c r="BR74" i="20" a="1"/>
  <c r="BR74" i="20" s="1"/>
  <c r="BM74" i="20" a="1"/>
  <c r="BM74" i="20" s="1"/>
  <c r="BH74" i="20" a="1"/>
  <c r="BH74" i="20" s="1"/>
  <c r="BA74" i="20" a="1"/>
  <c r="BA74" i="20" s="1"/>
  <c r="AV74" i="20" a="1"/>
  <c r="AV74" i="20" s="1"/>
  <c r="AQ74" i="20" a="1"/>
  <c r="AQ74" i="20" s="1"/>
  <c r="AK74" i="20" a="1"/>
  <c r="AK74" i="20" s="1"/>
  <c r="AF74" i="20" a="1"/>
  <c r="AF74" i="20" s="1"/>
  <c r="AA74" i="20" a="1"/>
  <c r="AA74" i="20" s="1"/>
  <c r="U74" i="20" a="1"/>
  <c r="U74" i="20" s="1"/>
  <c r="P74" i="20" a="1"/>
  <c r="P74" i="20" s="1"/>
  <c r="K74" i="20" a="1"/>
  <c r="K74" i="20" s="1"/>
  <c r="CL73" i="20"/>
  <c r="CB73" i="20"/>
  <c r="BR73" i="20"/>
  <c r="BF73" i="20"/>
  <c r="AU73" i="20"/>
  <c r="AK73" i="20"/>
  <c r="Y73" i="20"/>
  <c r="O73" i="20"/>
  <c r="W73" i="20"/>
  <c r="AL73" i="20"/>
  <c r="AX73" i="20"/>
  <c r="BN73" i="20"/>
  <c r="CC73" i="20"/>
  <c r="CQ73" i="20"/>
  <c r="O74" i="20" a="1"/>
  <c r="O74" i="20" s="1"/>
  <c r="AJ74" i="20" a="1"/>
  <c r="AJ74" i="20" s="1"/>
  <c r="BF74" i="20" a="1"/>
  <c r="BF74" i="20" s="1"/>
  <c r="CB74" i="20" a="1"/>
  <c r="CB74" i="20" s="1"/>
  <c r="CP74" i="20" a="1"/>
  <c r="CP74" i="20" s="1"/>
  <c r="L70" i="20"/>
  <c r="U70" i="20"/>
  <c r="AD70" i="20"/>
  <c r="AM70" i="20"/>
  <c r="AV70" i="20"/>
  <c r="BH70" i="20"/>
  <c r="BS70" i="20"/>
  <c r="CC70" i="20"/>
  <c r="CN70" i="20"/>
  <c r="W71" i="20" a="1"/>
  <c r="W71" i="20" s="1"/>
  <c r="AI71" i="20" a="1"/>
  <c r="AI71" i="20" s="1"/>
  <c r="CC71" i="20" a="1"/>
  <c r="CC71" i="20" s="1"/>
  <c r="N73" i="20"/>
  <c r="AC73" i="20"/>
  <c r="AO73" i="20"/>
  <c r="BE73" i="20"/>
  <c r="BT73" i="20"/>
  <c r="CH73" i="20"/>
  <c r="CU73" i="20"/>
  <c r="Q74" i="20" a="1"/>
  <c r="Q74" i="20" s="1"/>
  <c r="X74" i="20" a="1"/>
  <c r="X74" i="20" s="1"/>
  <c r="AM74" i="20" a="1"/>
  <c r="AM74" i="20" s="1"/>
  <c r="AS74" i="20" a="1"/>
  <c r="AS74" i="20" s="1"/>
  <c r="BI74" i="20" a="1"/>
  <c r="BI74" i="20" s="1"/>
  <c r="BP74" i="20" a="1"/>
  <c r="BP74" i="20" s="1"/>
  <c r="CD74" i="20" a="1"/>
  <c r="CD74" i="20" s="1"/>
  <c r="CK74" i="20" a="1"/>
  <c r="CK74" i="20" s="1"/>
  <c r="R79" i="20"/>
  <c r="AJ79" i="20"/>
  <c r="BD79" i="20"/>
  <c r="BV79" i="20"/>
  <c r="CN79" i="20"/>
  <c r="AT80" i="20" a="1"/>
  <c r="AT80" i="20" s="1"/>
  <c r="BP80" i="20" a="1"/>
  <c r="BP80" i="20" s="1"/>
  <c r="CK80" i="20" a="1"/>
  <c r="CK80" i="20" s="1"/>
  <c r="CS86" i="20" a="1"/>
  <c r="CS86" i="20" s="1"/>
  <c r="CO86" i="20" a="1"/>
  <c r="CO86" i="20" s="1"/>
  <c r="CK86" i="20" a="1"/>
  <c r="CK86" i="20" s="1"/>
  <c r="CG86" i="20" a="1"/>
  <c r="CG86" i="20" s="1"/>
  <c r="CC86" i="20" a="1"/>
  <c r="CC86" i="20" s="1"/>
  <c r="BY86" i="20" a="1"/>
  <c r="BY86" i="20" s="1"/>
  <c r="BU86" i="20" a="1"/>
  <c r="BU86" i="20" s="1"/>
  <c r="BQ86" i="20" a="1"/>
  <c r="BQ86" i="20" s="1"/>
  <c r="BM86" i="20" a="1"/>
  <c r="BM86" i="20" s="1"/>
  <c r="BI86" i="20" a="1"/>
  <c r="BI86" i="20" s="1"/>
  <c r="BE86" i="20" a="1"/>
  <c r="BE86" i="20" s="1"/>
  <c r="AZ86" i="20" a="1"/>
  <c r="AZ86" i="20" s="1"/>
  <c r="AV86" i="20" a="1"/>
  <c r="AV86" i="20" s="1"/>
  <c r="AR86" i="20" a="1"/>
  <c r="AR86" i="20" s="1"/>
  <c r="AN86" i="20" a="1"/>
  <c r="AN86" i="20" s="1"/>
  <c r="AJ86" i="20" a="1"/>
  <c r="AJ86" i="20" s="1"/>
  <c r="AF86" i="20" a="1"/>
  <c r="AF86" i="20" s="1"/>
  <c r="AB86" i="20" a="1"/>
  <c r="AB86" i="20" s="1"/>
  <c r="X86" i="20" a="1"/>
  <c r="X86" i="20" s="1"/>
  <c r="T86" i="20" a="1"/>
  <c r="T86" i="20" s="1"/>
  <c r="P86" i="20" a="1"/>
  <c r="P86" i="20" s="1"/>
  <c r="L86" i="20" a="1"/>
  <c r="L86" i="20" s="1"/>
  <c r="CR85" i="20"/>
  <c r="CJ85" i="20"/>
  <c r="CB85" i="20"/>
  <c r="BT85" i="20"/>
  <c r="BL85" i="20"/>
  <c r="BD85" i="20"/>
  <c r="AU85" i="20"/>
  <c r="AM85" i="20"/>
  <c r="AE85" i="20"/>
  <c r="W85" i="20"/>
  <c r="O85" i="20"/>
  <c r="CQ85" i="20"/>
  <c r="CI85" i="20"/>
  <c r="CA85" i="20"/>
  <c r="BS85" i="20"/>
  <c r="BK85" i="20"/>
  <c r="BB85" i="20"/>
  <c r="AT85" i="20"/>
  <c r="AL85" i="20"/>
  <c r="AD85" i="20"/>
  <c r="V85" i="20"/>
  <c r="N85" i="20"/>
  <c r="CQ86" i="20" a="1"/>
  <c r="CQ86" i="20" s="1"/>
  <c r="CL86" i="20" a="1"/>
  <c r="CL86" i="20" s="1"/>
  <c r="CF86" i="20" a="1"/>
  <c r="CF86" i="20" s="1"/>
  <c r="CA86" i="20" a="1"/>
  <c r="CA86" i="20" s="1"/>
  <c r="BV86" i="20" a="1"/>
  <c r="BV86" i="20" s="1"/>
  <c r="BP86" i="20" a="1"/>
  <c r="BP86" i="20" s="1"/>
  <c r="BK86" i="20" a="1"/>
  <c r="BK86" i="20" s="1"/>
  <c r="BF86" i="20" a="1"/>
  <c r="BF86" i="20" s="1"/>
  <c r="AY86" i="20" a="1"/>
  <c r="AY86" i="20" s="1"/>
  <c r="AT86" i="20" a="1"/>
  <c r="AT86" i="20" s="1"/>
  <c r="AO86" i="20" a="1"/>
  <c r="AO86" i="20" s="1"/>
  <c r="AI86" i="20" a="1"/>
  <c r="AI86" i="20" s="1"/>
  <c r="AD86" i="20" a="1"/>
  <c r="AD86" i="20" s="1"/>
  <c r="Y86" i="20" a="1"/>
  <c r="Y86" i="20" s="1"/>
  <c r="S86" i="20" a="1"/>
  <c r="S86" i="20" s="1"/>
  <c r="N86" i="20" a="1"/>
  <c r="N86" i="20" s="1"/>
  <c r="CT85" i="20"/>
  <c r="CH85" i="20"/>
  <c r="BX85" i="20"/>
  <c r="BN85" i="20"/>
  <c r="BA85" i="20"/>
  <c r="AQ85" i="20"/>
  <c r="AG85" i="20"/>
  <c r="U85" i="20"/>
  <c r="K85" i="20"/>
  <c r="CS85" i="20"/>
  <c r="CG85" i="20"/>
  <c r="BW85" i="20"/>
  <c r="BM85" i="20"/>
  <c r="AZ85" i="20"/>
  <c r="AP85" i="20"/>
  <c r="AF85" i="20"/>
  <c r="T85" i="20"/>
  <c r="I85" i="20"/>
  <c r="CU86" i="20" a="1"/>
  <c r="CU86" i="20" s="1"/>
  <c r="CP86" i="20" a="1"/>
  <c r="CP86" i="20" s="1"/>
  <c r="CJ86" i="20" a="1"/>
  <c r="CJ86" i="20" s="1"/>
  <c r="CE86" i="20" a="1"/>
  <c r="CE86" i="20" s="1"/>
  <c r="BZ86" i="20" a="1"/>
  <c r="BZ86" i="20" s="1"/>
  <c r="BT86" i="20" a="1"/>
  <c r="BT86" i="20" s="1"/>
  <c r="BO86" i="20" a="1"/>
  <c r="BO86" i="20" s="1"/>
  <c r="BJ86" i="20" a="1"/>
  <c r="BJ86" i="20" s="1"/>
  <c r="BD86" i="20" a="1"/>
  <c r="BD86" i="20" s="1"/>
  <c r="AX86" i="20" a="1"/>
  <c r="AX86" i="20" s="1"/>
  <c r="AS86" i="20" a="1"/>
  <c r="AS86" i="20" s="1"/>
  <c r="AM86" i="20" a="1"/>
  <c r="AM86" i="20" s="1"/>
  <c r="AH86" i="20" a="1"/>
  <c r="AH86" i="20" s="1"/>
  <c r="AC86" i="20" a="1"/>
  <c r="AC86" i="20" s="1"/>
  <c r="W86" i="20" a="1"/>
  <c r="W86" i="20" s="1"/>
  <c r="R86" i="20" a="1"/>
  <c r="R86" i="20" s="1"/>
  <c r="M86" i="20" a="1"/>
  <c r="M86" i="20" s="1"/>
  <c r="CP85" i="20"/>
  <c r="CF85" i="20"/>
  <c r="BV85" i="20"/>
  <c r="BJ85" i="20"/>
  <c r="AY85" i="20"/>
  <c r="AO85" i="20"/>
  <c r="AC85" i="20"/>
  <c r="S85" i="20"/>
  <c r="H85" i="20"/>
  <c r="CM86" i="20" a="1"/>
  <c r="CM86" i="20" s="1"/>
  <c r="CD86" i="20" a="1"/>
  <c r="CD86" i="20" s="1"/>
  <c r="AU86" i="20" a="1"/>
  <c r="AU86" i="20" s="1"/>
  <c r="AL86" i="20" a="1"/>
  <c r="AL86" i="20" s="1"/>
  <c r="CL85" i="20"/>
  <c r="BR85" i="20"/>
  <c r="BE85" i="20"/>
  <c r="AJ85" i="20"/>
  <c r="R85" i="20"/>
  <c r="CT86" i="20" a="1"/>
  <c r="CT86" i="20" s="1"/>
  <c r="BL86" i="20" a="1"/>
  <c r="BL86" i="20" s="1"/>
  <c r="BB86" i="20" a="1"/>
  <c r="BB86" i="20" s="1"/>
  <c r="U86" i="20" a="1"/>
  <c r="U86" i="20" s="1"/>
  <c r="K86" i="20" a="1"/>
  <c r="K86" i="20" s="1"/>
  <c r="CK85" i="20"/>
  <c r="BQ85" i="20"/>
  <c r="AX85" i="20"/>
  <c r="AI85" i="20"/>
  <c r="Q85" i="20"/>
  <c r="CB86" i="20" a="1"/>
  <c r="CB86" i="20" s="1"/>
  <c r="BS86" i="20" a="1"/>
  <c r="BS86" i="20" s="1"/>
  <c r="AK86" i="20" a="1"/>
  <c r="AK86" i="20" s="1"/>
  <c r="AA86" i="20" a="1"/>
  <c r="AA86" i="20" s="1"/>
  <c r="CE85" i="20"/>
  <c r="BP85" i="20"/>
  <c r="AW85" i="20"/>
  <c r="AH85" i="20"/>
  <c r="P85" i="20"/>
  <c r="CR86" i="20" a="1"/>
  <c r="CR86" i="20" s="1"/>
  <c r="CI86" i="20" a="1"/>
  <c r="CI86" i="20" s="1"/>
  <c r="BA86" i="20" a="1"/>
  <c r="BA86" i="20" s="1"/>
  <c r="AQ86" i="20" a="1"/>
  <c r="AQ86" i="20" s="1"/>
  <c r="I86" i="20" a="1"/>
  <c r="I86" i="20" s="1"/>
  <c r="CD85" i="20"/>
  <c r="BO85" i="20"/>
  <c r="AV85" i="20"/>
  <c r="AB85" i="20"/>
  <c r="M85" i="20"/>
  <c r="AR85" i="20"/>
  <c r="BZ85" i="20"/>
  <c r="AG86" i="20" a="1"/>
  <c r="AG86" i="20" s="1"/>
  <c r="CH86" i="20" a="1"/>
  <c r="CH86" i="20" s="1"/>
  <c r="X79" i="20"/>
  <c r="AP79" i="20"/>
  <c r="BI79" i="20"/>
  <c r="CB79" i="20"/>
  <c r="CT79" i="20"/>
  <c r="R80" i="20" a="1"/>
  <c r="R80" i="20" s="1"/>
  <c r="AM80" i="20" a="1"/>
  <c r="AM80" i="20" s="1"/>
  <c r="CN80" i="20" a="1"/>
  <c r="CN80" i="20" s="1"/>
  <c r="Y79" i="20"/>
  <c r="AQ79" i="20"/>
  <c r="BK79" i="20"/>
  <c r="CC79" i="20"/>
  <c r="CU79" i="20"/>
  <c r="AX80" i="20" a="1"/>
  <c r="AX80" i="20" s="1"/>
  <c r="CT80" i="20" a="1"/>
  <c r="CT80" i="20" s="1"/>
  <c r="CP80" i="20" a="1"/>
  <c r="CP80" i="20" s="1"/>
  <c r="CL80" i="20" a="1"/>
  <c r="CL80" i="20" s="1"/>
  <c r="CH80" i="20" a="1"/>
  <c r="CH80" i="20" s="1"/>
  <c r="CD80" i="20" a="1"/>
  <c r="CD80" i="20" s="1"/>
  <c r="BZ80" i="20" a="1"/>
  <c r="BZ80" i="20" s="1"/>
  <c r="BV80" i="20" a="1"/>
  <c r="BV80" i="20" s="1"/>
  <c r="BR80" i="20" a="1"/>
  <c r="BR80" i="20" s="1"/>
  <c r="BN80" i="20" a="1"/>
  <c r="BN80" i="20" s="1"/>
  <c r="BJ80" i="20" a="1"/>
  <c r="BJ80" i="20" s="1"/>
  <c r="BF80" i="20" a="1"/>
  <c r="BF80" i="20" s="1"/>
  <c r="BA80" i="20" a="1"/>
  <c r="BA80" i="20" s="1"/>
  <c r="AW80" i="20" a="1"/>
  <c r="AW80" i="20" s="1"/>
  <c r="AS80" i="20" a="1"/>
  <c r="AS80" i="20" s="1"/>
  <c r="AO80" i="20" a="1"/>
  <c r="AO80" i="20" s="1"/>
  <c r="AK80" i="20" a="1"/>
  <c r="AK80" i="20" s="1"/>
  <c r="AG80" i="20" a="1"/>
  <c r="AG80" i="20" s="1"/>
  <c r="AC80" i="20" a="1"/>
  <c r="AC80" i="20" s="1"/>
  <c r="Y80" i="20" a="1"/>
  <c r="Y80" i="20" s="1"/>
  <c r="U80" i="20" a="1"/>
  <c r="U80" i="20" s="1"/>
  <c r="CO80" i="20" a="1"/>
  <c r="CO80" i="20" s="1"/>
  <c r="CF80" i="20" a="1"/>
  <c r="CF80" i="20" s="1"/>
  <c r="BW80" i="20" a="1"/>
  <c r="BW80" i="20" s="1"/>
  <c r="BI80" i="20" a="1"/>
  <c r="BI80" i="20" s="1"/>
  <c r="AY80" i="20" a="1"/>
  <c r="AY80" i="20" s="1"/>
  <c r="AP80" i="20" a="1"/>
  <c r="AP80" i="20" s="1"/>
  <c r="AB80" i="20" a="1"/>
  <c r="AB80" i="20" s="1"/>
  <c r="S80" i="20" a="1"/>
  <c r="S80" i="20" s="1"/>
  <c r="O80" i="20" a="1"/>
  <c r="O80" i="20" s="1"/>
  <c r="K80" i="20" a="1"/>
  <c r="K80" i="20" s="1"/>
  <c r="CP79" i="20"/>
  <c r="CH79" i="20"/>
  <c r="BZ79" i="20"/>
  <c r="BR79" i="20"/>
  <c r="BJ79" i="20"/>
  <c r="BA79" i="20"/>
  <c r="AS79" i="20"/>
  <c r="AK79" i="20"/>
  <c r="AC79" i="20"/>
  <c r="U79" i="20"/>
  <c r="M79" i="20"/>
  <c r="CC80" i="20" a="1"/>
  <c r="CC80" i="20" s="1"/>
  <c r="BX80" i="20" a="1"/>
  <c r="BX80" i="20" s="1"/>
  <c r="BS80" i="20" a="1"/>
  <c r="BS80" i="20" s="1"/>
  <c r="BM80" i="20" a="1"/>
  <c r="BM80" i="20" s="1"/>
  <c r="BH80" i="20" a="1"/>
  <c r="BH80" i="20" s="1"/>
  <c r="BB80" i="20" a="1"/>
  <c r="BB80" i="20" s="1"/>
  <c r="M80" i="20" a="1"/>
  <c r="M80" i="20" s="1"/>
  <c r="CS79" i="20"/>
  <c r="CJ79" i="20"/>
  <c r="CA79" i="20"/>
  <c r="BQ79" i="20"/>
  <c r="BH79" i="20"/>
  <c r="AX79" i="20"/>
  <c r="AO79" i="20"/>
  <c r="AF79" i="20"/>
  <c r="W79" i="20"/>
  <c r="N79" i="20"/>
  <c r="CR80" i="20" a="1"/>
  <c r="CR80" i="20" s="1"/>
  <c r="CM80" i="20" a="1"/>
  <c r="CM80" i="20" s="1"/>
  <c r="AV80" i="20" a="1"/>
  <c r="AV80" i="20" s="1"/>
  <c r="AQ80" i="20" a="1"/>
  <c r="AQ80" i="20" s="1"/>
  <c r="AL80" i="20" a="1"/>
  <c r="AL80" i="20" s="1"/>
  <c r="AF80" i="20" a="1"/>
  <c r="AF80" i="20" s="1"/>
  <c r="AA80" i="20" a="1"/>
  <c r="AA80" i="20" s="1"/>
  <c r="V80" i="20" a="1"/>
  <c r="V80" i="20" s="1"/>
  <c r="Q80" i="20" a="1"/>
  <c r="Q80" i="20" s="1"/>
  <c r="CR79" i="20"/>
  <c r="CI79" i="20"/>
  <c r="BY79" i="20"/>
  <c r="BP79" i="20"/>
  <c r="BG79" i="20"/>
  <c r="AW79" i="20"/>
  <c r="AN79" i="20"/>
  <c r="AE79" i="20"/>
  <c r="V79" i="20"/>
  <c r="L79" i="20"/>
  <c r="CG80" i="20" a="1"/>
  <c r="CG80" i="20" s="1"/>
  <c r="CB80" i="20" a="1"/>
  <c r="CB80" i="20" s="1"/>
  <c r="BQ80" i="20" a="1"/>
  <c r="BQ80" i="20" s="1"/>
  <c r="BL80" i="20" a="1"/>
  <c r="BL80" i="20" s="1"/>
  <c r="BG80" i="20" a="1"/>
  <c r="BG80" i="20" s="1"/>
  <c r="L80" i="20" a="1"/>
  <c r="L80" i="20" s="1"/>
  <c r="CQ79" i="20"/>
  <c r="CG79" i="20"/>
  <c r="BX79" i="20"/>
  <c r="BO79" i="20"/>
  <c r="BF79" i="20"/>
  <c r="AV79" i="20"/>
  <c r="AM79" i="20"/>
  <c r="AD79" i="20"/>
  <c r="T79" i="20"/>
  <c r="K79" i="20"/>
  <c r="CQ80" i="20" a="1"/>
  <c r="CQ80" i="20" s="1"/>
  <c r="CA80" i="20" a="1"/>
  <c r="CA80" i="20" s="1"/>
  <c r="AZ80" i="20" a="1"/>
  <c r="AZ80" i="20" s="1"/>
  <c r="AU80" i="20" a="1"/>
  <c r="AU80" i="20" s="1"/>
  <c r="AJ80" i="20" a="1"/>
  <c r="AJ80" i="20" s="1"/>
  <c r="AE80" i="20" a="1"/>
  <c r="AE80" i="20" s="1"/>
  <c r="Z80" i="20" a="1"/>
  <c r="Z80" i="20" s="1"/>
  <c r="P80" i="20" a="1"/>
  <c r="P80" i="20" s="1"/>
  <c r="CO79" i="20"/>
  <c r="CF79" i="20"/>
  <c r="BW79" i="20"/>
  <c r="BN79" i="20"/>
  <c r="BE79" i="20"/>
  <c r="AU79" i="20"/>
  <c r="AL79" i="20"/>
  <c r="AB79" i="20"/>
  <c r="S79" i="20"/>
  <c r="I79" i="20"/>
  <c r="Z79" i="20"/>
  <c r="AR79" i="20"/>
  <c r="BL79" i="20"/>
  <c r="CD79" i="20"/>
  <c r="I80" i="20" a="1"/>
  <c r="I80" i="20" s="1"/>
  <c r="AD80" i="20" a="1"/>
  <c r="AD80" i="20" s="1"/>
  <c r="AN80" i="20" a="1"/>
  <c r="AN80" i="20" s="1"/>
  <c r="CE80" i="20" a="1"/>
  <c r="CE80" i="20" s="1"/>
  <c r="H79" i="20"/>
  <c r="AA79" i="20"/>
  <c r="AT79" i="20"/>
  <c r="BM79" i="20"/>
  <c r="CE79" i="20"/>
  <c r="T80" i="20" a="1"/>
  <c r="T80" i="20" s="1"/>
  <c r="BK80" i="20" a="1"/>
  <c r="BK80" i="20" s="1"/>
  <c r="BU80" i="20" a="1"/>
  <c r="BU80" i="20" s="1"/>
  <c r="O79" i="20"/>
  <c r="AG79" i="20"/>
  <c r="AY79" i="20"/>
  <c r="BS79" i="20"/>
  <c r="CK79" i="20"/>
  <c r="W80" i="20" a="1"/>
  <c r="W80" i="20" s="1"/>
  <c r="AH80" i="20" a="1"/>
  <c r="AH80" i="20" s="1"/>
  <c r="AR80" i="20" a="1"/>
  <c r="AR80" i="20" s="1"/>
  <c r="CI80" i="20" a="1"/>
  <c r="CI80" i="20" s="1"/>
  <c r="CS80" i="20" a="1"/>
  <c r="CS80" i="20" s="1"/>
  <c r="AA85" i="20"/>
  <c r="BI85" i="20"/>
  <c r="CU85" i="20"/>
  <c r="Z86" i="20" a="1"/>
  <c r="Z86" i="20" s="1"/>
  <c r="BH86" i="20" a="1"/>
  <c r="BH86" i="20" s="1"/>
  <c r="P79" i="20"/>
  <c r="AH79" i="20"/>
  <c r="AZ79" i="20"/>
  <c r="BT79" i="20"/>
  <c r="CL79" i="20"/>
  <c r="N80" i="20" a="1"/>
  <c r="N80" i="20" s="1"/>
  <c r="X80" i="20" a="1"/>
  <c r="X80" i="20" s="1"/>
  <c r="BD80" i="20" a="1"/>
  <c r="BD80" i="20" s="1"/>
  <c r="BO80" i="20" a="1"/>
  <c r="BO80" i="20" s="1"/>
  <c r="BY80" i="20" a="1"/>
  <c r="BY80" i="20" s="1"/>
  <c r="AS77" i="20" a="1"/>
  <c r="AS77" i="20" s="1"/>
  <c r="AX77" i="20" a="1"/>
  <c r="AX77" i="20" s="1"/>
  <c r="BH77" i="20" a="1"/>
  <c r="BH77" i="20" s="1"/>
  <c r="BQ77" i="20" a="1"/>
  <c r="BQ77" i="20" s="1"/>
  <c r="BZ77" i="20" a="1"/>
  <c r="BZ77" i="20" s="1"/>
  <c r="CE77" i="20" a="1"/>
  <c r="CE77" i="20" s="1"/>
  <c r="CN77" i="20" a="1"/>
  <c r="CN77" i="20" s="1"/>
  <c r="CO82" i="20"/>
  <c r="CG82" i="20"/>
  <c r="BY82" i="20"/>
  <c r="BQ82" i="20"/>
  <c r="BI82" i="20"/>
  <c r="AZ82" i="20"/>
  <c r="AR82" i="20"/>
  <c r="AJ82" i="20"/>
  <c r="AB82" i="20"/>
  <c r="T82" i="20"/>
  <c r="L82" i="20"/>
  <c r="CU83" i="20" a="1"/>
  <c r="CU83" i="20" s="1"/>
  <c r="CN83" i="20" a="1"/>
  <c r="CN83" i="20" s="1"/>
  <c r="CI83" i="20" a="1"/>
  <c r="CI83" i="20" s="1"/>
  <c r="BZ83" i="20" a="1"/>
  <c r="BZ83" i="20" s="1"/>
  <c r="BQ83" i="20" a="1"/>
  <c r="BQ83" i="20" s="1"/>
  <c r="BH83" i="20" a="1"/>
  <c r="BH83" i="20" s="1"/>
  <c r="BB83" i="20" a="1"/>
  <c r="BB83" i="20" s="1"/>
  <c r="CR83" i="20" a="1"/>
  <c r="CR83" i="20" s="1"/>
  <c r="CM83" i="20" a="1"/>
  <c r="CM83" i="20" s="1"/>
  <c r="CD83" i="20" a="1"/>
  <c r="CD83" i="20" s="1"/>
  <c r="BU83" i="20" a="1"/>
  <c r="BU83" i="20" s="1"/>
  <c r="BL83" i="20" a="1"/>
  <c r="BL83" i="20" s="1"/>
  <c r="BG83" i="20" a="1"/>
  <c r="BG83" i="20" s="1"/>
  <c r="AW83" i="20" a="1"/>
  <c r="AW83" i="20" s="1"/>
  <c r="AN83" i="20" a="1"/>
  <c r="AN83" i="20" s="1"/>
  <c r="AE83" i="20" a="1"/>
  <c r="AE83" i="20" s="1"/>
  <c r="Z83" i="20" a="1"/>
  <c r="Z83" i="20" s="1"/>
  <c r="Q83" i="20" a="1"/>
  <c r="Q83" i="20" s="1"/>
  <c r="CR82" i="20"/>
  <c r="CI82" i="20"/>
  <c r="BZ82" i="20"/>
  <c r="BP82" i="20"/>
  <c r="BG82" i="20"/>
  <c r="AW82" i="20"/>
  <c r="AN82" i="20"/>
  <c r="AE82" i="20"/>
  <c r="V82" i="20"/>
  <c r="M82" i="20"/>
  <c r="CQ83" i="20" a="1"/>
  <c r="CQ83" i="20" s="1"/>
  <c r="CH83" i="20" a="1"/>
  <c r="CH83" i="20" s="1"/>
  <c r="BY83" i="20" a="1"/>
  <c r="BY83" i="20" s="1"/>
  <c r="BP83" i="20" a="1"/>
  <c r="BP83" i="20" s="1"/>
  <c r="BK83" i="20" a="1"/>
  <c r="BK83" i="20" s="1"/>
  <c r="BA83" i="20" a="1"/>
  <c r="BA83" i="20" s="1"/>
  <c r="AR83" i="20" a="1"/>
  <c r="AR83" i="20" s="1"/>
  <c r="AI83" i="20" a="1"/>
  <c r="AI83" i="20" s="1"/>
  <c r="AD83" i="20" a="1"/>
  <c r="AD83" i="20" s="1"/>
  <c r="U83" i="20" a="1"/>
  <c r="U83" i="20" s="1"/>
  <c r="L83" i="20" a="1"/>
  <c r="L83" i="20" s="1"/>
  <c r="CQ82" i="20"/>
  <c r="CH82" i="20"/>
  <c r="R82" i="20"/>
  <c r="AC82" i="20"/>
  <c r="AM82" i="20"/>
  <c r="AX82" i="20"/>
  <c r="BJ82" i="20"/>
  <c r="BT82" i="20"/>
  <c r="CD82" i="20"/>
  <c r="CP82" i="20"/>
  <c r="Y83" i="20" a="1"/>
  <c r="Y83" i="20" s="1"/>
  <c r="AF83" i="20" a="1"/>
  <c r="AF83" i="20" s="1"/>
  <c r="AX83" i="20" a="1"/>
  <c r="AX83" i="20" s="1"/>
  <c r="BT83" i="20" a="1"/>
  <c r="BT83" i="20" s="1"/>
  <c r="CB83" i="20" a="1"/>
  <c r="CB83" i="20" s="1"/>
  <c r="CJ83" i="20" a="1"/>
  <c r="CJ83" i="20" s="1"/>
  <c r="CP83" i="20" a="1"/>
  <c r="CP83" i="20" s="1"/>
  <c r="N40" i="21"/>
  <c r="K48" i="21"/>
  <c r="L48" i="21" s="1"/>
  <c r="L64" i="21"/>
  <c r="N76" i="20"/>
  <c r="V76" i="20"/>
  <c r="AD76" i="20"/>
  <c r="AL76" i="20"/>
  <c r="AT76" i="20"/>
  <c r="BB76" i="20"/>
  <c r="BK76" i="20"/>
  <c r="BS76" i="20"/>
  <c r="CA76" i="20"/>
  <c r="CI76" i="20"/>
  <c r="CQ76" i="20"/>
  <c r="AF77" i="20" a="1"/>
  <c r="AF77" i="20" s="1"/>
  <c r="AO77" i="20" a="1"/>
  <c r="AO77" i="20" s="1"/>
  <c r="AT77" i="20" a="1"/>
  <c r="AT77" i="20" s="1"/>
  <c r="BD77" i="20" a="1"/>
  <c r="BD77" i="20" s="1"/>
  <c r="BM77" i="20" a="1"/>
  <c r="BM77" i="20" s="1"/>
  <c r="BV77" i="20" a="1"/>
  <c r="BV77" i="20" s="1"/>
  <c r="CA77" i="20" a="1"/>
  <c r="CA77" i="20" s="1"/>
  <c r="CJ77" i="20" a="1"/>
  <c r="CJ77" i="20" s="1"/>
  <c r="CS77" i="20" a="1"/>
  <c r="CS77" i="20" s="1"/>
  <c r="H82" i="20"/>
  <c r="S82" i="20"/>
  <c r="AD82" i="20"/>
  <c r="AO82" i="20"/>
  <c r="AY82" i="20"/>
  <c r="BK82" i="20"/>
  <c r="BU82" i="20"/>
  <c r="CE82" i="20"/>
  <c r="CS82" i="20"/>
  <c r="N83" i="20" a="1"/>
  <c r="N83" i="20" s="1"/>
  <c r="T83" i="20" a="1"/>
  <c r="T83" i="20" s="1"/>
  <c r="AA83" i="20" a="1"/>
  <c r="AA83" i="20" s="1"/>
  <c r="AL83" i="20" a="1"/>
  <c r="AL83" i="20" s="1"/>
  <c r="AS83" i="20" a="1"/>
  <c r="AS83" i="20" s="1"/>
  <c r="AY83" i="20" a="1"/>
  <c r="AY83" i="20" s="1"/>
  <c r="BF83" i="20" a="1"/>
  <c r="BF83" i="20" s="1"/>
  <c r="BN83" i="20" a="1"/>
  <c r="BN83" i="20" s="1"/>
  <c r="BV83" i="20" a="1"/>
  <c r="BV83" i="20" s="1"/>
  <c r="O40" i="21"/>
  <c r="O76" i="20"/>
  <c r="W76" i="20"/>
  <c r="AE76" i="20"/>
  <c r="AM76" i="20"/>
  <c r="AU76" i="20"/>
  <c r="BD76" i="20"/>
  <c r="BL76" i="20"/>
  <c r="BT76" i="20"/>
  <c r="CB76" i="20"/>
  <c r="CJ76" i="20"/>
  <c r="CR76" i="20"/>
  <c r="L77" i="20" a="1"/>
  <c r="L77" i="20" s="1"/>
  <c r="P77" i="20" a="1"/>
  <c r="P77" i="20" s="1"/>
  <c r="T77" i="20" a="1"/>
  <c r="T77" i="20" s="1"/>
  <c r="X77" i="20" a="1"/>
  <c r="X77" i="20" s="1"/>
  <c r="AB77" i="20" a="1"/>
  <c r="AB77" i="20" s="1"/>
  <c r="AK77" i="20" a="1"/>
  <c r="AK77" i="20" s="1"/>
  <c r="AP77" i="20" a="1"/>
  <c r="AP77" i="20" s="1"/>
  <c r="AY77" i="20" a="1"/>
  <c r="AY77" i="20" s="1"/>
  <c r="BI77" i="20" a="1"/>
  <c r="BI77" i="20" s="1"/>
  <c r="BR77" i="20" a="1"/>
  <c r="BR77" i="20" s="1"/>
  <c r="BW77" i="20" a="1"/>
  <c r="BW77" i="20" s="1"/>
  <c r="CF77" i="20" a="1"/>
  <c r="CF77" i="20" s="1"/>
  <c r="CO77" i="20" a="1"/>
  <c r="CO77" i="20" s="1"/>
  <c r="I82" i="20"/>
  <c r="U82" i="20"/>
  <c r="AF82" i="20"/>
  <c r="AP82" i="20"/>
  <c r="BA82" i="20"/>
  <c r="BL82" i="20"/>
  <c r="BV82" i="20"/>
  <c r="CF82" i="20"/>
  <c r="CT82" i="20"/>
  <c r="O83" i="20" a="1"/>
  <c r="O83" i="20" s="1"/>
  <c r="AG83" i="20" a="1"/>
  <c r="AG83" i="20" s="1"/>
  <c r="AM83" i="20" a="1"/>
  <c r="AM83" i="20" s="1"/>
  <c r="CC83" i="20" a="1"/>
  <c r="CC83" i="20" s="1"/>
  <c r="CK83" i="20" a="1"/>
  <c r="CK83" i="20" s="1"/>
  <c r="CS83" i="20" a="1"/>
  <c r="CS83" i="20" s="1"/>
  <c r="M48" i="21"/>
  <c r="N48" i="21" s="1"/>
  <c r="P76" i="20"/>
  <c r="X76" i="20"/>
  <c r="AF76" i="20"/>
  <c r="AN76" i="20"/>
  <c r="AV76" i="20"/>
  <c r="BE76" i="20"/>
  <c r="BM76" i="20"/>
  <c r="BU76" i="20"/>
  <c r="CC76" i="20"/>
  <c r="CK76" i="20"/>
  <c r="CS76" i="20"/>
  <c r="AG77" i="20" a="1"/>
  <c r="AG77" i="20" s="1"/>
  <c r="AL77" i="20" a="1"/>
  <c r="AL77" i="20" s="1"/>
  <c r="AU77" i="20" a="1"/>
  <c r="AU77" i="20" s="1"/>
  <c r="BE77" i="20" a="1"/>
  <c r="BE77" i="20" s="1"/>
  <c r="BN77" i="20" a="1"/>
  <c r="BN77" i="20" s="1"/>
  <c r="BS77" i="20" a="1"/>
  <c r="BS77" i="20" s="1"/>
  <c r="CB77" i="20" a="1"/>
  <c r="CB77" i="20" s="1"/>
  <c r="CK77" i="20" a="1"/>
  <c r="CK77" i="20" s="1"/>
  <c r="K82" i="20"/>
  <c r="W82" i="20"/>
  <c r="AG82" i="20"/>
  <c r="AQ82" i="20"/>
  <c r="BB82" i="20"/>
  <c r="BM82" i="20"/>
  <c r="BW82" i="20"/>
  <c r="CJ82" i="20"/>
  <c r="CU82" i="20"/>
  <c r="V83" i="20" a="1"/>
  <c r="V83" i="20" s="1"/>
  <c r="AB83" i="20" a="1"/>
  <c r="AB83" i="20" s="1"/>
  <c r="AT83" i="20" a="1"/>
  <c r="AT83" i="20" s="1"/>
  <c r="AZ83" i="20" a="1"/>
  <c r="AZ83" i="20" s="1"/>
  <c r="BI83" i="20" a="1"/>
  <c r="BI83" i="20" s="1"/>
  <c r="BO83" i="20" a="1"/>
  <c r="BO83" i="20" s="1"/>
  <c r="BW83" i="20" a="1"/>
  <c r="BW83" i="20" s="1"/>
  <c r="CE83" i="20" a="1"/>
  <c r="CE83" i="20" s="1"/>
  <c r="K44" i="21"/>
  <c r="L44" i="21" s="1"/>
  <c r="M44" i="21" s="1"/>
  <c r="N44" i="21" s="1"/>
  <c r="M64" i="21"/>
  <c r="L60" i="21"/>
  <c r="M60" i="21" s="1"/>
  <c r="P40" i="21"/>
  <c r="Q40" i="21" s="1"/>
  <c r="R40" i="21" s="1"/>
  <c r="S40" i="21" s="1"/>
  <c r="T40" i="21" s="1"/>
  <c r="U40" i="21" s="1"/>
  <c r="V40" i="21" s="1"/>
  <c r="W40" i="21" s="1"/>
  <c r="X40" i="21" s="1"/>
  <c r="Y40" i="21" s="1"/>
  <c r="Z40" i="21" s="1"/>
  <c r="AA40" i="21" s="1"/>
  <c r="AB40" i="21" s="1"/>
  <c r="AC40" i="21" s="1"/>
  <c r="AD40" i="21" s="1"/>
  <c r="AE40" i="21" s="1"/>
  <c r="AF40" i="21" s="1"/>
  <c r="AG40" i="21" s="1"/>
  <c r="AH40" i="21" s="1"/>
  <c r="AI40" i="21" s="1"/>
  <c r="AJ40" i="21" s="1"/>
  <c r="AK40" i="21" s="1"/>
  <c r="AL40" i="21" s="1"/>
  <c r="AM40" i="21" s="1"/>
  <c r="AN40" i="21" s="1"/>
  <c r="AO40" i="21" s="1"/>
  <c r="AP40" i="21" s="1"/>
  <c r="AQ40" i="21" s="1"/>
  <c r="AR40" i="21" s="1"/>
  <c r="AS40" i="21" s="1"/>
  <c r="AT40" i="21" s="1"/>
  <c r="AU40" i="21" s="1"/>
  <c r="AV40" i="21" s="1"/>
  <c r="AW40" i="21" s="1"/>
  <c r="AX40" i="21" s="1"/>
  <c r="AY40" i="21" s="1"/>
  <c r="AS51" i="21"/>
  <c r="AK51" i="21"/>
  <c r="AC51" i="21"/>
  <c r="U51" i="21"/>
  <c r="M51" i="21"/>
  <c r="AU50" i="21"/>
  <c r="AM50" i="21"/>
  <c r="AE50" i="21"/>
  <c r="W50" i="21"/>
  <c r="O50" i="21"/>
  <c r="AY51" i="21"/>
  <c r="AP51" i="21"/>
  <c r="AG51" i="21"/>
  <c r="X51" i="21"/>
  <c r="O51" i="21"/>
  <c r="AV50" i="21"/>
  <c r="AL50" i="21"/>
  <c r="AC50" i="21"/>
  <c r="T50" i="21"/>
  <c r="K50" i="21"/>
  <c r="AT51" i="21"/>
  <c r="AI51" i="21"/>
  <c r="Y51" i="21"/>
  <c r="N51" i="21"/>
  <c r="AS50" i="21"/>
  <c r="AI50" i="21"/>
  <c r="Y50" i="21"/>
  <c r="N50" i="21"/>
  <c r="AR51" i="21"/>
  <c r="AH51" i="21"/>
  <c r="W51" i="21"/>
  <c r="L51" i="21"/>
  <c r="AR50" i="21"/>
  <c r="AH50" i="21"/>
  <c r="X50" i="21"/>
  <c r="M50" i="21"/>
  <c r="AO51" i="21"/>
  <c r="AE51" i="21"/>
  <c r="T51" i="21"/>
  <c r="J51" i="21"/>
  <c r="AP50" i="21"/>
  <c r="AF50" i="21"/>
  <c r="U50" i="21"/>
  <c r="J50" i="21"/>
  <c r="J52" i="21" s="1"/>
  <c r="Z50" i="21"/>
  <c r="AO50" i="21"/>
  <c r="Q51" i="21"/>
  <c r="AF51" i="21"/>
  <c r="AW51" i="21"/>
  <c r="H50" i="21"/>
  <c r="AA50" i="21"/>
  <c r="AQ50" i="21"/>
  <c r="R51" i="21"/>
  <c r="AJ51" i="21"/>
  <c r="AX51" i="21"/>
  <c r="L50" i="21"/>
  <c r="AB50" i="21"/>
  <c r="AT50" i="21"/>
  <c r="S51" i="21"/>
  <c r="AL51" i="21"/>
  <c r="AD50" i="21"/>
  <c r="AW50" i="21"/>
  <c r="V51" i="21"/>
  <c r="AM51" i="21"/>
  <c r="AS71" i="21"/>
  <c r="AK71" i="21"/>
  <c r="AC71" i="21"/>
  <c r="U71" i="21"/>
  <c r="M71" i="21"/>
  <c r="AU70" i="21"/>
  <c r="AM70" i="21"/>
  <c r="AE70" i="21"/>
  <c r="W70" i="21"/>
  <c r="O70" i="21"/>
  <c r="AR71" i="21"/>
  <c r="AJ71" i="21"/>
  <c r="AB71" i="21"/>
  <c r="T71" i="21"/>
  <c r="L71" i="21"/>
  <c r="AT70" i="21"/>
  <c r="AL70" i="21"/>
  <c r="AD70" i="21"/>
  <c r="V70" i="21"/>
  <c r="N70" i="21"/>
  <c r="AW71" i="21"/>
  <c r="AO71" i="21"/>
  <c r="AG71" i="21"/>
  <c r="Y71" i="21"/>
  <c r="Q71" i="21"/>
  <c r="AY70" i="21"/>
  <c r="AQ70" i="21"/>
  <c r="AI70" i="21"/>
  <c r="AA70" i="21"/>
  <c r="S70" i="21"/>
  <c r="K70" i="21"/>
  <c r="K72" i="21" s="1"/>
  <c r="AV71" i="21"/>
  <c r="AN71" i="21"/>
  <c r="AF71" i="21"/>
  <c r="X71" i="21"/>
  <c r="P71" i="21"/>
  <c r="AX70" i="21"/>
  <c r="AP70" i="21"/>
  <c r="AQ71" i="21"/>
  <c r="AA71" i="21"/>
  <c r="K71" i="21"/>
  <c r="AK70" i="21"/>
  <c r="Y70" i="21"/>
  <c r="L70" i="21"/>
  <c r="AP71" i="21"/>
  <c r="Z71" i="21"/>
  <c r="J71" i="21"/>
  <c r="AJ70" i="21"/>
  <c r="X70" i="21"/>
  <c r="J70" i="21"/>
  <c r="J72" i="21" s="1"/>
  <c r="Z70" i="21"/>
  <c r="AR70" i="21"/>
  <c r="V71" i="21"/>
  <c r="AT71" i="21"/>
  <c r="AS55" i="21"/>
  <c r="AK55" i="21"/>
  <c r="AC55" i="21"/>
  <c r="U55" i="21"/>
  <c r="M55" i="21"/>
  <c r="AU54" i="21"/>
  <c r="AM54" i="21"/>
  <c r="AE54" i="21"/>
  <c r="W54" i="21"/>
  <c r="O54" i="21"/>
  <c r="AQ55" i="21"/>
  <c r="AY55" i="21"/>
  <c r="AP55" i="21"/>
  <c r="AG55" i="21"/>
  <c r="X55" i="21"/>
  <c r="O55" i="21"/>
  <c r="AV54" i="21"/>
  <c r="AL54" i="21"/>
  <c r="AC54" i="21"/>
  <c r="T54" i="21"/>
  <c r="K54" i="21"/>
  <c r="R54" i="21"/>
  <c r="AB54" i="21"/>
  <c r="AN54" i="21"/>
  <c r="AX54" i="21"/>
  <c r="R55" i="21"/>
  <c r="AB55" i="21"/>
  <c r="AM55" i="21"/>
  <c r="AX55" i="21"/>
  <c r="H70" i="21"/>
  <c r="AB70" i="21"/>
  <c r="AS70" i="21"/>
  <c r="W71" i="21"/>
  <c r="AU71" i="21"/>
  <c r="Y74" i="21"/>
  <c r="AU74" i="21"/>
  <c r="K88" i="21"/>
  <c r="M70" i="21"/>
  <c r="AC70" i="21"/>
  <c r="AV70" i="21"/>
  <c r="AD71" i="21"/>
  <c r="AX71" i="21"/>
  <c r="AX75" i="21"/>
  <c r="AP75" i="21"/>
  <c r="AH75" i="21"/>
  <c r="Z75" i="21"/>
  <c r="R75" i="21"/>
  <c r="J75" i="21"/>
  <c r="AR74" i="21"/>
  <c r="AT75" i="21"/>
  <c r="AL75" i="21"/>
  <c r="AD75" i="21"/>
  <c r="V75" i="21"/>
  <c r="N75" i="21"/>
  <c r="AV74" i="21"/>
  <c r="AN74" i="21"/>
  <c r="AY75" i="21"/>
  <c r="AN75" i="21"/>
  <c r="AC75" i="21"/>
  <c r="S75" i="21"/>
  <c r="AX74" i="21"/>
  <c r="AM74" i="21"/>
  <c r="AE74" i="21"/>
  <c r="W74" i="21"/>
  <c r="O74" i="21"/>
  <c r="AW75" i="21"/>
  <c r="AM75" i="21"/>
  <c r="AB75" i="21"/>
  <c r="Q75" i="21"/>
  <c r="AW74" i="21"/>
  <c r="AL74" i="21"/>
  <c r="AD74" i="21"/>
  <c r="V74" i="21"/>
  <c r="N74" i="21"/>
  <c r="AS75" i="21"/>
  <c r="AI75" i="21"/>
  <c r="X75" i="21"/>
  <c r="M75" i="21"/>
  <c r="AS74" i="21"/>
  <c r="AI74" i="21"/>
  <c r="AA74" i="21"/>
  <c r="S74" i="21"/>
  <c r="K74" i="21"/>
  <c r="AR75" i="21"/>
  <c r="AG75" i="21"/>
  <c r="W75" i="21"/>
  <c r="L75" i="21"/>
  <c r="AQ74" i="21"/>
  <c r="AH74" i="21"/>
  <c r="Z74" i="21"/>
  <c r="R74" i="21"/>
  <c r="J74" i="21"/>
  <c r="J76" i="21" s="1"/>
  <c r="AK75" i="21"/>
  <c r="P75" i="21"/>
  <c r="AK74" i="21"/>
  <c r="U74" i="21"/>
  <c r="AJ75" i="21"/>
  <c r="O75" i="21"/>
  <c r="AJ74" i="21"/>
  <c r="T74" i="21"/>
  <c r="AB74" i="21"/>
  <c r="AY74" i="21"/>
  <c r="AO75" i="21"/>
  <c r="AS43" i="21"/>
  <c r="AK43" i="21"/>
  <c r="AC43" i="21"/>
  <c r="U43" i="21"/>
  <c r="M43" i="21"/>
  <c r="AU42" i="21"/>
  <c r="AM42" i="21"/>
  <c r="AE42" i="21"/>
  <c r="W42" i="21"/>
  <c r="O42" i="21"/>
  <c r="Q42" i="21"/>
  <c r="Z42" i="21"/>
  <c r="AI42" i="21"/>
  <c r="AR42" i="21"/>
  <c r="K43" i="21"/>
  <c r="T43" i="21"/>
  <c r="AD43" i="21"/>
  <c r="AM43" i="21"/>
  <c r="AV43" i="21"/>
  <c r="AS47" i="21"/>
  <c r="AK47" i="21"/>
  <c r="AC47" i="21"/>
  <c r="U47" i="21"/>
  <c r="M47" i="21"/>
  <c r="AU46" i="21"/>
  <c r="AM46" i="21"/>
  <c r="AE46" i="21"/>
  <c r="W46" i="21"/>
  <c r="O46" i="21"/>
  <c r="Q46" i="21"/>
  <c r="Z46" i="21"/>
  <c r="AI46" i="21"/>
  <c r="AR46" i="21"/>
  <c r="K47" i="21"/>
  <c r="T47" i="21"/>
  <c r="AD47" i="21"/>
  <c r="AM47" i="21"/>
  <c r="AV47" i="21"/>
  <c r="J54" i="21"/>
  <c r="J56" i="21" s="1"/>
  <c r="U54" i="21"/>
  <c r="AF54" i="21"/>
  <c r="AP54" i="21"/>
  <c r="J55" i="21"/>
  <c r="T55" i="21"/>
  <c r="AE55" i="21"/>
  <c r="AO55" i="21"/>
  <c r="P70" i="21"/>
  <c r="AF70" i="21"/>
  <c r="AW70" i="21"/>
  <c r="AE71" i="21"/>
  <c r="AY71" i="21"/>
  <c r="H74" i="21"/>
  <c r="AC74" i="21"/>
  <c r="K75" i="21"/>
  <c r="AQ75" i="21"/>
  <c r="H42" i="21"/>
  <c r="R42" i="21"/>
  <c r="AA42" i="21"/>
  <c r="AJ42" i="21"/>
  <c r="AS42" i="21"/>
  <c r="L43" i="21"/>
  <c r="V43" i="21"/>
  <c r="AE43" i="21"/>
  <c r="AN43" i="21"/>
  <c r="AW43" i="21"/>
  <c r="H46" i="21"/>
  <c r="R46" i="21"/>
  <c r="AA46" i="21"/>
  <c r="AJ46" i="21"/>
  <c r="AS46" i="21"/>
  <c r="L47" i="21"/>
  <c r="V47" i="21"/>
  <c r="AE47" i="21"/>
  <c r="AN47" i="21"/>
  <c r="AW47" i="21"/>
  <c r="L54" i="21"/>
  <c r="V54" i="21"/>
  <c r="AG54" i="21"/>
  <c r="AQ54" i="21"/>
  <c r="K55" i="21"/>
  <c r="V55" i="21"/>
  <c r="AF55" i="21"/>
  <c r="AR55" i="21"/>
  <c r="AS67" i="21"/>
  <c r="AK67" i="21"/>
  <c r="AC67" i="21"/>
  <c r="U67" i="21"/>
  <c r="M67" i="21"/>
  <c r="AU66" i="21"/>
  <c r="AM66" i="21"/>
  <c r="AE66" i="21"/>
  <c r="W66" i="21"/>
  <c r="O66" i="21"/>
  <c r="AR67" i="21"/>
  <c r="AJ67" i="21"/>
  <c r="AB67" i="21"/>
  <c r="T67" i="21"/>
  <c r="L67" i="21"/>
  <c r="AT66" i="21"/>
  <c r="AL66" i="21"/>
  <c r="AD66" i="21"/>
  <c r="V66" i="21"/>
  <c r="N66" i="21"/>
  <c r="AW67" i="21"/>
  <c r="AO67" i="21"/>
  <c r="AG67" i="21"/>
  <c r="Y67" i="21"/>
  <c r="Q67" i="21"/>
  <c r="AY66" i="21"/>
  <c r="AQ66" i="21"/>
  <c r="AI66" i="21"/>
  <c r="AA66" i="21"/>
  <c r="S66" i="21"/>
  <c r="K66" i="21"/>
  <c r="K68" i="21" s="1"/>
  <c r="AU67" i="21"/>
  <c r="AH67" i="21"/>
  <c r="V67" i="21"/>
  <c r="AX66" i="21"/>
  <c r="AK66" i="21"/>
  <c r="Y66" i="21"/>
  <c r="L66" i="21"/>
  <c r="AT67" i="21"/>
  <c r="AF67" i="21"/>
  <c r="S67" i="21"/>
  <c r="AW66" i="21"/>
  <c r="AJ66" i="21"/>
  <c r="X66" i="21"/>
  <c r="J66" i="21"/>
  <c r="J68" i="21" s="1"/>
  <c r="Z66" i="21"/>
  <c r="AP66" i="21"/>
  <c r="P67" i="21"/>
  <c r="AI67" i="21"/>
  <c r="AY67" i="21"/>
  <c r="Q70" i="21"/>
  <c r="AG70" i="21"/>
  <c r="N71" i="21"/>
  <c r="AH71" i="21"/>
  <c r="L74" i="21"/>
  <c r="AF74" i="21"/>
  <c r="T75" i="21"/>
  <c r="AU75" i="21"/>
  <c r="Q58" i="21"/>
  <c r="AA58" i="21"/>
  <c r="AK58" i="21"/>
  <c r="AW58" i="21"/>
  <c r="Q59" i="21"/>
  <c r="AA59" i="21"/>
  <c r="AM59" i="21"/>
  <c r="Q62" i="21"/>
  <c r="AA62" i="21"/>
  <c r="AK62" i="21"/>
  <c r="AW62" i="21"/>
  <c r="S63" i="21"/>
  <c r="AF63" i="21"/>
  <c r="AS59" i="21"/>
  <c r="AK59" i="21"/>
  <c r="AC59" i="21"/>
  <c r="U59" i="21"/>
  <c r="M59" i="21"/>
  <c r="AU58" i="21"/>
  <c r="AM58" i="21"/>
  <c r="AE58" i="21"/>
  <c r="W58" i="21"/>
  <c r="O58" i="21"/>
  <c r="AR59" i="21"/>
  <c r="AJ59" i="21"/>
  <c r="AB59" i="21"/>
  <c r="T59" i="21"/>
  <c r="L59" i="21"/>
  <c r="AT58" i="21"/>
  <c r="AL58" i="21"/>
  <c r="AD58" i="21"/>
  <c r="V58" i="21"/>
  <c r="N58" i="21"/>
  <c r="N60" i="21" s="1"/>
  <c r="R58" i="21"/>
  <c r="AB58" i="21"/>
  <c r="AN58" i="21"/>
  <c r="AX58" i="21"/>
  <c r="R59" i="21"/>
  <c r="AD59" i="21"/>
  <c r="AN59" i="21"/>
  <c r="AX59" i="21"/>
  <c r="AS63" i="21"/>
  <c r="AK63" i="21"/>
  <c r="AC63" i="21"/>
  <c r="U63" i="21"/>
  <c r="M63" i="21"/>
  <c r="AU62" i="21"/>
  <c r="AM62" i="21"/>
  <c r="AE62" i="21"/>
  <c r="W62" i="21"/>
  <c r="O62" i="21"/>
  <c r="AR63" i="21"/>
  <c r="AJ63" i="21"/>
  <c r="AB63" i="21"/>
  <c r="T63" i="21"/>
  <c r="L63" i="21"/>
  <c r="AT62" i="21"/>
  <c r="AL62" i="21"/>
  <c r="AD62" i="21"/>
  <c r="V62" i="21"/>
  <c r="N62" i="21"/>
  <c r="N64" i="21" s="1"/>
  <c r="AW63" i="21"/>
  <c r="AO63" i="21"/>
  <c r="AG63" i="21"/>
  <c r="Y63" i="21"/>
  <c r="Q63" i="21"/>
  <c r="AY62" i="21"/>
  <c r="R62" i="21"/>
  <c r="AB62" i="21"/>
  <c r="AN62" i="21"/>
  <c r="AX62" i="21"/>
  <c r="V63" i="21"/>
  <c r="AH63" i="21"/>
  <c r="AU63" i="21"/>
  <c r="K80" i="21"/>
  <c r="AS95" i="21"/>
  <c r="AK95" i="21"/>
  <c r="AC95" i="21"/>
  <c r="U95" i="21"/>
  <c r="M95" i="21"/>
  <c r="AU94" i="21"/>
  <c r="AM94" i="21"/>
  <c r="AE94" i="21"/>
  <c r="W94" i="21"/>
  <c r="O94" i="21"/>
  <c r="AR95" i="21"/>
  <c r="AJ95" i="21"/>
  <c r="AB95" i="21"/>
  <c r="T95" i="21"/>
  <c r="L95" i="21"/>
  <c r="AT94" i="21"/>
  <c r="AL94" i="21"/>
  <c r="AD94" i="21"/>
  <c r="V94" i="21"/>
  <c r="N94" i="21"/>
  <c r="AX95" i="21"/>
  <c r="AP95" i="21"/>
  <c r="AH95" i="21"/>
  <c r="Z95" i="21"/>
  <c r="R95" i="21"/>
  <c r="J95" i="21"/>
  <c r="AR94" i="21"/>
  <c r="AJ94" i="21"/>
  <c r="AB94" i="21"/>
  <c r="T94" i="21"/>
  <c r="L94" i="21"/>
  <c r="AT95" i="21"/>
  <c r="AL95" i="21"/>
  <c r="AD95" i="21"/>
  <c r="V95" i="21"/>
  <c r="N95" i="21"/>
  <c r="AV95" i="21"/>
  <c r="AF95" i="21"/>
  <c r="P95" i="21"/>
  <c r="AQ94" i="21"/>
  <c r="AF94" i="21"/>
  <c r="R94" i="21"/>
  <c r="AU95" i="21"/>
  <c r="AE95" i="21"/>
  <c r="O95" i="21"/>
  <c r="AP94" i="21"/>
  <c r="AC94" i="21"/>
  <c r="Q94" i="21"/>
  <c r="AN95" i="21"/>
  <c r="X95" i="21"/>
  <c r="AX94" i="21"/>
  <c r="AK94" i="21"/>
  <c r="Y94" i="21"/>
  <c r="K94" i="21"/>
  <c r="AY95" i="21"/>
  <c r="AI95" i="21"/>
  <c r="S95" i="21"/>
  <c r="AV94" i="21"/>
  <c r="AH94" i="21"/>
  <c r="U94" i="21"/>
  <c r="H94" i="21"/>
  <c r="AG94" i="21"/>
  <c r="Q95" i="21"/>
  <c r="AW95" i="21"/>
  <c r="J94" i="21"/>
  <c r="J96" i="21" s="1"/>
  <c r="AI94" i="21"/>
  <c r="W95" i="21"/>
  <c r="S94" i="21"/>
  <c r="AS94" i="21"/>
  <c r="AG95" i="21"/>
  <c r="X94" i="21"/>
  <c r="AW94" i="21"/>
  <c r="AM95" i="21"/>
  <c r="K100" i="21"/>
  <c r="P78" i="21"/>
  <c r="X78" i="21"/>
  <c r="AF78" i="21"/>
  <c r="AN78" i="21"/>
  <c r="AV78" i="21"/>
  <c r="N79" i="21"/>
  <c r="V79" i="21"/>
  <c r="AD79" i="21"/>
  <c r="AL79" i="21"/>
  <c r="AT79" i="21"/>
  <c r="P82" i="21"/>
  <c r="X82" i="21"/>
  <c r="AF82" i="21"/>
  <c r="AN82" i="21"/>
  <c r="AV82" i="21"/>
  <c r="N83" i="21"/>
  <c r="V83" i="21"/>
  <c r="AD83" i="21"/>
  <c r="AL83" i="21"/>
  <c r="AT83" i="21"/>
  <c r="AR87" i="21"/>
  <c r="AJ87" i="21"/>
  <c r="AB87" i="21"/>
  <c r="T87" i="21"/>
  <c r="L87" i="21"/>
  <c r="AT86" i="21"/>
  <c r="P86" i="21"/>
  <c r="X86" i="21"/>
  <c r="AF86" i="21"/>
  <c r="AN86" i="21"/>
  <c r="AW86" i="21"/>
  <c r="P87" i="21"/>
  <c r="Y87" i="21"/>
  <c r="AH87" i="21"/>
  <c r="AQ87" i="21"/>
  <c r="L90" i="21"/>
  <c r="L92" i="21" s="1"/>
  <c r="M92" i="21" s="1"/>
  <c r="U90" i="21"/>
  <c r="AE90" i="21"/>
  <c r="AN90" i="21"/>
  <c r="AW90" i="21"/>
  <c r="P91" i="21"/>
  <c r="Y91" i="21"/>
  <c r="AH91" i="21"/>
  <c r="L78" i="21"/>
  <c r="L80" i="21" s="1"/>
  <c r="M80" i="21" s="1"/>
  <c r="N80" i="21" s="1"/>
  <c r="O80" i="21" s="1"/>
  <c r="T78" i="21"/>
  <c r="AB78" i="21"/>
  <c r="AJ78" i="21"/>
  <c r="AR78" i="21"/>
  <c r="J79" i="21"/>
  <c r="R79" i="21"/>
  <c r="Z79" i="21"/>
  <c r="AH79" i="21"/>
  <c r="AP79" i="21"/>
  <c r="L82" i="21"/>
  <c r="L84" i="21" s="1"/>
  <c r="M84" i="21" s="1"/>
  <c r="N84" i="21" s="1"/>
  <c r="O84" i="21" s="1"/>
  <c r="T82" i="21"/>
  <c r="AB82" i="21"/>
  <c r="AJ82" i="21"/>
  <c r="AR82" i="21"/>
  <c r="J83" i="21"/>
  <c r="R83" i="21"/>
  <c r="Z83" i="21"/>
  <c r="AH83" i="21"/>
  <c r="AP83" i="21"/>
  <c r="L86" i="21"/>
  <c r="T86" i="21"/>
  <c r="AB86" i="21"/>
  <c r="AJ86" i="21"/>
  <c r="AR86" i="21"/>
  <c r="K87" i="21"/>
  <c r="U87" i="21"/>
  <c r="AD87" i="21"/>
  <c r="AM87" i="21"/>
  <c r="AV87" i="21"/>
  <c r="AS91" i="21"/>
  <c r="AR91" i="21"/>
  <c r="AJ91" i="21"/>
  <c r="AB91" i="21"/>
  <c r="T91" i="21"/>
  <c r="L91" i="21"/>
  <c r="AT90" i="21"/>
  <c r="AL90" i="21"/>
  <c r="AD90" i="21"/>
  <c r="V90" i="21"/>
  <c r="N90" i="21"/>
  <c r="Q90" i="21"/>
  <c r="Z90" i="21"/>
  <c r="AI90" i="21"/>
  <c r="AR90" i="21"/>
  <c r="K91" i="21"/>
  <c r="U91" i="21"/>
  <c r="AD91" i="21"/>
  <c r="AM91" i="21"/>
  <c r="AW91" i="21"/>
  <c r="P98" i="21"/>
  <c r="X98" i="21"/>
  <c r="AF98" i="21"/>
  <c r="AN98" i="21"/>
  <c r="AV98" i="21"/>
  <c r="N99" i="21"/>
  <c r="V99" i="21"/>
  <c r="AD99" i="21"/>
  <c r="AL99" i="21"/>
  <c r="AT99" i="21"/>
  <c r="P102" i="21"/>
  <c r="X102" i="21"/>
  <c r="AF102" i="21"/>
  <c r="AN102" i="21"/>
  <c r="AV102" i="21"/>
  <c r="N103" i="21"/>
  <c r="V103" i="21"/>
  <c r="AD103" i="21"/>
  <c r="AL103" i="21"/>
  <c r="AT103" i="21"/>
  <c r="L98" i="21"/>
  <c r="T98" i="21"/>
  <c r="AB98" i="21"/>
  <c r="AJ98" i="21"/>
  <c r="AR98" i="21"/>
  <c r="J99" i="21"/>
  <c r="R99" i="21"/>
  <c r="Z99" i="21"/>
  <c r="AH99" i="21"/>
  <c r="AP99" i="21"/>
  <c r="AX99" i="21"/>
  <c r="L102" i="21"/>
  <c r="L104" i="21" s="1"/>
  <c r="M104" i="21" s="1"/>
  <c r="T102" i="21"/>
  <c r="AB102" i="21"/>
  <c r="AJ102" i="21"/>
  <c r="AR102" i="21"/>
  <c r="J103" i="21"/>
  <c r="R103" i="21"/>
  <c r="Z103" i="21"/>
  <c r="AH103" i="21"/>
  <c r="AP103" i="21"/>
  <c r="AX103" i="21"/>
  <c r="N98" i="21"/>
  <c r="V98" i="21"/>
  <c r="AD98" i="21"/>
  <c r="AL98" i="21"/>
  <c r="AT98" i="21"/>
  <c r="L99" i="21"/>
  <c r="T99" i="21"/>
  <c r="AB99" i="21"/>
  <c r="AJ99" i="21"/>
  <c r="AR99" i="21"/>
  <c r="N102" i="21"/>
  <c r="V102" i="21"/>
  <c r="AD102" i="21"/>
  <c r="AL102" i="21"/>
  <c r="AT102" i="21"/>
  <c r="L103" i="21"/>
  <c r="T103" i="21"/>
  <c r="AB103" i="21"/>
  <c r="AJ103" i="21"/>
  <c r="AR103" i="21"/>
  <c r="O98" i="21"/>
  <c r="W98" i="21"/>
  <c r="AE98" i="21"/>
  <c r="AM98" i="21"/>
  <c r="AU98" i="21"/>
  <c r="M99" i="21"/>
  <c r="U99" i="21"/>
  <c r="AC99" i="21"/>
  <c r="AK99" i="21"/>
  <c r="O102" i="21"/>
  <c r="W102" i="21"/>
  <c r="AE102" i="21"/>
  <c r="AM102" i="21"/>
  <c r="AU102" i="21"/>
  <c r="M103" i="21"/>
  <c r="U103" i="21"/>
  <c r="AC103" i="21"/>
  <c r="AK103" i="21"/>
  <c r="N92" i="21" l="1"/>
  <c r="O92" i="21" s="1"/>
  <c r="P92" i="21" s="1"/>
  <c r="L100" i="21"/>
  <c r="M100" i="21" s="1"/>
  <c r="N100" i="21" s="1"/>
  <c r="O100" i="21" s="1"/>
  <c r="P100" i="21" s="1"/>
  <c r="Q100" i="21" s="1"/>
  <c r="R100" i="21" s="1"/>
  <c r="S100" i="21" s="1"/>
  <c r="T100" i="21" s="1"/>
  <c r="U100" i="21" s="1"/>
  <c r="V100" i="21" s="1"/>
  <c r="W100" i="21" s="1"/>
  <c r="X100" i="21" s="1"/>
  <c r="Y100" i="21" s="1"/>
  <c r="Z100" i="21" s="1"/>
  <c r="AA100" i="21" s="1"/>
  <c r="AB100" i="21" s="1"/>
  <c r="AC100" i="21" s="1"/>
  <c r="AD100" i="21" s="1"/>
  <c r="AE100" i="21" s="1"/>
  <c r="AF100" i="21" s="1"/>
  <c r="AG100" i="21" s="1"/>
  <c r="AH100" i="21" s="1"/>
  <c r="AI100" i="21" s="1"/>
  <c r="AJ100" i="21" s="1"/>
  <c r="AK100" i="21" s="1"/>
  <c r="AL100" i="21" s="1"/>
  <c r="AM100" i="21" s="1"/>
  <c r="AN100" i="21" s="1"/>
  <c r="AO100" i="21" s="1"/>
  <c r="AP100" i="21" s="1"/>
  <c r="AQ100" i="21" s="1"/>
  <c r="AR100" i="21" s="1"/>
  <c r="AS100" i="21" s="1"/>
  <c r="AT100" i="21" s="1"/>
  <c r="AU100" i="21" s="1"/>
  <c r="AV100" i="21" s="1"/>
  <c r="AW100" i="21" s="1"/>
  <c r="AX100" i="21" s="1"/>
  <c r="AY100" i="21" s="1"/>
  <c r="O64" i="21"/>
  <c r="P64" i="21" s="1"/>
  <c r="BS43" i="19"/>
  <c r="BS44" i="19" a="1"/>
  <c r="BS44" i="19" s="1"/>
  <c r="BS47" i="19" a="1"/>
  <c r="BS47" i="19" s="1"/>
  <c r="BS80" i="19" a="1"/>
  <c r="BS80" i="19" s="1"/>
  <c r="CU41" i="19" a="1"/>
  <c r="CU41" i="19" s="1"/>
  <c r="CU74" i="19" a="1"/>
  <c r="CU74" i="19" s="1"/>
  <c r="CU46" i="19"/>
  <c r="CU77" i="19" a="1"/>
  <c r="CU77" i="19" s="1"/>
  <c r="CU71" i="19" a="1"/>
  <c r="CU71" i="19" s="1"/>
  <c r="CU58" i="19" a="1"/>
  <c r="CU58" i="19" s="1"/>
  <c r="CH46" i="19"/>
  <c r="CH47" i="19" a="1"/>
  <c r="CH47" i="19" s="1"/>
  <c r="CH44" i="19" a="1"/>
  <c r="CH44" i="19" s="1"/>
  <c r="CH55" i="19" a="1"/>
  <c r="CH55" i="19" s="1"/>
  <c r="CH38" i="19"/>
  <c r="CH50" i="19" a="1"/>
  <c r="CH50" i="19" s="1"/>
  <c r="CH80" i="19" a="1"/>
  <c r="CH80" i="19" s="1"/>
  <c r="CH74" i="19" a="1"/>
  <c r="CH74" i="19" s="1"/>
  <c r="CH92" i="19" a="1"/>
  <c r="CH92" i="19" s="1"/>
  <c r="CH41" i="19" a="1"/>
  <c r="CH41" i="19" s="1"/>
  <c r="CH86" i="19" a="1"/>
  <c r="CH86" i="19" s="1"/>
  <c r="CH58" i="19" a="1"/>
  <c r="CH58" i="19" s="1"/>
  <c r="CH63" i="19" a="1"/>
  <c r="CH63" i="19" s="1"/>
  <c r="CH37" i="19"/>
  <c r="CH89" i="19" a="1"/>
  <c r="CH89" i="19" s="1"/>
  <c r="CH77" i="19" a="1"/>
  <c r="CH77" i="19" s="1"/>
  <c r="BT46" i="19"/>
  <c r="BT80" i="19" a="1"/>
  <c r="BT80" i="19" s="1"/>
  <c r="BT71" i="19" a="1"/>
  <c r="BT71" i="19" s="1"/>
  <c r="BT92" i="19" a="1"/>
  <c r="BT92" i="19" s="1"/>
  <c r="BT55" i="19" a="1"/>
  <c r="BT55" i="19" s="1"/>
  <c r="CR44" i="19" a="1"/>
  <c r="CR44" i="19" s="1"/>
  <c r="BV71" i="19" a="1"/>
  <c r="BV71" i="19" s="1"/>
  <c r="BV80" i="19" a="1"/>
  <c r="BV80" i="19" s="1"/>
  <c r="BV63" i="19" a="1"/>
  <c r="BV63" i="19" s="1"/>
  <c r="BV43" i="19"/>
  <c r="BV86" i="19" a="1"/>
  <c r="BV86" i="19" s="1"/>
  <c r="BV92" i="19" a="1"/>
  <c r="BV92" i="19" s="1"/>
  <c r="BV37" i="19"/>
  <c r="BN63" i="19" a="1"/>
  <c r="BN63" i="19" s="1"/>
  <c r="BN38" i="19"/>
  <c r="BN50" i="19" a="1"/>
  <c r="BN50" i="19" s="1"/>
  <c r="BN55" i="19" a="1"/>
  <c r="BN55" i="19" s="1"/>
  <c r="BN86" i="19" a="1"/>
  <c r="BN86" i="19" s="1"/>
  <c r="BN43" i="19"/>
  <c r="BN66" i="19" a="1"/>
  <c r="BN66" i="19" s="1"/>
  <c r="BN83" i="19" a="1"/>
  <c r="BN83" i="19" s="1"/>
  <c r="BN44" i="19" a="1"/>
  <c r="BN44" i="19" s="1"/>
  <c r="BN80" i="19" a="1"/>
  <c r="BN80" i="19" s="1"/>
  <c r="BN89" i="19" a="1"/>
  <c r="BN89" i="19" s="1"/>
  <c r="BS55" i="19" a="1"/>
  <c r="BS55" i="19" s="1"/>
  <c r="N104" i="21"/>
  <c r="CJ80" i="19" a="1"/>
  <c r="CJ80" i="19" s="1"/>
  <c r="BT86" i="19" a="1"/>
  <c r="BT86" i="19" s="1"/>
  <c r="CI49" i="19"/>
  <c r="BV47" i="19" a="1"/>
  <c r="BV47" i="19" s="1"/>
  <c r="CZ43" i="19"/>
  <c r="BT63" i="19" a="1"/>
  <c r="BT63" i="19" s="1"/>
  <c r="BZ58" i="19" a="1"/>
  <c r="BZ58" i="19" s="1"/>
  <c r="CN37" i="19"/>
  <c r="CY50" i="19" a="1"/>
  <c r="CY50" i="19" s="1"/>
  <c r="CU50" i="19" a="1"/>
  <c r="CU50" i="19" s="1"/>
  <c r="P41" i="19" a="1"/>
  <c r="P41" i="19" s="1"/>
  <c r="BN74" i="19" a="1"/>
  <c r="BN74" i="19" s="1"/>
  <c r="BY47" i="19" a="1"/>
  <c r="BY47" i="19" s="1"/>
  <c r="CD38" i="19"/>
  <c r="CD80" i="19" a="1"/>
  <c r="CD80" i="19" s="1"/>
  <c r="CD92" i="19" a="1"/>
  <c r="CD92" i="19" s="1"/>
  <c r="CD47" i="19" a="1"/>
  <c r="CD47" i="19" s="1"/>
  <c r="CD44" i="19" a="1"/>
  <c r="CD44" i="19" s="1"/>
  <c r="CD89" i="19" a="1"/>
  <c r="CD89" i="19" s="1"/>
  <c r="CD71" i="19" a="1"/>
  <c r="CD71" i="19" s="1"/>
  <c r="CD41" i="19" a="1"/>
  <c r="CD41" i="19" s="1"/>
  <c r="CD58" i="19" a="1"/>
  <c r="CD58" i="19" s="1"/>
  <c r="CD74" i="19" a="1"/>
  <c r="CD74" i="19" s="1"/>
  <c r="CD37" i="19"/>
  <c r="CD63" i="19" a="1"/>
  <c r="CD63" i="19" s="1"/>
  <c r="CD66" i="19" a="1"/>
  <c r="CD66" i="19" s="1"/>
  <c r="CD83" i="19" a="1"/>
  <c r="CD83" i="19" s="1"/>
  <c r="CQ80" i="19" a="1"/>
  <c r="CQ80" i="19" s="1"/>
  <c r="BV74" i="19" a="1"/>
  <c r="BV74" i="19" s="1"/>
  <c r="CZ50" i="19" a="1"/>
  <c r="CZ50" i="19" s="1"/>
  <c r="CN55" i="19" a="1"/>
  <c r="CN55" i="19" s="1"/>
  <c r="CN58" i="19" a="1"/>
  <c r="CN58" i="19" s="1"/>
  <c r="CN63" i="19" a="1"/>
  <c r="CN63" i="19" s="1"/>
  <c r="CN77" i="19" a="1"/>
  <c r="CN77" i="19" s="1"/>
  <c r="CN80" i="19" a="1"/>
  <c r="CN80" i="19" s="1"/>
  <c r="CN89" i="19" a="1"/>
  <c r="CN89" i="19" s="1"/>
  <c r="CN71" i="19" a="1"/>
  <c r="CN71" i="19" s="1"/>
  <c r="CN74" i="19" a="1"/>
  <c r="CN74" i="19" s="1"/>
  <c r="CN41" i="19" a="1"/>
  <c r="CN41" i="19" s="1"/>
  <c r="CR40" i="19"/>
  <c r="CF41" i="19" a="1"/>
  <c r="CF41" i="19" s="1"/>
  <c r="CF77" i="19" a="1"/>
  <c r="CF77" i="19" s="1"/>
  <c r="CF58" i="19" a="1"/>
  <c r="CF58" i="19" s="1"/>
  <c r="CF74" i="19" a="1"/>
  <c r="CF74" i="19" s="1"/>
  <c r="CF47" i="19" a="1"/>
  <c r="CF47" i="19" s="1"/>
  <c r="CF86" i="19" a="1"/>
  <c r="CF86" i="19" s="1"/>
  <c r="CF66" i="19" a="1"/>
  <c r="CF66" i="19" s="1"/>
  <c r="CF49" i="19"/>
  <c r="CF71" i="19" a="1"/>
  <c r="CF71" i="19" s="1"/>
  <c r="CF37" i="19"/>
  <c r="CF44" i="19" a="1"/>
  <c r="CF44" i="19" s="1"/>
  <c r="CF80" i="19" a="1"/>
  <c r="CF80" i="19" s="1"/>
  <c r="CF92" i="19" a="1"/>
  <c r="CF92" i="19" s="1"/>
  <c r="CF83" i="19" a="1"/>
  <c r="CF83" i="19" s="1"/>
  <c r="BM74" i="19" a="1"/>
  <c r="BM74" i="19" s="1"/>
  <c r="BM86" i="19" a="1"/>
  <c r="BM86" i="19" s="1"/>
  <c r="BM92" i="19" a="1"/>
  <c r="BM92" i="19" s="1"/>
  <c r="BM38" i="19"/>
  <c r="BM80" i="19" a="1"/>
  <c r="BM80" i="19" s="1"/>
  <c r="BU43" i="19"/>
  <c r="BU41" i="19" a="1"/>
  <c r="BU41" i="19" s="1"/>
  <c r="BU86" i="19" a="1"/>
  <c r="BU86" i="19" s="1"/>
  <c r="DA71" i="19" a="1"/>
  <c r="DA71" i="19" s="1"/>
  <c r="DA86" i="19" a="1"/>
  <c r="DA86" i="19" s="1"/>
  <c r="DA80" i="19" a="1"/>
  <c r="DA80" i="19" s="1"/>
  <c r="DA83" i="19" a="1"/>
  <c r="DA83" i="19" s="1"/>
  <c r="DA66" i="19" a="1"/>
  <c r="DA66" i="19" s="1"/>
  <c r="DA63" i="19" a="1"/>
  <c r="DA63" i="19" s="1"/>
  <c r="DA89" i="19" a="1"/>
  <c r="DA89" i="19" s="1"/>
  <c r="DA47" i="19" a="1"/>
  <c r="DA47" i="19" s="1"/>
  <c r="DA77" i="19" a="1"/>
  <c r="DA77" i="19" s="1"/>
  <c r="DA92" i="19" a="1"/>
  <c r="DA92" i="19" s="1"/>
  <c r="DA38" i="19"/>
  <c r="DA46" i="19"/>
  <c r="DA41" i="19" a="1"/>
  <c r="DA41" i="19" s="1"/>
  <c r="DA37" i="19"/>
  <c r="DA58" i="19" a="1"/>
  <c r="DA58" i="19" s="1"/>
  <c r="CI86" i="19" a="1"/>
  <c r="CI86" i="19" s="1"/>
  <c r="CI80" i="19" a="1"/>
  <c r="CI80" i="19" s="1"/>
  <c r="CI63" i="19" a="1"/>
  <c r="CI63" i="19" s="1"/>
  <c r="CI71" i="19" a="1"/>
  <c r="CI71" i="19" s="1"/>
  <c r="DA44" i="19" a="1"/>
  <c r="DA44" i="19" s="1"/>
  <c r="CI50" i="19" a="1"/>
  <c r="CI50" i="19" s="1"/>
  <c r="CD50" i="19" a="1"/>
  <c r="CD50" i="19" s="1"/>
  <c r="BU71" i="19" a="1"/>
  <c r="BU71" i="19" s="1"/>
  <c r="CX77" i="19" a="1"/>
  <c r="CX77" i="19" s="1"/>
  <c r="CX71" i="19" a="1"/>
  <c r="CX71" i="19" s="1"/>
  <c r="CX74" i="19" a="1"/>
  <c r="CX74" i="19" s="1"/>
  <c r="CX55" i="19" a="1"/>
  <c r="CX55" i="19" s="1"/>
  <c r="CX86" i="19" a="1"/>
  <c r="CX86" i="19" s="1"/>
  <c r="CX66" i="19" a="1"/>
  <c r="CX66" i="19" s="1"/>
  <c r="CX83" i="19" a="1"/>
  <c r="CX83" i="19" s="1"/>
  <c r="CX92" i="19" a="1"/>
  <c r="CX92" i="19" s="1"/>
  <c r="CX58" i="19" a="1"/>
  <c r="CX58" i="19" s="1"/>
  <c r="CX44" i="19" a="1"/>
  <c r="CX44" i="19" s="1"/>
  <c r="CX89" i="19" a="1"/>
  <c r="CX89" i="19" s="1"/>
  <c r="CV46" i="19"/>
  <c r="CV66" i="19" a="1"/>
  <c r="CV66" i="19" s="1"/>
  <c r="CV63" i="19" a="1"/>
  <c r="CV63" i="19" s="1"/>
  <c r="CV37" i="19"/>
  <c r="CV47" i="19" a="1"/>
  <c r="CV47" i="19" s="1"/>
  <c r="CV80" i="19" a="1"/>
  <c r="CV80" i="19" s="1"/>
  <c r="CV92" i="19" a="1"/>
  <c r="CV92" i="19" s="1"/>
  <c r="CV55" i="19" a="1"/>
  <c r="CV55" i="19" s="1"/>
  <c r="CV41" i="19" a="1"/>
  <c r="CV41" i="19" s="1"/>
  <c r="CV71" i="19" a="1"/>
  <c r="CV71" i="19" s="1"/>
  <c r="CV38" i="19"/>
  <c r="CV89" i="19" a="1"/>
  <c r="CV89" i="19" s="1"/>
  <c r="CV86" i="19" a="1"/>
  <c r="CV86" i="19" s="1"/>
  <c r="CV83" i="19" a="1"/>
  <c r="CV83" i="19" s="1"/>
  <c r="CV44" i="19" a="1"/>
  <c r="CV44" i="19" s="1"/>
  <c r="CV58" i="19" a="1"/>
  <c r="CV58" i="19" s="1"/>
  <c r="CV74" i="19" a="1"/>
  <c r="CV74" i="19" s="1"/>
  <c r="CV50" i="19" a="1"/>
  <c r="CV50" i="19" s="1"/>
  <c r="CG83" i="19" a="1"/>
  <c r="CG83" i="19" s="1"/>
  <c r="CG86" i="19" a="1"/>
  <c r="CG86" i="19" s="1"/>
  <c r="CG55" i="19" a="1"/>
  <c r="CG55" i="19" s="1"/>
  <c r="CG89" i="19" a="1"/>
  <c r="CG89" i="19" s="1"/>
  <c r="CG58" i="19" a="1"/>
  <c r="CG58" i="19" s="1"/>
  <c r="CG77" i="19" a="1"/>
  <c r="CG77" i="19" s="1"/>
  <c r="CG66" i="19" a="1"/>
  <c r="CG66" i="19" s="1"/>
  <c r="CG50" i="19" a="1"/>
  <c r="CG50" i="19" s="1"/>
  <c r="CG41" i="19" a="1"/>
  <c r="CG41" i="19" s="1"/>
  <c r="CG80" i="19" a="1"/>
  <c r="CG80" i="19" s="1"/>
  <c r="CG44" i="19" a="1"/>
  <c r="CG44" i="19" s="1"/>
  <c r="CG38" i="19"/>
  <c r="CG92" i="19" a="1"/>
  <c r="CG92" i="19" s="1"/>
  <c r="CG47" i="19" a="1"/>
  <c r="CG47" i="19" s="1"/>
  <c r="CG71" i="19" a="1"/>
  <c r="CG71" i="19" s="1"/>
  <c r="CA46" i="19"/>
  <c r="CA80" i="19" a="1"/>
  <c r="CA80" i="19" s="1"/>
  <c r="CR46" i="19"/>
  <c r="CR92" i="19" a="1"/>
  <c r="CR92" i="19" s="1"/>
  <c r="CR80" i="19" a="1"/>
  <c r="CR80" i="19" s="1"/>
  <c r="BN71" i="19" a="1"/>
  <c r="BN71" i="19" s="1"/>
  <c r="BX47" i="19" a="1"/>
  <c r="BX47" i="19" s="1"/>
  <c r="CD55" i="19" a="1"/>
  <c r="CD55" i="19" s="1"/>
  <c r="BQ47" i="19" a="1"/>
  <c r="BQ47" i="19" s="1"/>
  <c r="P58" i="19" a="1"/>
  <c r="P58" i="19" s="1"/>
  <c r="BS86" i="19" a="1"/>
  <c r="BS86" i="19" s="1"/>
  <c r="CZ86" i="19" a="1"/>
  <c r="CZ86" i="19" s="1"/>
  <c r="BN47" i="19" a="1"/>
  <c r="BN47" i="19" s="1"/>
  <c r="BZ63" i="19" a="1"/>
  <c r="BZ63" i="19" s="1"/>
  <c r="BY49" i="19"/>
  <c r="CR86" i="19" a="1"/>
  <c r="CR86" i="19" s="1"/>
  <c r="DA49" i="19"/>
  <c r="BX58" i="19" a="1"/>
  <c r="BX58" i="19" s="1"/>
  <c r="CP37" i="19"/>
  <c r="BV44" i="19" a="1"/>
  <c r="BV44" i="19" s="1"/>
  <c r="BY44" i="19" a="1"/>
  <c r="BY44" i="19" s="1"/>
  <c r="BY55" i="19" a="1"/>
  <c r="BY55" i="19" s="1"/>
  <c r="BY63" i="19" a="1"/>
  <c r="BY63" i="19" s="1"/>
  <c r="BY71" i="19" a="1"/>
  <c r="BY71" i="19" s="1"/>
  <c r="BY83" i="19" a="1"/>
  <c r="BY83" i="19" s="1"/>
  <c r="CM41" i="19" a="1"/>
  <c r="CM41" i="19" s="1"/>
  <c r="CM58" i="19" a="1"/>
  <c r="CM58" i="19" s="1"/>
  <c r="CE83" i="19" a="1"/>
  <c r="CE83" i="19" s="1"/>
  <c r="CE89" i="19" a="1"/>
  <c r="CE89" i="19" s="1"/>
  <c r="CE92" i="19" a="1"/>
  <c r="CE92" i="19" s="1"/>
  <c r="CE80" i="19" a="1"/>
  <c r="CE80" i="19" s="1"/>
  <c r="CE38" i="19"/>
  <c r="CE66" i="19" a="1"/>
  <c r="CE66" i="19" s="1"/>
  <c r="CE37" i="19"/>
  <c r="CE63" i="19" a="1"/>
  <c r="CE63" i="19" s="1"/>
  <c r="CE47" i="19" a="1"/>
  <c r="CE47" i="19" s="1"/>
  <c r="CE50" i="19" a="1"/>
  <c r="CE50" i="19" s="1"/>
  <c r="CE44" i="19" a="1"/>
  <c r="CE44" i="19" s="1"/>
  <c r="CE77" i="19" a="1"/>
  <c r="CE77" i="19" s="1"/>
  <c r="CE55" i="19" a="1"/>
  <c r="CE55" i="19" s="1"/>
  <c r="CE86" i="19" a="1"/>
  <c r="CE86" i="19" s="1"/>
  <c r="CE41" i="19" a="1"/>
  <c r="CE41" i="19" s="1"/>
  <c r="CE74" i="19" a="1"/>
  <c r="CE74" i="19" s="1"/>
  <c r="BU77" i="19" a="1"/>
  <c r="BU77" i="19" s="1"/>
  <c r="BN77" i="19" a="1"/>
  <c r="BN77" i="19" s="1"/>
  <c r="CC66" i="19" a="1"/>
  <c r="CC66" i="19" s="1"/>
  <c r="CD77" i="19" a="1"/>
  <c r="CD77" i="19" s="1"/>
  <c r="DB37" i="19"/>
  <c r="CB71" i="19" a="1"/>
  <c r="CB71" i="19" s="1"/>
  <c r="BM46" i="19"/>
  <c r="BZ55" i="19" a="1"/>
  <c r="BZ55" i="19" s="1"/>
  <c r="BZ44" i="19" a="1"/>
  <c r="BZ44" i="19" s="1"/>
  <c r="CG40" i="19"/>
  <c r="CJ44" i="19" a="1"/>
  <c r="CJ44" i="19" s="1"/>
  <c r="BM58" i="19" a="1"/>
  <c r="BM58" i="19" s="1"/>
  <c r="BM55" i="19" a="1"/>
  <c r="BM55" i="19" s="1"/>
  <c r="CB49" i="19"/>
  <c r="DB55" i="19" a="1"/>
  <c r="DB55" i="19" s="1"/>
  <c r="CD46" i="19"/>
  <c r="BO83" i="19" a="1"/>
  <c r="BO83" i="19" s="1"/>
  <c r="BO89" i="19" a="1"/>
  <c r="BO89" i="19" s="1"/>
  <c r="BO38" i="19"/>
  <c r="BO86" i="19" a="1"/>
  <c r="BO86" i="19" s="1"/>
  <c r="BO71" i="19" a="1"/>
  <c r="BO71" i="19" s="1"/>
  <c r="BO80" i="19" a="1"/>
  <c r="BO80" i="19" s="1"/>
  <c r="BO66" i="19" a="1"/>
  <c r="BO66" i="19" s="1"/>
  <c r="BO92" i="19" a="1"/>
  <c r="BO92" i="19" s="1"/>
  <c r="BO63" i="19" a="1"/>
  <c r="BO63" i="19" s="1"/>
  <c r="BO47" i="19" a="1"/>
  <c r="BO47" i="19" s="1"/>
  <c r="BO44" i="19" a="1"/>
  <c r="BO44" i="19" s="1"/>
  <c r="BO37" i="19"/>
  <c r="BO55" i="19" a="1"/>
  <c r="BO55" i="19" s="1"/>
  <c r="BO58" i="19" a="1"/>
  <c r="BO58" i="19" s="1"/>
  <c r="BO50" i="19" a="1"/>
  <c r="BO50" i="19" s="1"/>
  <c r="BO41" i="19" a="1"/>
  <c r="BO41" i="19" s="1"/>
  <c r="BO74" i="19" a="1"/>
  <c r="BO74" i="19" s="1"/>
  <c r="BO40" i="19"/>
  <c r="CV77" i="19" a="1"/>
  <c r="CV77" i="19" s="1"/>
  <c r="BZ50" i="19" a="1"/>
  <c r="BZ50" i="19" s="1"/>
  <c r="CW77" i="19" a="1"/>
  <c r="CW77" i="19" s="1"/>
  <c r="CW80" i="19" a="1"/>
  <c r="CW80" i="19" s="1"/>
  <c r="BQ55" i="19" a="1"/>
  <c r="BQ55" i="19" s="1"/>
  <c r="DA50" i="19" a="1"/>
  <c r="DA50" i="19" s="1"/>
  <c r="L72" i="21"/>
  <c r="M72" i="21" s="1"/>
  <c r="N72" i="21" s="1"/>
  <c r="O72" i="21" s="1"/>
  <c r="P72" i="21" s="1"/>
  <c r="Q72" i="21" s="1"/>
  <c r="R72" i="21" s="1"/>
  <c r="S72" i="21" s="1"/>
  <c r="T72" i="21" s="1"/>
  <c r="U72" i="21" s="1"/>
  <c r="V72" i="21" s="1"/>
  <c r="W72" i="21" s="1"/>
  <c r="X72" i="21" s="1"/>
  <c r="Y72" i="21" s="1"/>
  <c r="Z72" i="21" s="1"/>
  <c r="AA72" i="21" s="1"/>
  <c r="AB72" i="21" s="1"/>
  <c r="AC72" i="21" s="1"/>
  <c r="AD72" i="21" s="1"/>
  <c r="AE72" i="21" s="1"/>
  <c r="AF72" i="21" s="1"/>
  <c r="AG72" i="21" s="1"/>
  <c r="AH72" i="21" s="1"/>
  <c r="AI72" i="21" s="1"/>
  <c r="AJ72" i="21" s="1"/>
  <c r="AK72" i="21" s="1"/>
  <c r="AL72" i="21" s="1"/>
  <c r="AM72" i="21" s="1"/>
  <c r="AN72" i="21" s="1"/>
  <c r="AO72" i="21" s="1"/>
  <c r="AP72" i="21" s="1"/>
  <c r="AQ72" i="21" s="1"/>
  <c r="AR72" i="21" s="1"/>
  <c r="AS72" i="21" s="1"/>
  <c r="AT72" i="21" s="1"/>
  <c r="AU72" i="21" s="1"/>
  <c r="AV72" i="21" s="1"/>
  <c r="AW72" i="21" s="1"/>
  <c r="AX72" i="21" s="1"/>
  <c r="AY72" i="21" s="1"/>
  <c r="BV89" i="19" a="1"/>
  <c r="BV89" i="19" s="1"/>
  <c r="CY86" i="19" a="1"/>
  <c r="CY86" i="19" s="1"/>
  <c r="CD86" i="19" a="1"/>
  <c r="CD86" i="19" s="1"/>
  <c r="CY71" i="19" a="1"/>
  <c r="CY71" i="19" s="1"/>
  <c r="CT86" i="19" a="1"/>
  <c r="CT86" i="19" s="1"/>
  <c r="CT44" i="19" a="1"/>
  <c r="CT44" i="19" s="1"/>
  <c r="CT71" i="19" a="1"/>
  <c r="CT71" i="19" s="1"/>
  <c r="CT66" i="19" a="1"/>
  <c r="CT66" i="19" s="1"/>
  <c r="CT74" i="19" a="1"/>
  <c r="CT74" i="19" s="1"/>
  <c r="CT83" i="19" a="1"/>
  <c r="CT83" i="19" s="1"/>
  <c r="CT43" i="19"/>
  <c r="CT47" i="19" a="1"/>
  <c r="CT47" i="19" s="1"/>
  <c r="CT80" i="19" a="1"/>
  <c r="CT80" i="19" s="1"/>
  <c r="CT89" i="19" a="1"/>
  <c r="CT89" i="19" s="1"/>
  <c r="BL92" i="19" a="1"/>
  <c r="BL92" i="19" s="1"/>
  <c r="BL63" i="19" a="1"/>
  <c r="BL63" i="19" s="1"/>
  <c r="BL80" i="19" a="1"/>
  <c r="BL80" i="19" s="1"/>
  <c r="BL71" i="19" a="1"/>
  <c r="BL71" i="19" s="1"/>
  <c r="BL86" i="19" a="1"/>
  <c r="BL86" i="19" s="1"/>
  <c r="CB89" i="19" a="1"/>
  <c r="CB89" i="19" s="1"/>
  <c r="CB77" i="19" a="1"/>
  <c r="CB77" i="19" s="1"/>
  <c r="CB83" i="19" a="1"/>
  <c r="CB83" i="19" s="1"/>
  <c r="CB37" i="19"/>
  <c r="CB66" i="19" a="1"/>
  <c r="CB66" i="19" s="1"/>
  <c r="CB74" i="19" a="1"/>
  <c r="CB74" i="19" s="1"/>
  <c r="CB38" i="19"/>
  <c r="CB55" i="19" a="1"/>
  <c r="CB55" i="19" s="1"/>
  <c r="CB41" i="19" a="1"/>
  <c r="CB41" i="19" s="1"/>
  <c r="CB40" i="19"/>
  <c r="CB58" i="19" a="1"/>
  <c r="CB58" i="19" s="1"/>
  <c r="CB86" i="19" a="1"/>
  <c r="CB86" i="19" s="1"/>
  <c r="CB44" i="19" a="1"/>
  <c r="CB44" i="19" s="1"/>
  <c r="CB63" i="19" a="1"/>
  <c r="CB63" i="19" s="1"/>
  <c r="CB80" i="19" a="1"/>
  <c r="CB80" i="19" s="1"/>
  <c r="DC44" i="19" a="1"/>
  <c r="DC44" i="19" s="1"/>
  <c r="DC71" i="19" a="1"/>
  <c r="DC71" i="19" s="1"/>
  <c r="DC86" i="19" a="1"/>
  <c r="DC86" i="19" s="1"/>
  <c r="DC49" i="19"/>
  <c r="DC47" i="19" a="1"/>
  <c r="DC47" i="19" s="1"/>
  <c r="BS63" i="19" a="1"/>
  <c r="BS63" i="19" s="1"/>
  <c r="DB86" i="19" a="1"/>
  <c r="DB86" i="19" s="1"/>
  <c r="DB71" i="19" a="1"/>
  <c r="DB71" i="19" s="1"/>
  <c r="DB74" i="19" a="1"/>
  <c r="DB74" i="19" s="1"/>
  <c r="DB80" i="19" a="1"/>
  <c r="DB80" i="19" s="1"/>
  <c r="DB92" i="19" a="1"/>
  <c r="DB92" i="19" s="1"/>
  <c r="BX71" i="19" a="1"/>
  <c r="BX71" i="19" s="1"/>
  <c r="BX77" i="19" a="1"/>
  <c r="BX77" i="19" s="1"/>
  <c r="BX86" i="19" a="1"/>
  <c r="BX86" i="19" s="1"/>
  <c r="BX92" i="19" a="1"/>
  <c r="BX92" i="19" s="1"/>
  <c r="BX55" i="19" a="1"/>
  <c r="BX55" i="19" s="1"/>
  <c r="BX40" i="19"/>
  <c r="BX66" i="19" a="1"/>
  <c r="BX66" i="19" s="1"/>
  <c r="CP47" i="19" a="1"/>
  <c r="CP47" i="19" s="1"/>
  <c r="CP86" i="19" a="1"/>
  <c r="CP86" i="19" s="1"/>
  <c r="CP66" i="19" a="1"/>
  <c r="CP66" i="19" s="1"/>
  <c r="CP83" i="19" a="1"/>
  <c r="CP83" i="19" s="1"/>
  <c r="CP44" i="19" a="1"/>
  <c r="CP44" i="19" s="1"/>
  <c r="CP77" i="19" a="1"/>
  <c r="CP77" i="19" s="1"/>
  <c r="CP92" i="19" a="1"/>
  <c r="CP92" i="19" s="1"/>
  <c r="CP74" i="19" a="1"/>
  <c r="CP74" i="19" s="1"/>
  <c r="CK47" i="19" a="1"/>
  <c r="CK47" i="19" s="1"/>
  <c r="CK41" i="19" a="1"/>
  <c r="CK41" i="19" s="1"/>
  <c r="CK71" i="19" a="1"/>
  <c r="CK71" i="19" s="1"/>
  <c r="CK44" i="19" a="1"/>
  <c r="CK44" i="19" s="1"/>
  <c r="CK86" i="19" a="1"/>
  <c r="CK86" i="19" s="1"/>
  <c r="CK74" i="19" a="1"/>
  <c r="CK74" i="19" s="1"/>
  <c r="CK49" i="19"/>
  <c r="CK66" i="19" a="1"/>
  <c r="CK66" i="19" s="1"/>
  <c r="BZ47" i="19" a="1"/>
  <c r="BZ47" i="19" s="1"/>
  <c r="BZ77" i="19" a="1"/>
  <c r="BZ77" i="19" s="1"/>
  <c r="BZ89" i="19" a="1"/>
  <c r="BZ89" i="19" s="1"/>
  <c r="BZ86" i="19" a="1"/>
  <c r="BZ86" i="19" s="1"/>
  <c r="BZ49" i="19"/>
  <c r="BZ80" i="19" a="1"/>
  <c r="BZ80" i="19" s="1"/>
  <c r="BZ66" i="19" a="1"/>
  <c r="BZ66" i="19" s="1"/>
  <c r="BZ83" i="19" a="1"/>
  <c r="BZ83" i="19" s="1"/>
  <c r="BZ71" i="19" a="1"/>
  <c r="BZ71" i="19" s="1"/>
  <c r="CY44" i="19" a="1"/>
  <c r="CY44" i="19" s="1"/>
  <c r="CY55" i="19" a="1"/>
  <c r="CY55" i="19" s="1"/>
  <c r="CY47" i="19" a="1"/>
  <c r="CY47" i="19" s="1"/>
  <c r="CY63" i="19" a="1"/>
  <c r="CY63" i="19" s="1"/>
  <c r="CY83" i="19" a="1"/>
  <c r="CY83" i="19" s="1"/>
  <c r="CY58" i="19" a="1"/>
  <c r="CY58" i="19" s="1"/>
  <c r="CY41" i="19" a="1"/>
  <c r="CY41" i="19" s="1"/>
  <c r="CC71" i="19" a="1"/>
  <c r="CC71" i="19" s="1"/>
  <c r="CC92" i="19" a="1"/>
  <c r="CC92" i="19" s="1"/>
  <c r="CC58" i="19" a="1"/>
  <c r="CC58" i="19" s="1"/>
  <c r="CC77" i="19" a="1"/>
  <c r="CC77" i="19" s="1"/>
  <c r="CC86" i="19" a="1"/>
  <c r="CC86" i="19" s="1"/>
  <c r="CC41" i="19" a="1"/>
  <c r="CC41" i="19" s="1"/>
  <c r="CC74" i="19" a="1"/>
  <c r="CC74" i="19" s="1"/>
  <c r="CC44" i="19" a="1"/>
  <c r="CC44" i="19" s="1"/>
  <c r="CC63" i="19" a="1"/>
  <c r="CC63" i="19" s="1"/>
  <c r="CC50" i="19" a="1"/>
  <c r="CC50" i="19" s="1"/>
  <c r="CQ83" i="19" a="1"/>
  <c r="CQ83" i="19" s="1"/>
  <c r="CQ89" i="19" a="1"/>
  <c r="CQ89" i="19" s="1"/>
  <c r="CQ77" i="19" a="1"/>
  <c r="CQ77" i="19" s="1"/>
  <c r="CQ74" i="19" a="1"/>
  <c r="CQ74" i="19" s="1"/>
  <c r="CQ71" i="19" a="1"/>
  <c r="CQ71" i="19" s="1"/>
  <c r="CQ66" i="19" a="1"/>
  <c r="CQ66" i="19" s="1"/>
  <c r="CQ92" i="19" a="1"/>
  <c r="CQ92" i="19" s="1"/>
  <c r="CQ37" i="19"/>
  <c r="CQ38" i="19"/>
  <c r="CQ40" i="19"/>
  <c r="CQ41" i="19" a="1"/>
  <c r="CQ41" i="19" s="1"/>
  <c r="CQ47" i="19" a="1"/>
  <c r="CQ47" i="19" s="1"/>
  <c r="CQ86" i="19" a="1"/>
  <c r="CQ86" i="19" s="1"/>
  <c r="CQ44" i="19" a="1"/>
  <c r="CQ44" i="19" s="1"/>
  <c r="CQ50" i="19" a="1"/>
  <c r="CQ50" i="19" s="1"/>
  <c r="CQ58" i="19" a="1"/>
  <c r="CQ58" i="19" s="1"/>
  <c r="CQ63" i="19" a="1"/>
  <c r="CQ63" i="19" s="1"/>
  <c r="CQ55" i="19" a="1"/>
  <c r="CQ55" i="19" s="1"/>
  <c r="CO83" i="19" a="1"/>
  <c r="CO83" i="19" s="1"/>
  <c r="CM50" i="19" a="1"/>
  <c r="CM50" i="19" s="1"/>
  <c r="DC50" i="19" a="1"/>
  <c r="DC50" i="19" s="1"/>
  <c r="CY66" i="19" a="1"/>
  <c r="CY66" i="19" s="1"/>
  <c r="CC89" i="19" a="1"/>
  <c r="CC89" i="19" s="1"/>
  <c r="DA74" i="19" a="1"/>
  <c r="DA74" i="19" s="1"/>
  <c r="O104" i="21"/>
  <c r="P104" i="21" s="1"/>
  <c r="Q104" i="21" s="1"/>
  <c r="R104" i="21" s="1"/>
  <c r="S104" i="21" s="1"/>
  <c r="T104" i="21" s="1"/>
  <c r="U104" i="21" s="1"/>
  <c r="V104" i="21" s="1"/>
  <c r="W104" i="21" s="1"/>
  <c r="X104" i="21" s="1"/>
  <c r="Y104" i="21" s="1"/>
  <c r="Z104" i="21" s="1"/>
  <c r="AA104" i="21" s="1"/>
  <c r="AB104" i="21" s="1"/>
  <c r="AC104" i="21" s="1"/>
  <c r="AD104" i="21" s="1"/>
  <c r="AE104" i="21" s="1"/>
  <c r="AF104" i="21" s="1"/>
  <c r="AG104" i="21" s="1"/>
  <c r="AH104" i="21" s="1"/>
  <c r="AI104" i="21" s="1"/>
  <c r="AJ104" i="21" s="1"/>
  <c r="AK104" i="21" s="1"/>
  <c r="AL104" i="21" s="1"/>
  <c r="AM104" i="21" s="1"/>
  <c r="AN104" i="21" s="1"/>
  <c r="AO104" i="21" s="1"/>
  <c r="AP104" i="21" s="1"/>
  <c r="AQ104" i="21" s="1"/>
  <c r="AR104" i="21" s="1"/>
  <c r="AS104" i="21" s="1"/>
  <c r="AT104" i="21" s="1"/>
  <c r="AU104" i="21" s="1"/>
  <c r="AV104" i="21" s="1"/>
  <c r="AW104" i="21" s="1"/>
  <c r="AX104" i="21" s="1"/>
  <c r="AY104" i="21" s="1"/>
  <c r="Q92" i="21"/>
  <c r="R92" i="21" s="1"/>
  <c r="S92" i="21" s="1"/>
  <c r="T92" i="21" s="1"/>
  <c r="U92" i="21" s="1"/>
  <c r="V92" i="21" s="1"/>
  <c r="W92" i="21" s="1"/>
  <c r="X92" i="21" s="1"/>
  <c r="Y92" i="21" s="1"/>
  <c r="Z92" i="21" s="1"/>
  <c r="AA92" i="21" s="1"/>
  <c r="AB92" i="21" s="1"/>
  <c r="AC92" i="21" s="1"/>
  <c r="AD92" i="21" s="1"/>
  <c r="AE92" i="21" s="1"/>
  <c r="AF92" i="21" s="1"/>
  <c r="AG92" i="21" s="1"/>
  <c r="AH92" i="21" s="1"/>
  <c r="AI92" i="21" s="1"/>
  <c r="AJ92" i="21" s="1"/>
  <c r="AK92" i="21" s="1"/>
  <c r="AL92" i="21" s="1"/>
  <c r="AM92" i="21" s="1"/>
  <c r="AN92" i="21" s="1"/>
  <c r="AO92" i="21" s="1"/>
  <c r="AP92" i="21" s="1"/>
  <c r="AQ92" i="21" s="1"/>
  <c r="AR92" i="21" s="1"/>
  <c r="AS92" i="21" s="1"/>
  <c r="AT92" i="21" s="1"/>
  <c r="AU92" i="21" s="1"/>
  <c r="AV92" i="21" s="1"/>
  <c r="AW92" i="21" s="1"/>
  <c r="AX92" i="21" s="1"/>
  <c r="AY92" i="21" s="1"/>
  <c r="K96" i="21"/>
  <c r="L96" i="21" s="1"/>
  <c r="M96" i="21" s="1"/>
  <c r="N96" i="21" s="1"/>
  <c r="O96" i="21" s="1"/>
  <c r="P96" i="21" s="1"/>
  <c r="Q96" i="21" s="1"/>
  <c r="R96" i="21" s="1"/>
  <c r="S96" i="21" s="1"/>
  <c r="T96" i="21" s="1"/>
  <c r="U96" i="21" s="1"/>
  <c r="V96" i="21" s="1"/>
  <c r="W96" i="21" s="1"/>
  <c r="X96" i="21" s="1"/>
  <c r="Y96" i="21" s="1"/>
  <c r="Z96" i="21" s="1"/>
  <c r="AA96" i="21" s="1"/>
  <c r="AB96" i="21" s="1"/>
  <c r="AC96" i="21" s="1"/>
  <c r="AD96" i="21" s="1"/>
  <c r="AE96" i="21" s="1"/>
  <c r="AF96" i="21" s="1"/>
  <c r="AG96" i="21" s="1"/>
  <c r="AH96" i="21" s="1"/>
  <c r="AI96" i="21" s="1"/>
  <c r="AJ96" i="21" s="1"/>
  <c r="AK96" i="21" s="1"/>
  <c r="AL96" i="21" s="1"/>
  <c r="AM96" i="21" s="1"/>
  <c r="AN96" i="21" s="1"/>
  <c r="AO96" i="21" s="1"/>
  <c r="AP96" i="21" s="1"/>
  <c r="AQ96" i="21" s="1"/>
  <c r="AR96" i="21" s="1"/>
  <c r="AS96" i="21" s="1"/>
  <c r="AT96" i="21" s="1"/>
  <c r="AU96" i="21" s="1"/>
  <c r="AV96" i="21" s="1"/>
  <c r="AW96" i="21" s="1"/>
  <c r="AX96" i="21" s="1"/>
  <c r="AY96" i="21" s="1"/>
  <c r="BO77" i="19" a="1"/>
  <c r="BO77" i="19" s="1"/>
  <c r="CH66" i="19" a="1"/>
  <c r="CH66" i="19" s="1"/>
  <c r="CV43" i="19"/>
  <c r="CP58" i="19" a="1"/>
  <c r="CP58" i="19" s="1"/>
  <c r="P63" i="19" a="1"/>
  <c r="P63" i="19" s="1"/>
  <c r="CP41" i="19" a="1"/>
  <c r="CP41" i="19" s="1"/>
  <c r="BU55" i="19" a="1"/>
  <c r="BU55" i="19" s="1"/>
  <c r="CI55" i="19" a="1"/>
  <c r="CI55" i="19" s="1"/>
  <c r="P92" i="19" a="1"/>
  <c r="P92" i="19" s="1"/>
  <c r="P89" i="19" a="1"/>
  <c r="P89" i="19" s="1"/>
  <c r="P66" i="19" a="1"/>
  <c r="P66" i="19" s="1"/>
  <c r="P83" i="19" a="1"/>
  <c r="P83" i="19" s="1"/>
  <c r="CJ86" i="19" a="1"/>
  <c r="CJ86" i="19" s="1"/>
  <c r="CJ71" i="19" a="1"/>
  <c r="CJ71" i="19" s="1"/>
  <c r="CJ92" i="19" a="1"/>
  <c r="CJ92" i="19" s="1"/>
  <c r="DA55" i="19" a="1"/>
  <c r="DA55" i="19" s="1"/>
  <c r="CJ55" i="19" a="1"/>
  <c r="CJ55" i="19" s="1"/>
  <c r="CI44" i="19" a="1"/>
  <c r="CI44" i="19" s="1"/>
  <c r="BQ63" i="19" a="1"/>
  <c r="BQ63" i="19" s="1"/>
  <c r="BQ86" i="19" a="1"/>
  <c r="BQ86" i="19" s="1"/>
  <c r="BQ83" i="19" a="1"/>
  <c r="BQ83" i="19" s="1"/>
  <c r="BQ74" i="19" a="1"/>
  <c r="BQ74" i="19" s="1"/>
  <c r="BQ49" i="19"/>
  <c r="BQ44" i="19" a="1"/>
  <c r="BQ44" i="19" s="1"/>
  <c r="BQ58" i="19" a="1"/>
  <c r="BQ58" i="19" s="1"/>
  <c r="BQ41" i="19" a="1"/>
  <c r="BQ41" i="19" s="1"/>
  <c r="CL66" i="19" a="1"/>
  <c r="CL66" i="19" s="1"/>
  <c r="CL83" i="19" a="1"/>
  <c r="CL83" i="19" s="1"/>
  <c r="CL58" i="19" a="1"/>
  <c r="CL58" i="19" s="1"/>
  <c r="CL49" i="19"/>
  <c r="CL44" i="19" a="1"/>
  <c r="CL44" i="19" s="1"/>
  <c r="CL74" i="19" a="1"/>
  <c r="CL74" i="19" s="1"/>
  <c r="CL92" i="19" a="1"/>
  <c r="CL92" i="19" s="1"/>
  <c r="CL80" i="19" a="1"/>
  <c r="CL80" i="19" s="1"/>
  <c r="CL89" i="19" a="1"/>
  <c r="CL89" i="19" s="1"/>
  <c r="CL71" i="19" a="1"/>
  <c r="CL71" i="19" s="1"/>
  <c r="CL86" i="19" a="1"/>
  <c r="CL86" i="19" s="1"/>
  <c r="CL77" i="19" a="1"/>
  <c r="CL77" i="19" s="1"/>
  <c r="CL37" i="19"/>
  <c r="CO43" i="19"/>
  <c r="CO41" i="19" a="1"/>
  <c r="CO41" i="19" s="1"/>
  <c r="CO58" i="19" a="1"/>
  <c r="CO58" i="19" s="1"/>
  <c r="CO47" i="19" a="1"/>
  <c r="CO47" i="19" s="1"/>
  <c r="CO80" i="19" a="1"/>
  <c r="CO80" i="19" s="1"/>
  <c r="CO44" i="19" a="1"/>
  <c r="CO44" i="19" s="1"/>
  <c r="CO55" i="19" a="1"/>
  <c r="CO55" i="19" s="1"/>
  <c r="CZ80" i="19" a="1"/>
  <c r="CZ80" i="19" s="1"/>
  <c r="CZ92" i="19" a="1"/>
  <c r="CZ92" i="19" s="1"/>
  <c r="CZ74" i="19" a="1"/>
  <c r="CZ74" i="19" s="1"/>
  <c r="CN49" i="19"/>
  <c r="CT77" i="19" a="1"/>
  <c r="CT77" i="19" s="1"/>
  <c r="BY77" i="19" a="1"/>
  <c r="BY77" i="19" s="1"/>
  <c r="CO37" i="19"/>
  <c r="CC80" i="19" a="1"/>
  <c r="CC80" i="19" s="1"/>
  <c r="BP41" i="19" a="1"/>
  <c r="BP41" i="19" s="1"/>
  <c r="BT89" i="19" a="1"/>
  <c r="BT89" i="19" s="1"/>
  <c r="BT83" i="19" a="1"/>
  <c r="BT83" i="19" s="1"/>
  <c r="BT77" i="19" a="1"/>
  <c r="BT77" i="19" s="1"/>
  <c r="BT37" i="19"/>
  <c r="BT74" i="19" a="1"/>
  <c r="BT74" i="19" s="1"/>
  <c r="BT40" i="19"/>
  <c r="BT38" i="19"/>
  <c r="BT47" i="19" a="1"/>
  <c r="BT47" i="19" s="1"/>
  <c r="BT66" i="19" a="1"/>
  <c r="BT66" i="19" s="1"/>
  <c r="CW63" i="19" a="1"/>
  <c r="CW63" i="19" s="1"/>
  <c r="CJ41" i="19" a="1"/>
  <c r="CJ41" i="19" s="1"/>
  <c r="CS44" i="19" a="1"/>
  <c r="CS44" i="19" s="1"/>
  <c r="CP55" i="19" a="1"/>
  <c r="CP55" i="19" s="1"/>
  <c r="CU44" i="19" a="1"/>
  <c r="CU44" i="19" s="1"/>
  <c r="BW92" i="19" a="1"/>
  <c r="BW92" i="19" s="1"/>
  <c r="BW89" i="19" a="1"/>
  <c r="BW89" i="19" s="1"/>
  <c r="BW83" i="19" a="1"/>
  <c r="BW83" i="19" s="1"/>
  <c r="BW77" i="19" a="1"/>
  <c r="BW77" i="19" s="1"/>
  <c r="BW38" i="19"/>
  <c r="BW80" i="19" a="1"/>
  <c r="BW80" i="19" s="1"/>
  <c r="BW66" i="19" a="1"/>
  <c r="BW66" i="19" s="1"/>
  <c r="BW37" i="19"/>
  <c r="BW74" i="19" a="1"/>
  <c r="BW74" i="19" s="1"/>
  <c r="BW63" i="19" a="1"/>
  <c r="BW63" i="19" s="1"/>
  <c r="BM50" i="19" a="1"/>
  <c r="BM50" i="19" s="1"/>
  <c r="CS50" i="19" a="1"/>
  <c r="CS50" i="19" s="1"/>
  <c r="CK50" i="19" a="1"/>
  <c r="CK50" i="19" s="1"/>
  <c r="P44" i="19" a="1"/>
  <c r="P44" i="19" s="1"/>
  <c r="BU74" i="19" a="1"/>
  <c r="BU74" i="19" s="1"/>
  <c r="CW74" i="19" a="1"/>
  <c r="CW74" i="19" s="1"/>
  <c r="BP37" i="19"/>
  <c r="CX37" i="19"/>
  <c r="CB46" i="19"/>
  <c r="CS38" i="19"/>
  <c r="BP47" i="19" a="1"/>
  <c r="BP47" i="19" s="1"/>
  <c r="BN41" i="19" a="1"/>
  <c r="BN41" i="19" s="1"/>
  <c r="BQ37" i="19"/>
  <c r="BQ92" i="19" a="1"/>
  <c r="BQ92" i="19" s="1"/>
  <c r="DB47" i="19" a="1"/>
  <c r="DB47" i="19" s="1"/>
  <c r="CC37" i="19"/>
  <c r="CO71" i="19" a="1"/>
  <c r="CO71" i="19" s="1"/>
  <c r="BX50" i="19" a="1"/>
  <c r="BX50" i="19" s="1"/>
  <c r="CN66" i="19" a="1"/>
  <c r="CN66" i="19" s="1"/>
  <c r="BV38" i="19"/>
  <c r="BY66" i="19" a="1"/>
  <c r="BY66" i="19" s="1"/>
  <c r="BM47" i="19" a="1"/>
  <c r="BM47" i="19" s="1"/>
  <c r="BM83" i="19" a="1"/>
  <c r="BM83" i="19" s="1"/>
  <c r="CY89" i="19" a="1"/>
  <c r="CY89" i="19" s="1"/>
  <c r="CK80" i="19" a="1"/>
  <c r="CK80" i="19" s="1"/>
  <c r="BX83" i="19" a="1"/>
  <c r="BX83" i="19" s="1"/>
  <c r="CT46" i="19"/>
  <c r="DB41" i="19" a="1"/>
  <c r="DB41" i="19" s="1"/>
  <c r="L88" i="21"/>
  <c r="M88" i="21" s="1"/>
  <c r="N88" i="21" s="1"/>
  <c r="O88" i="21" s="1"/>
  <c r="P88" i="21" s="1"/>
  <c r="Q88" i="21" s="1"/>
  <c r="R88" i="21" s="1"/>
  <c r="S88" i="21" s="1"/>
  <c r="T88" i="21" s="1"/>
  <c r="U88" i="21" s="1"/>
  <c r="V88" i="21" s="1"/>
  <c r="W88" i="21" s="1"/>
  <c r="X88" i="21" s="1"/>
  <c r="Y88" i="21" s="1"/>
  <c r="Z88" i="21" s="1"/>
  <c r="AA88" i="21" s="1"/>
  <c r="AB88" i="21" s="1"/>
  <c r="AC88" i="21" s="1"/>
  <c r="AD88" i="21" s="1"/>
  <c r="AE88" i="21" s="1"/>
  <c r="AF88" i="21" s="1"/>
  <c r="AG88" i="21" s="1"/>
  <c r="AH88" i="21" s="1"/>
  <c r="AI88" i="21" s="1"/>
  <c r="AJ88" i="21" s="1"/>
  <c r="AK88" i="21" s="1"/>
  <c r="AL88" i="21" s="1"/>
  <c r="AM88" i="21" s="1"/>
  <c r="AN88" i="21" s="1"/>
  <c r="AO88" i="21" s="1"/>
  <c r="AP88" i="21" s="1"/>
  <c r="AQ88" i="21" s="1"/>
  <c r="AR88" i="21" s="1"/>
  <c r="AS88" i="21" s="1"/>
  <c r="AT88" i="21" s="1"/>
  <c r="AU88" i="21" s="1"/>
  <c r="AV88" i="21" s="1"/>
  <c r="AW88" i="21" s="1"/>
  <c r="AX88" i="21" s="1"/>
  <c r="AY88" i="21" s="1"/>
  <c r="P84" i="21"/>
  <c r="Q84" i="21" s="1"/>
  <c r="R84" i="21" s="1"/>
  <c r="S84" i="21" s="1"/>
  <c r="T84" i="21" s="1"/>
  <c r="U84" i="21" s="1"/>
  <c r="V84" i="21" s="1"/>
  <c r="W84" i="21" s="1"/>
  <c r="X84" i="21" s="1"/>
  <c r="Y84" i="21" s="1"/>
  <c r="Z84" i="21" s="1"/>
  <c r="AA84" i="21" s="1"/>
  <c r="AB84" i="21" s="1"/>
  <c r="AC84" i="21" s="1"/>
  <c r="AD84" i="21" s="1"/>
  <c r="AE84" i="21" s="1"/>
  <c r="AF84" i="21" s="1"/>
  <c r="AG84" i="21" s="1"/>
  <c r="AH84" i="21" s="1"/>
  <c r="AI84" i="21" s="1"/>
  <c r="AJ84" i="21" s="1"/>
  <c r="AK84" i="21" s="1"/>
  <c r="AL84" i="21" s="1"/>
  <c r="AM84" i="21" s="1"/>
  <c r="AN84" i="21" s="1"/>
  <c r="AO84" i="21" s="1"/>
  <c r="AP84" i="21" s="1"/>
  <c r="AQ84" i="21" s="1"/>
  <c r="AR84" i="21" s="1"/>
  <c r="AS84" i="21" s="1"/>
  <c r="AT84" i="21" s="1"/>
  <c r="AU84" i="21" s="1"/>
  <c r="AV84" i="21" s="1"/>
  <c r="AW84" i="21" s="1"/>
  <c r="AX84" i="21" s="1"/>
  <c r="AY84" i="21" s="1"/>
  <c r="O44" i="21"/>
  <c r="P44" i="21" s="1"/>
  <c r="Q44" i="21" s="1"/>
  <c r="R44" i="21" s="1"/>
  <c r="S44" i="21" s="1"/>
  <c r="T44" i="21" s="1"/>
  <c r="U44" i="21" s="1"/>
  <c r="V44" i="21" s="1"/>
  <c r="W44" i="21" s="1"/>
  <c r="X44" i="21" s="1"/>
  <c r="Y44" i="21" s="1"/>
  <c r="Z44" i="21" s="1"/>
  <c r="AA44" i="21" s="1"/>
  <c r="AB44" i="21" s="1"/>
  <c r="AC44" i="21" s="1"/>
  <c r="AD44" i="21" s="1"/>
  <c r="AE44" i="21" s="1"/>
  <c r="AF44" i="21" s="1"/>
  <c r="AG44" i="21" s="1"/>
  <c r="AH44" i="21" s="1"/>
  <c r="AI44" i="21" s="1"/>
  <c r="AJ44" i="21" s="1"/>
  <c r="AK44" i="21" s="1"/>
  <c r="AL44" i="21" s="1"/>
  <c r="AM44" i="21" s="1"/>
  <c r="AN44" i="21" s="1"/>
  <c r="AO44" i="21" s="1"/>
  <c r="AP44" i="21" s="1"/>
  <c r="AQ44" i="21" s="1"/>
  <c r="AR44" i="21" s="1"/>
  <c r="AS44" i="21" s="1"/>
  <c r="AT44" i="21" s="1"/>
  <c r="AU44" i="21" s="1"/>
  <c r="AV44" i="21" s="1"/>
  <c r="AW44" i="21" s="1"/>
  <c r="AX44" i="21" s="1"/>
  <c r="AY44" i="21" s="1"/>
  <c r="K56" i="21"/>
  <c r="L56" i="21" s="1"/>
  <c r="M56" i="21" s="1"/>
  <c r="N56" i="21" s="1"/>
  <c r="O56" i="21" s="1"/>
  <c r="P56" i="21" s="1"/>
  <c r="Q56" i="21" s="1"/>
  <c r="R56" i="21" s="1"/>
  <c r="S56" i="21" s="1"/>
  <c r="T56" i="21" s="1"/>
  <c r="U56" i="21" s="1"/>
  <c r="V56" i="21" s="1"/>
  <c r="W56" i="21" s="1"/>
  <c r="X56" i="21" s="1"/>
  <c r="Y56" i="21" s="1"/>
  <c r="Z56" i="21" s="1"/>
  <c r="AA56" i="21" s="1"/>
  <c r="AB56" i="21" s="1"/>
  <c r="AC56" i="21" s="1"/>
  <c r="AD56" i="21" s="1"/>
  <c r="AE56" i="21" s="1"/>
  <c r="AF56" i="21" s="1"/>
  <c r="AG56" i="21" s="1"/>
  <c r="AH56" i="21" s="1"/>
  <c r="AI56" i="21" s="1"/>
  <c r="AJ56" i="21" s="1"/>
  <c r="AK56" i="21" s="1"/>
  <c r="AL56" i="21" s="1"/>
  <c r="AM56" i="21" s="1"/>
  <c r="AN56" i="21" s="1"/>
  <c r="AO56" i="21" s="1"/>
  <c r="AP56" i="21" s="1"/>
  <c r="AQ56" i="21" s="1"/>
  <c r="AR56" i="21" s="1"/>
  <c r="AS56" i="21" s="1"/>
  <c r="AT56" i="21" s="1"/>
  <c r="AU56" i="21" s="1"/>
  <c r="AV56" i="21" s="1"/>
  <c r="AW56" i="21" s="1"/>
  <c r="AX56" i="21" s="1"/>
  <c r="AY56" i="21" s="1"/>
  <c r="BP86" i="19" a="1"/>
  <c r="BP86" i="19" s="1"/>
  <c r="CD43" i="19"/>
  <c r="BL89" i="19" a="1"/>
  <c r="BL89" i="19" s="1"/>
  <c r="BL77" i="19" a="1"/>
  <c r="BL77" i="19" s="1"/>
  <c r="BL83" i="19" a="1"/>
  <c r="BL83" i="19" s="1"/>
  <c r="BL74" i="19" a="1"/>
  <c r="BL74" i="19" s="1"/>
  <c r="BL37" i="19"/>
  <c r="BL66" i="19" a="1"/>
  <c r="BL66" i="19" s="1"/>
  <c r="BL38" i="19"/>
  <c r="BL47" i="19" a="1"/>
  <c r="BL47" i="19" s="1"/>
  <c r="DB63" i="19" a="1"/>
  <c r="DB63" i="19" s="1"/>
  <c r="BT58" i="19" a="1"/>
  <c r="BT58" i="19" s="1"/>
  <c r="BV58" i="19" a="1"/>
  <c r="BV58" i="19" s="1"/>
  <c r="DB58" i="19" a="1"/>
  <c r="DB58" i="19" s="1"/>
  <c r="P43" i="19"/>
  <c r="CP71" i="19" a="1"/>
  <c r="CP71" i="19" s="1"/>
  <c r="CA55" i="19" a="1"/>
  <c r="CA55" i="19" s="1"/>
  <c r="CT55" i="19" a="1"/>
  <c r="CT55" i="19" s="1"/>
  <c r="CX41" i="19" a="1"/>
  <c r="CX41" i="19" s="1"/>
  <c r="BL50" i="19" a="1"/>
  <c r="BL50" i="19" s="1"/>
  <c r="BS50" i="19" a="1"/>
  <c r="BS50" i="19" s="1"/>
  <c r="P50" i="19" a="1"/>
  <c r="P50" i="19" s="1"/>
  <c r="CT50" i="19" a="1"/>
  <c r="CT50" i="19" s="1"/>
  <c r="BU63" i="19" a="1"/>
  <c r="BU63" i="19" s="1"/>
  <c r="BU37" i="19"/>
  <c r="CW89" i="19" a="1"/>
  <c r="CW89" i="19" s="1"/>
  <c r="P46" i="19"/>
  <c r="CJ46" i="19"/>
  <c r="CS77" i="19" a="1"/>
  <c r="CS77" i="19" s="1"/>
  <c r="BP74" i="19" a="1"/>
  <c r="BP74" i="19" s="1"/>
  <c r="BN37" i="19"/>
  <c r="BQ71" i="19" a="1"/>
  <c r="BQ71" i="19" s="1"/>
  <c r="DB38" i="19"/>
  <c r="CO86" i="19" a="1"/>
  <c r="CO86" i="19" s="1"/>
  <c r="P71" i="19" a="1"/>
  <c r="P71" i="19" s="1"/>
  <c r="CN83" i="19" a="1"/>
  <c r="CN83" i="19" s="1"/>
  <c r="BV77" i="19" a="1"/>
  <c r="BV77" i="19" s="1"/>
  <c r="CL46" i="19"/>
  <c r="CL41" i="19" a="1"/>
  <c r="CL41" i="19" s="1"/>
  <c r="CL47" i="19" a="1"/>
  <c r="CL47" i="19" s="1"/>
  <c r="BY38" i="19"/>
  <c r="BM63" i="19" a="1"/>
  <c r="BM63" i="19" s="1"/>
  <c r="BM77" i="19" a="1"/>
  <c r="BM77" i="19" s="1"/>
  <c r="CY77" i="19" a="1"/>
  <c r="CY77" i="19" s="1"/>
  <c r="CK37" i="19"/>
  <c r="BX89" i="19" a="1"/>
  <c r="BX89" i="19" s="1"/>
  <c r="BP46" i="19"/>
  <c r="BP44" i="19" a="1"/>
  <c r="BP44" i="19" s="1"/>
  <c r="P80" i="21"/>
  <c r="Q80" i="21" s="1"/>
  <c r="R80" i="21" s="1"/>
  <c r="S80" i="21" s="1"/>
  <c r="T80" i="21" s="1"/>
  <c r="U80" i="21" s="1"/>
  <c r="V80" i="21" s="1"/>
  <c r="W80" i="21" s="1"/>
  <c r="X80" i="21" s="1"/>
  <c r="Y80" i="21" s="1"/>
  <c r="Z80" i="21" s="1"/>
  <c r="AA80" i="21" s="1"/>
  <c r="AB80" i="21" s="1"/>
  <c r="AC80" i="21" s="1"/>
  <c r="AD80" i="21" s="1"/>
  <c r="AE80" i="21" s="1"/>
  <c r="AF80" i="21" s="1"/>
  <c r="AG80" i="21" s="1"/>
  <c r="AH80" i="21" s="1"/>
  <c r="AI80" i="21" s="1"/>
  <c r="AJ80" i="21" s="1"/>
  <c r="AK80" i="21" s="1"/>
  <c r="AL80" i="21" s="1"/>
  <c r="AM80" i="21" s="1"/>
  <c r="AN80" i="21" s="1"/>
  <c r="AO80" i="21" s="1"/>
  <c r="AP80" i="21" s="1"/>
  <c r="AQ80" i="21" s="1"/>
  <c r="AR80" i="21" s="1"/>
  <c r="AS80" i="21" s="1"/>
  <c r="AT80" i="21" s="1"/>
  <c r="AU80" i="21" s="1"/>
  <c r="AV80" i="21" s="1"/>
  <c r="AW80" i="21" s="1"/>
  <c r="AX80" i="21" s="1"/>
  <c r="AY80" i="21" s="1"/>
  <c r="L68" i="21"/>
  <c r="M68" i="21" s="1"/>
  <c r="N68" i="21" s="1"/>
  <c r="O68" i="21" s="1"/>
  <c r="P68" i="21" s="1"/>
  <c r="Q68" i="21" s="1"/>
  <c r="R68" i="21" s="1"/>
  <c r="S68" i="21" s="1"/>
  <c r="T68" i="21" s="1"/>
  <c r="U68" i="21" s="1"/>
  <c r="V68" i="21" s="1"/>
  <c r="W68" i="21" s="1"/>
  <c r="X68" i="21" s="1"/>
  <c r="Y68" i="21" s="1"/>
  <c r="Z68" i="21" s="1"/>
  <c r="AA68" i="21" s="1"/>
  <c r="AB68" i="21" s="1"/>
  <c r="AC68" i="21" s="1"/>
  <c r="AD68" i="21" s="1"/>
  <c r="AE68" i="21" s="1"/>
  <c r="AF68" i="21" s="1"/>
  <c r="AG68" i="21" s="1"/>
  <c r="AH68" i="21" s="1"/>
  <c r="AI68" i="21" s="1"/>
  <c r="AJ68" i="21" s="1"/>
  <c r="AK68" i="21" s="1"/>
  <c r="AL68" i="21" s="1"/>
  <c r="AM68" i="21" s="1"/>
  <c r="AN68" i="21" s="1"/>
  <c r="AO68" i="21" s="1"/>
  <c r="AP68" i="21" s="1"/>
  <c r="AQ68" i="21" s="1"/>
  <c r="AR68" i="21" s="1"/>
  <c r="AS68" i="21" s="1"/>
  <c r="AT68" i="21" s="1"/>
  <c r="AU68" i="21" s="1"/>
  <c r="AV68" i="21" s="1"/>
  <c r="AW68" i="21" s="1"/>
  <c r="AX68" i="21" s="1"/>
  <c r="AY68" i="21" s="1"/>
  <c r="K76" i="21"/>
  <c r="L76" i="21" s="1"/>
  <c r="M76" i="21" s="1"/>
  <c r="N76" i="21" s="1"/>
  <c r="O76" i="21" s="1"/>
  <c r="P76" i="21" s="1"/>
  <c r="Q76" i="21" s="1"/>
  <c r="R76" i="21" s="1"/>
  <c r="S76" i="21" s="1"/>
  <c r="T76" i="21" s="1"/>
  <c r="U76" i="21" s="1"/>
  <c r="V76" i="21" s="1"/>
  <c r="W76" i="21" s="1"/>
  <c r="X76" i="21" s="1"/>
  <c r="Y76" i="21" s="1"/>
  <c r="Z76" i="21" s="1"/>
  <c r="AA76" i="21" s="1"/>
  <c r="AB76" i="21" s="1"/>
  <c r="AC76" i="21" s="1"/>
  <c r="AD76" i="21" s="1"/>
  <c r="AE76" i="21" s="1"/>
  <c r="AF76" i="21" s="1"/>
  <c r="AG76" i="21" s="1"/>
  <c r="AH76" i="21" s="1"/>
  <c r="AI76" i="21" s="1"/>
  <c r="AJ76" i="21" s="1"/>
  <c r="AK76" i="21" s="1"/>
  <c r="AL76" i="21" s="1"/>
  <c r="AM76" i="21" s="1"/>
  <c r="AN76" i="21" s="1"/>
  <c r="AO76" i="21" s="1"/>
  <c r="AP76" i="21" s="1"/>
  <c r="AQ76" i="21" s="1"/>
  <c r="AR76" i="21" s="1"/>
  <c r="AS76" i="21" s="1"/>
  <c r="AT76" i="21" s="1"/>
  <c r="AU76" i="21" s="1"/>
  <c r="AV76" i="21" s="1"/>
  <c r="AW76" i="21" s="1"/>
  <c r="AX76" i="21" s="1"/>
  <c r="AY76" i="21" s="1"/>
  <c r="CP63" i="19" a="1"/>
  <c r="CP63" i="19" s="1"/>
  <c r="CJ63" i="19" a="1"/>
  <c r="CJ63" i="19" s="1"/>
  <c r="CJ58" i="19" a="1"/>
  <c r="CJ58" i="19" s="1"/>
  <c r="CL55" i="19" a="1"/>
  <c r="CL55" i="19" s="1"/>
  <c r="BT41" i="19" a="1"/>
  <c r="BT41" i="19" s="1"/>
  <c r="BU46" i="19"/>
  <c r="BU44" i="19" a="1"/>
  <c r="BU44" i="19" s="1"/>
  <c r="CI89" i="19" a="1"/>
  <c r="CI89" i="19" s="1"/>
  <c r="CI92" i="19" a="1"/>
  <c r="CI92" i="19" s="1"/>
  <c r="CI83" i="19" a="1"/>
  <c r="CI83" i="19" s="1"/>
  <c r="CI77" i="19" a="1"/>
  <c r="CI77" i="19" s="1"/>
  <c r="CI74" i="19" a="1"/>
  <c r="CI74" i="19" s="1"/>
  <c r="CI38" i="19"/>
  <c r="CI66" i="19" a="1"/>
  <c r="CI66" i="19" s="1"/>
  <c r="CI47" i="19" a="1"/>
  <c r="CI47" i="19" s="1"/>
  <c r="CI41" i="19" a="1"/>
  <c r="CI41" i="19" s="1"/>
  <c r="CI58" i="19" a="1"/>
  <c r="CI58" i="19" s="1"/>
  <c r="CI37" i="19"/>
  <c r="CK55" i="19" a="1"/>
  <c r="CK55" i="19" s="1"/>
  <c r="CS55" i="19" a="1"/>
  <c r="CS55" i="19" s="1"/>
  <c r="CX38" i="19"/>
  <c r="CJ50" i="19" a="1"/>
  <c r="CJ50" i="19" s="1"/>
  <c r="BT50" i="19" a="1"/>
  <c r="BT50" i="19" s="1"/>
  <c r="CO50" i="19" a="1"/>
  <c r="CO50" i="19" s="1"/>
  <c r="BW49" i="19"/>
  <c r="CK38" i="19"/>
  <c r="BU38" i="19"/>
  <c r="BU80" i="19" a="1"/>
  <c r="BU80" i="19" s="1"/>
  <c r="CU55" i="19" a="1"/>
  <c r="CU55" i="19" s="1"/>
  <c r="CC46" i="19"/>
  <c r="CW46" i="19"/>
  <c r="CI46" i="19"/>
  <c r="CZ46" i="19"/>
  <c r="CS37" i="19"/>
  <c r="BP77" i="19" a="1"/>
  <c r="BP77" i="19" s="1"/>
  <c r="CK46" i="19"/>
  <c r="CC38" i="19"/>
  <c r="CC83" i="19" a="1"/>
  <c r="CC83" i="19" s="1"/>
  <c r="CO38" i="19"/>
  <c r="CO89" i="19" a="1"/>
  <c r="CO89" i="19" s="1"/>
  <c r="P80" i="19" a="1"/>
  <c r="P80" i="19" s="1"/>
  <c r="BY74" i="19" a="1"/>
  <c r="BY74" i="19" s="1"/>
  <c r="BM71" i="19" a="1"/>
  <c r="BM71" i="19" s="1"/>
  <c r="CY38" i="19"/>
  <c r="CY74" i="19" a="1"/>
  <c r="CY74" i="19" s="1"/>
  <c r="CK89" i="19" a="1"/>
  <c r="CK89" i="19" s="1"/>
  <c r="BX38" i="19"/>
  <c r="BP71" i="19" a="1"/>
  <c r="BP71" i="19" s="1"/>
  <c r="CZ89" i="19" a="1"/>
  <c r="CZ89" i="19" s="1"/>
  <c r="CZ83" i="19" a="1"/>
  <c r="CZ83" i="19" s="1"/>
  <c r="CZ77" i="19" a="1"/>
  <c r="CZ77" i="19" s="1"/>
  <c r="CZ37" i="19"/>
  <c r="CZ47" i="19" a="1"/>
  <c r="CZ47" i="19" s="1"/>
  <c r="CZ66" i="19" a="1"/>
  <c r="CZ66" i="19" s="1"/>
  <c r="CZ40" i="19"/>
  <c r="CZ38" i="19"/>
  <c r="CZ55" i="19" a="1"/>
  <c r="CZ55" i="19" s="1"/>
  <c r="CZ44" i="19" a="1"/>
  <c r="CZ44" i="19" s="1"/>
  <c r="CA83" i="19" a="1"/>
  <c r="CA83" i="19" s="1"/>
  <c r="CA89" i="19" a="1"/>
  <c r="CA89" i="19" s="1"/>
  <c r="CA92" i="19" a="1"/>
  <c r="CA92" i="19" s="1"/>
  <c r="CA74" i="19" a="1"/>
  <c r="CA74" i="19" s="1"/>
  <c r="CA86" i="19" a="1"/>
  <c r="CA86" i="19" s="1"/>
  <c r="CA71" i="19" a="1"/>
  <c r="CA71" i="19" s="1"/>
  <c r="CA66" i="19" a="1"/>
  <c r="CA66" i="19" s="1"/>
  <c r="CA77" i="19" a="1"/>
  <c r="CA77" i="19" s="1"/>
  <c r="CA47" i="19" a="1"/>
  <c r="CA47" i="19" s="1"/>
  <c r="CA58" i="19" a="1"/>
  <c r="CA58" i="19" s="1"/>
  <c r="CA37" i="19"/>
  <c r="CA41" i="19" a="1"/>
  <c r="CA41" i="19" s="1"/>
  <c r="CA40" i="19"/>
  <c r="CA38" i="19"/>
  <c r="CA44" i="19" a="1"/>
  <c r="CA44" i="19" s="1"/>
  <c r="DC89" i="19" a="1"/>
  <c r="DC89" i="19" s="1"/>
  <c r="DC92" i="19" a="1"/>
  <c r="DC92" i="19" s="1"/>
  <c r="DC77" i="19" a="1"/>
  <c r="DC77" i="19" s="1"/>
  <c r="DC83" i="19" a="1"/>
  <c r="DC83" i="19" s="1"/>
  <c r="DC80" i="19" a="1"/>
  <c r="DC80" i="19" s="1"/>
  <c r="DC74" i="19" a="1"/>
  <c r="DC74" i="19" s="1"/>
  <c r="DC38" i="19"/>
  <c r="DC66" i="19" a="1"/>
  <c r="DC66" i="19" s="1"/>
  <c r="DC37" i="19"/>
  <c r="DC58" i="19" a="1"/>
  <c r="DC58" i="19" s="1"/>
  <c r="DC63" i="19" a="1"/>
  <c r="DC63" i="19" s="1"/>
  <c r="DB50" i="19" a="1"/>
  <c r="DB50" i="19" s="1"/>
  <c r="BP50" i="19" a="1"/>
  <c r="BP50" i="19" s="1"/>
  <c r="CX50" i="19" a="1"/>
  <c r="CX50" i="19" s="1"/>
  <c r="CT41" i="19" a="1"/>
  <c r="CT41" i="19" s="1"/>
  <c r="BU92" i="19" a="1"/>
  <c r="BU92" i="19" s="1"/>
  <c r="BV41" i="19" a="1"/>
  <c r="BV41" i="19" s="1"/>
  <c r="BZ46" i="19"/>
  <c r="BZ38" i="19"/>
  <c r="BZ37" i="19"/>
  <c r="CQ46" i="19"/>
  <c r="CS66" i="19" a="1"/>
  <c r="CS66" i="19" s="1"/>
  <c r="BP89" i="19" a="1"/>
  <c r="BP89" i="19" s="1"/>
  <c r="BR46" i="19"/>
  <c r="BR37" i="19"/>
  <c r="BR47" i="19" a="1"/>
  <c r="BR47" i="19" s="1"/>
  <c r="CO92" i="19" a="1"/>
  <c r="CO92" i="19" s="1"/>
  <c r="P74" i="19" a="1"/>
  <c r="P74" i="19" s="1"/>
  <c r="CN38" i="19"/>
  <c r="BV50" i="19" a="1"/>
  <c r="BV50" i="19" s="1"/>
  <c r="DC41" i="19" a="1"/>
  <c r="DC41" i="19" s="1"/>
  <c r="BY92" i="19" a="1"/>
  <c r="BY92" i="19" s="1"/>
  <c r="BM37" i="19"/>
  <c r="CY92" i="19" a="1"/>
  <c r="CY92" i="19" s="1"/>
  <c r="CK77" i="19" a="1"/>
  <c r="CK77" i="19" s="1"/>
  <c r="BX41" i="19" a="1"/>
  <c r="BX41" i="19" s="1"/>
  <c r="CW47" i="19" a="1"/>
  <c r="CW47" i="19" s="1"/>
  <c r="BP92" i="19" a="1"/>
  <c r="BP92" i="19" s="1"/>
  <c r="BP80" i="19" a="1"/>
  <c r="BP80" i="19" s="1"/>
  <c r="CR89" i="19" a="1"/>
  <c r="CR89" i="19" s="1"/>
  <c r="CR83" i="19" a="1"/>
  <c r="CR83" i="19" s="1"/>
  <c r="CR37" i="19"/>
  <c r="CR71" i="19" a="1"/>
  <c r="CR71" i="19" s="1"/>
  <c r="CR66" i="19" a="1"/>
  <c r="CR66" i="19" s="1"/>
  <c r="CR77" i="19" a="1"/>
  <c r="CR77" i="19" s="1"/>
  <c r="CR74" i="19" a="1"/>
  <c r="CR74" i="19" s="1"/>
  <c r="CR38" i="19"/>
  <c r="CR47" i="19" a="1"/>
  <c r="CR47" i="19" s="1"/>
  <c r="CR63" i="19" a="1"/>
  <c r="CR63" i="19" s="1"/>
  <c r="CZ58" i="19" a="1"/>
  <c r="CZ58" i="19" s="1"/>
  <c r="CZ41" i="19" a="1"/>
  <c r="CZ41" i="19" s="1"/>
  <c r="BS92" i="19" a="1"/>
  <c r="BS92" i="19" s="1"/>
  <c r="BS89" i="19" a="1"/>
  <c r="BS89" i="19" s="1"/>
  <c r="BS77" i="19" a="1"/>
  <c r="BS77" i="19" s="1"/>
  <c r="BS74" i="19" a="1"/>
  <c r="BS74" i="19" s="1"/>
  <c r="BS83" i="19" a="1"/>
  <c r="BS83" i="19" s="1"/>
  <c r="BS71" i="19" a="1"/>
  <c r="BS71" i="19" s="1"/>
  <c r="BS37" i="19"/>
  <c r="BS58" i="19" a="1"/>
  <c r="BS58" i="19" s="1"/>
  <c r="BS41" i="19" a="1"/>
  <c r="BS41" i="19" s="1"/>
  <c r="BS40" i="19"/>
  <c r="BS38" i="19"/>
  <c r="BS66" i="19" a="1"/>
  <c r="BS66" i="19" s="1"/>
  <c r="BL55" i="19" a="1"/>
  <c r="BL55" i="19" s="1"/>
  <c r="CX47" i="19" a="1"/>
  <c r="CX47" i="19" s="1"/>
  <c r="CU83" i="19" a="1"/>
  <c r="CU83" i="19" s="1"/>
  <c r="CU89" i="19" a="1"/>
  <c r="CU89" i="19" s="1"/>
  <c r="CU86" i="19" a="1"/>
  <c r="CU86" i="19" s="1"/>
  <c r="CU80" i="19" a="1"/>
  <c r="CU80" i="19" s="1"/>
  <c r="CU38" i="19"/>
  <c r="CU92" i="19" a="1"/>
  <c r="CU92" i="19" s="1"/>
  <c r="CU66" i="19" a="1"/>
  <c r="CU66" i="19" s="1"/>
  <c r="CU47" i="19" a="1"/>
  <c r="CU47" i="19" s="1"/>
  <c r="CU63" i="19" a="1"/>
  <c r="CU63" i="19" s="1"/>
  <c r="CU37" i="19"/>
  <c r="CR50" i="19" a="1"/>
  <c r="CR50" i="19" s="1"/>
  <c r="CP49" i="19"/>
  <c r="CT37" i="19"/>
  <c r="BU47" i="19" a="1"/>
  <c r="BU47" i="19" s="1"/>
  <c r="BU89" i="19" a="1"/>
  <c r="BU89" i="19" s="1"/>
  <c r="CW37" i="19"/>
  <c r="CP38" i="19"/>
  <c r="CP50" i="19" a="1"/>
  <c r="CP50" i="19" s="1"/>
  <c r="CS63" i="19" a="1"/>
  <c r="CS63" i="19" s="1"/>
  <c r="CS83" i="19" a="1"/>
  <c r="CS83" i="19" s="1"/>
  <c r="BP83" i="19" a="1"/>
  <c r="BP83" i="19" s="1"/>
  <c r="BQ46" i="19"/>
  <c r="BQ38" i="19"/>
  <c r="BQ50" i="19" a="1"/>
  <c r="BQ50" i="19" s="1"/>
  <c r="CO63" i="19" a="1"/>
  <c r="CO63" i="19" s="1"/>
  <c r="P38" i="19"/>
  <c r="BZ74" i="19" a="1"/>
  <c r="BZ74" i="19" s="1"/>
  <c r="BP38" i="19"/>
  <c r="CX63" i="19" a="1"/>
  <c r="CX63" i="19" s="1"/>
  <c r="BM66" i="19" a="1"/>
  <c r="BM66" i="19" s="1"/>
  <c r="CY37" i="19"/>
  <c r="CK63" i="19" a="1"/>
  <c r="CK63" i="19" s="1"/>
  <c r="CK92" i="19" a="1"/>
  <c r="CK92" i="19" s="1"/>
  <c r="BX37" i="19"/>
  <c r="O60" i="21"/>
  <c r="P60" i="21" s="1"/>
  <c r="Q60" i="21" s="1"/>
  <c r="R60" i="21" s="1"/>
  <c r="S60" i="21" s="1"/>
  <c r="T60" i="21" s="1"/>
  <c r="U60" i="21" s="1"/>
  <c r="V60" i="21" s="1"/>
  <c r="W60" i="21" s="1"/>
  <c r="X60" i="21" s="1"/>
  <c r="Y60" i="21" s="1"/>
  <c r="Z60" i="21" s="1"/>
  <c r="AA60" i="21" s="1"/>
  <c r="AB60" i="21" s="1"/>
  <c r="AC60" i="21" s="1"/>
  <c r="AD60" i="21" s="1"/>
  <c r="AE60" i="21" s="1"/>
  <c r="AF60" i="21" s="1"/>
  <c r="AG60" i="21" s="1"/>
  <c r="AH60" i="21" s="1"/>
  <c r="AI60" i="21" s="1"/>
  <c r="AJ60" i="21" s="1"/>
  <c r="AK60" i="21" s="1"/>
  <c r="AL60" i="21" s="1"/>
  <c r="AM60" i="21" s="1"/>
  <c r="AN60" i="21" s="1"/>
  <c r="AO60" i="21" s="1"/>
  <c r="AP60" i="21" s="1"/>
  <c r="AQ60" i="21" s="1"/>
  <c r="AR60" i="21" s="1"/>
  <c r="AS60" i="21" s="1"/>
  <c r="AT60" i="21" s="1"/>
  <c r="AU60" i="21" s="1"/>
  <c r="AV60" i="21" s="1"/>
  <c r="AW60" i="21" s="1"/>
  <c r="AX60" i="21" s="1"/>
  <c r="AY60" i="21" s="1"/>
  <c r="Q64" i="21"/>
  <c r="R64" i="21" s="1"/>
  <c r="S64" i="21" s="1"/>
  <c r="T64" i="21" s="1"/>
  <c r="U64" i="21" s="1"/>
  <c r="V64" i="21" s="1"/>
  <c r="W64" i="21" s="1"/>
  <c r="X64" i="21" s="1"/>
  <c r="Y64" i="21" s="1"/>
  <c r="Z64" i="21" s="1"/>
  <c r="AA64" i="21" s="1"/>
  <c r="AB64" i="21" s="1"/>
  <c r="AC64" i="21" s="1"/>
  <c r="AD64" i="21" s="1"/>
  <c r="AE64" i="21" s="1"/>
  <c r="AF64" i="21" s="1"/>
  <c r="AG64" i="21" s="1"/>
  <c r="AH64" i="21" s="1"/>
  <c r="AI64" i="21" s="1"/>
  <c r="AJ64" i="21" s="1"/>
  <c r="AK64" i="21" s="1"/>
  <c r="AL64" i="21" s="1"/>
  <c r="AM64" i="21" s="1"/>
  <c r="AN64" i="21" s="1"/>
  <c r="AO64" i="21" s="1"/>
  <c r="AP64" i="21" s="1"/>
  <c r="AQ64" i="21" s="1"/>
  <c r="AR64" i="21" s="1"/>
  <c r="AS64" i="21" s="1"/>
  <c r="AT64" i="21" s="1"/>
  <c r="AU64" i="21" s="1"/>
  <c r="AV64" i="21" s="1"/>
  <c r="AW64" i="21" s="1"/>
  <c r="AX64" i="21" s="1"/>
  <c r="AY64" i="21" s="1"/>
  <c r="O48" i="21"/>
  <c r="P48" i="21" s="1"/>
  <c r="Q48" i="21" s="1"/>
  <c r="R48" i="21" s="1"/>
  <c r="S48" i="21" s="1"/>
  <c r="T48" i="21" s="1"/>
  <c r="U48" i="21" s="1"/>
  <c r="V48" i="21" s="1"/>
  <c r="W48" i="21" s="1"/>
  <c r="X48" i="21" s="1"/>
  <c r="Y48" i="21" s="1"/>
  <c r="Z48" i="21" s="1"/>
  <c r="AA48" i="21" s="1"/>
  <c r="AB48" i="21" s="1"/>
  <c r="AC48" i="21" s="1"/>
  <c r="AD48" i="21" s="1"/>
  <c r="AE48" i="21" s="1"/>
  <c r="AF48" i="21" s="1"/>
  <c r="AG48" i="21" s="1"/>
  <c r="AH48" i="21" s="1"/>
  <c r="AI48" i="21" s="1"/>
  <c r="AJ48" i="21" s="1"/>
  <c r="AK48" i="21" s="1"/>
  <c r="AL48" i="21" s="1"/>
  <c r="AM48" i="21" s="1"/>
  <c r="AN48" i="21" s="1"/>
  <c r="AO48" i="21" s="1"/>
  <c r="AP48" i="21" s="1"/>
  <c r="AQ48" i="21" s="1"/>
  <c r="AR48" i="21" s="1"/>
  <c r="AS48" i="21" s="1"/>
  <c r="AT48" i="21" s="1"/>
  <c r="AU48" i="21" s="1"/>
  <c r="AV48" i="21" s="1"/>
  <c r="AW48" i="21" s="1"/>
  <c r="AX48" i="21" s="1"/>
  <c r="AY48" i="21" s="1"/>
  <c r="K52" i="21"/>
  <c r="L52" i="21" s="1"/>
  <c r="M52" i="21" s="1"/>
  <c r="N52" i="21" s="1"/>
  <c r="O52" i="21" s="1"/>
  <c r="P52" i="21" s="1"/>
  <c r="Q52" i="21" s="1"/>
  <c r="R52" i="21" s="1"/>
  <c r="S52" i="21" s="1"/>
  <c r="T52" i="21" s="1"/>
  <c r="U52" i="21" s="1"/>
  <c r="V52" i="21" s="1"/>
  <c r="W52" i="21" s="1"/>
  <c r="X52" i="21" s="1"/>
  <c r="Y52" i="21" s="1"/>
  <c r="Z52" i="21" s="1"/>
  <c r="AA52" i="21" s="1"/>
  <c r="AB52" i="21" s="1"/>
  <c r="AC52" i="21" s="1"/>
  <c r="AD52" i="21" s="1"/>
  <c r="AE52" i="21" s="1"/>
  <c r="AF52" i="21" s="1"/>
  <c r="AG52" i="21" s="1"/>
  <c r="AH52" i="21" s="1"/>
  <c r="AI52" i="21" s="1"/>
  <c r="AJ52" i="21" s="1"/>
  <c r="AK52" i="21" s="1"/>
  <c r="AL52" i="21" s="1"/>
  <c r="AM52" i="21" s="1"/>
  <c r="AN52" i="21" s="1"/>
  <c r="AO52" i="21" s="1"/>
  <c r="AP52" i="21" s="1"/>
  <c r="AQ52" i="21" s="1"/>
  <c r="AR52" i="21" s="1"/>
  <c r="AS52" i="21" s="1"/>
  <c r="AT52" i="21" s="1"/>
  <c r="AU52" i="21" s="1"/>
  <c r="AV52" i="21" s="1"/>
  <c r="AW52" i="21" s="1"/>
  <c r="AX52" i="21" s="1"/>
  <c r="AY52" i="21" s="1"/>
  <c r="CR55" i="19" a="1"/>
  <c r="CR55" i="19" s="1"/>
  <c r="CJ89" i="19" a="1"/>
  <c r="CJ89" i="19" s="1"/>
  <c r="CJ83" i="19" a="1"/>
  <c r="CJ83" i="19" s="1"/>
  <c r="CJ77" i="19" a="1"/>
  <c r="CJ77" i="19" s="1"/>
  <c r="CJ37" i="19"/>
  <c r="CJ66" i="19" a="1"/>
  <c r="CJ66" i="19" s="1"/>
  <c r="CJ40" i="19"/>
  <c r="CJ38" i="19"/>
  <c r="CJ47" i="19" a="1"/>
  <c r="CJ47" i="19" s="1"/>
  <c r="CA63" i="19" a="1"/>
  <c r="CA63" i="19" s="1"/>
  <c r="BP63" i="19" a="1"/>
  <c r="BP63" i="19" s="1"/>
  <c r="CR58" i="19" a="1"/>
  <c r="CR58" i="19" s="1"/>
  <c r="BT44" i="19" a="1"/>
  <c r="BT44" i="19" s="1"/>
  <c r="CN44" i="19" a="1"/>
  <c r="CN44" i="19" s="1"/>
  <c r="BL44" i="19" a="1"/>
  <c r="BL44" i="19" s="1"/>
  <c r="BW55" i="19" a="1"/>
  <c r="BW55" i="19" s="1"/>
  <c r="BV55" i="19" a="1"/>
  <c r="BV55" i="19" s="1"/>
  <c r="BT43" i="19"/>
  <c r="CM92" i="19" a="1"/>
  <c r="CM92" i="19" s="1"/>
  <c r="CM89" i="19" a="1"/>
  <c r="CM89" i="19" s="1"/>
  <c r="CM74" i="19" a="1"/>
  <c r="CM74" i="19" s="1"/>
  <c r="CM80" i="19" a="1"/>
  <c r="CM80" i="19" s="1"/>
  <c r="CM38" i="19"/>
  <c r="CM66" i="19" a="1"/>
  <c r="CM66" i="19" s="1"/>
  <c r="CM83" i="19" a="1"/>
  <c r="CM83" i="19" s="1"/>
  <c r="CM63" i="19" a="1"/>
  <c r="CM63" i="19" s="1"/>
  <c r="CM47" i="19" a="1"/>
  <c r="CM47" i="19" s="1"/>
  <c r="CM77" i="19" a="1"/>
  <c r="CM77" i="19" s="1"/>
  <c r="CM37" i="19"/>
  <c r="CM44" i="19" a="1"/>
  <c r="CM44" i="19" s="1"/>
  <c r="CM71" i="19" a="1"/>
  <c r="CM71" i="19" s="1"/>
  <c r="CM55" i="19" a="1"/>
  <c r="CM55" i="19" s="1"/>
  <c r="BU50" i="19" a="1"/>
  <c r="BU50" i="19" s="1"/>
  <c r="DB49" i="19"/>
  <c r="CN50" i="19" a="1"/>
  <c r="CN50" i="19" s="1"/>
  <c r="BW50" i="19" a="1"/>
  <c r="BW50" i="19" s="1"/>
  <c r="BU66" i="19" a="1"/>
  <c r="BU66" i="19" s="1"/>
  <c r="BU83" i="19" a="1"/>
  <c r="BU83" i="19" s="1"/>
  <c r="BY46" i="19"/>
  <c r="CS58" i="19" a="1"/>
  <c r="CS58" i="19" s="1"/>
  <c r="CS92" i="19" a="1"/>
  <c r="CS92" i="19" s="1"/>
  <c r="BQ66" i="19" a="1"/>
  <c r="BQ66" i="19" s="1"/>
  <c r="CC47" i="19" a="1"/>
  <c r="CC47" i="19" s="1"/>
  <c r="BP58" i="19" a="1"/>
  <c r="BP58" i="19" s="1"/>
  <c r="P47" i="19" a="1"/>
  <c r="P47" i="19" s="1"/>
  <c r="P77" i="19" a="1"/>
  <c r="P77" i="19" s="1"/>
  <c r="CN47" i="19" a="1"/>
  <c r="CN47" i="19" s="1"/>
  <c r="CL38" i="19"/>
  <c r="BY89" i="19" a="1"/>
  <c r="BY89" i="19" s="1"/>
  <c r="CK58" i="19" a="1"/>
  <c r="CK58" i="19" s="1"/>
  <c r="BN21" i="5" l="1"/>
  <c r="BN10" i="5"/>
  <c r="BM21" i="5" l="1"/>
  <c r="BM10" i="5"/>
  <c r="BL21" i="5" l="1"/>
  <c r="BL10" i="5"/>
  <c r="BK21" i="5" l="1"/>
  <c r="BK10" i="5"/>
  <c r="AU4" i="18" l="1"/>
  <c r="AV4" i="18"/>
  <c r="AW4" i="18"/>
  <c r="AX4" i="18"/>
  <c r="AY4" i="18"/>
  <c r="AZ4" i="18"/>
  <c r="BA4" i="18"/>
  <c r="AU30" i="18"/>
  <c r="AV30" i="18"/>
  <c r="AW30" i="18"/>
  <c r="AX30" i="18"/>
  <c r="AY30" i="18"/>
  <c r="AZ30" i="18"/>
  <c r="BA30" i="18"/>
  <c r="AU31" i="18"/>
  <c r="AV31" i="18"/>
  <c r="AW31" i="18"/>
  <c r="AX31" i="18"/>
  <c r="AY31" i="18"/>
  <c r="AZ31" i="18"/>
  <c r="BA31" i="18"/>
  <c r="CQ3" i="15"/>
  <c r="CR3" i="15"/>
  <c r="CS3" i="15"/>
  <c r="CT3" i="15"/>
  <c r="CU3" i="15"/>
  <c r="CV3" i="15"/>
  <c r="CQ5" i="15"/>
  <c r="CR5" i="15"/>
  <c r="CS5" i="15"/>
  <c r="CT5" i="15"/>
  <c r="CU5" i="15"/>
  <c r="CV5" i="15"/>
  <c r="CQ6" i="15"/>
  <c r="CR6" i="15"/>
  <c r="CS6" i="15"/>
  <c r="CT6" i="15"/>
  <c r="CU6" i="15"/>
  <c r="CV6" i="15"/>
  <c r="CQ7" i="15"/>
  <c r="CR7" i="15"/>
  <c r="CS7" i="15"/>
  <c r="CT7" i="15"/>
  <c r="CU7" i="15"/>
  <c r="CV7" i="15"/>
  <c r="CQ8" i="15"/>
  <c r="CR8" i="15"/>
  <c r="CS8" i="15"/>
  <c r="CT8" i="15"/>
  <c r="CU8" i="15"/>
  <c r="CV8" i="15"/>
  <c r="CQ9" i="15"/>
  <c r="CR9" i="15"/>
  <c r="CS9" i="15"/>
  <c r="CT9" i="15"/>
  <c r="CU9" i="15"/>
  <c r="CV9" i="15"/>
  <c r="CQ10" i="15"/>
  <c r="CR10" i="15"/>
  <c r="CS10" i="15"/>
  <c r="CT10" i="15"/>
  <c r="CU10" i="15"/>
  <c r="CV10" i="15"/>
  <c r="CQ11" i="15"/>
  <c r="CR11" i="15"/>
  <c r="CS11" i="15"/>
  <c r="CT11" i="15"/>
  <c r="CU11" i="15"/>
  <c r="CV11" i="15"/>
  <c r="CQ12" i="15"/>
  <c r="CR12" i="15"/>
  <c r="CS12" i="15"/>
  <c r="CT12" i="15"/>
  <c r="CU12" i="15"/>
  <c r="CV12" i="15"/>
  <c r="CQ13" i="15"/>
  <c r="CR13" i="15"/>
  <c r="CS13" i="15"/>
  <c r="CT13" i="15"/>
  <c r="CU13" i="15"/>
  <c r="CV13" i="15"/>
  <c r="CQ14" i="15"/>
  <c r="CR14" i="15"/>
  <c r="CS14" i="15"/>
  <c r="CT14" i="15"/>
  <c r="CU14" i="15"/>
  <c r="CV14" i="15"/>
  <c r="CQ15" i="15"/>
  <c r="CR15" i="15"/>
  <c r="CS15" i="15"/>
  <c r="CT15" i="15"/>
  <c r="CU15" i="15"/>
  <c r="CV15" i="15"/>
  <c r="CQ16" i="15"/>
  <c r="CR16" i="15"/>
  <c r="CS16" i="15"/>
  <c r="CT16" i="15"/>
  <c r="CU16" i="15"/>
  <c r="CV16" i="15"/>
  <c r="CQ17" i="15"/>
  <c r="CR17" i="15"/>
  <c r="CS17" i="15"/>
  <c r="CT17" i="15"/>
  <c r="CU17" i="15"/>
  <c r="CV17" i="15"/>
  <c r="CQ18" i="15"/>
  <c r="CR18" i="15"/>
  <c r="CS18" i="15"/>
  <c r="CT18" i="15"/>
  <c r="CU18" i="15"/>
  <c r="CV18" i="15"/>
  <c r="CQ19" i="15"/>
  <c r="CR19" i="15"/>
  <c r="CS19" i="15"/>
  <c r="CT19" i="15"/>
  <c r="CU19" i="15"/>
  <c r="CV19" i="15"/>
  <c r="CQ20" i="15"/>
  <c r="CR20" i="15"/>
  <c r="CS20" i="15"/>
  <c r="CT20" i="15"/>
  <c r="CU20" i="15"/>
  <c r="CV20" i="15"/>
  <c r="CQ21" i="15"/>
  <c r="CR21" i="15"/>
  <c r="CS21" i="15"/>
  <c r="CT21" i="15"/>
  <c r="CU21" i="15"/>
  <c r="CV21" i="15"/>
  <c r="CQ22" i="15"/>
  <c r="CR22" i="15"/>
  <c r="CS22" i="15"/>
  <c r="CT22" i="15"/>
  <c r="CU22" i="15"/>
  <c r="CV22" i="15"/>
  <c r="CQ23" i="15"/>
  <c r="CR23" i="15"/>
  <c r="CS23" i="15"/>
  <c r="CT23" i="15"/>
  <c r="CU23" i="15"/>
  <c r="CV23" i="15"/>
  <c r="CQ24" i="15"/>
  <c r="CR24" i="15"/>
  <c r="CS24" i="15"/>
  <c r="CT24" i="15"/>
  <c r="CU24" i="15"/>
  <c r="CV24" i="15"/>
  <c r="CQ25" i="15"/>
  <c r="CR25" i="15"/>
  <c r="CS25" i="15"/>
  <c r="CT25" i="15"/>
  <c r="CU25" i="15"/>
  <c r="CV25" i="15"/>
  <c r="CQ26" i="15"/>
  <c r="CR26" i="15"/>
  <c r="CS26" i="15"/>
  <c r="CT26" i="15"/>
  <c r="CU26" i="15"/>
  <c r="CV26" i="15"/>
  <c r="CQ27" i="15"/>
  <c r="CR27" i="15"/>
  <c r="CS27" i="15"/>
  <c r="CT27" i="15"/>
  <c r="CU27" i="15"/>
  <c r="CV27" i="15"/>
  <c r="AX4" i="15"/>
  <c r="CQ4" i="15" s="1"/>
  <c r="AY4" i="15"/>
  <c r="CR4" i="15" s="1"/>
  <c r="AZ4" i="15"/>
  <c r="CS4" i="15" s="1"/>
  <c r="BA4" i="15"/>
  <c r="CT4" i="15" s="1"/>
  <c r="BB4" i="15"/>
  <c r="CU4" i="15" s="1"/>
  <c r="BC4" i="15"/>
  <c r="CV4" i="15" s="1"/>
  <c r="AX29" i="15"/>
  <c r="AY29" i="15"/>
  <c r="AZ29" i="15"/>
  <c r="BA29" i="15"/>
  <c r="BB29" i="15"/>
  <c r="BC29" i="15"/>
  <c r="AX30" i="15"/>
  <c r="AY30" i="15"/>
  <c r="AZ30" i="15"/>
  <c r="BA30" i="15"/>
  <c r="BB30" i="15"/>
  <c r="BC30" i="15"/>
  <c r="BJ23" i="5"/>
  <c r="BJ21" i="5"/>
  <c r="BJ10" i="5"/>
  <c r="BI23" i="5"/>
  <c r="BI21" i="5"/>
  <c r="BI10" i="5"/>
  <c r="DE3" i="5"/>
  <c r="DF3" i="5"/>
  <c r="DG3" i="5"/>
  <c r="DH3" i="5"/>
  <c r="DI3" i="5"/>
  <c r="DJ3" i="5"/>
  <c r="DK3" i="5"/>
  <c r="BJ4" i="5"/>
  <c r="DE4" i="5" s="1"/>
  <c r="BK4" i="5"/>
  <c r="DF4" i="5" s="1"/>
  <c r="BL4" i="5"/>
  <c r="DG4" i="5" s="1"/>
  <c r="BM4" i="5"/>
  <c r="DH4" i="5" s="1"/>
  <c r="BN4" i="5"/>
  <c r="DI4" i="5" s="1"/>
  <c r="BO4" i="5"/>
  <c r="DJ4" i="5" s="1"/>
  <c r="BP4" i="5"/>
  <c r="DK4" i="5" s="1"/>
  <c r="BK29" i="5"/>
  <c r="BL29" i="5"/>
  <c r="BM29" i="5"/>
  <c r="BN29" i="5"/>
  <c r="BO29" i="5"/>
  <c r="BP29" i="5"/>
  <c r="BK30" i="5"/>
  <c r="BL30" i="5"/>
  <c r="BM30" i="5"/>
  <c r="BN30" i="5"/>
  <c r="BO30" i="5"/>
  <c r="BP30" i="5"/>
  <c r="BJ35" i="5"/>
  <c r="BK35" i="5"/>
  <c r="BL35" i="5"/>
  <c r="BM35" i="5"/>
  <c r="BN35" i="5"/>
  <c r="BO35" i="5"/>
  <c r="BP35" i="5"/>
  <c r="BK36" i="5" a="1"/>
  <c r="BK36" i="5" s="1"/>
  <c r="BL36" i="5" a="1"/>
  <c r="BL36" i="5" s="1"/>
  <c r="BM36" i="5" a="1"/>
  <c r="BM36" i="5" s="1"/>
  <c r="BN36" i="5" a="1"/>
  <c r="BN36" i="5" s="1"/>
  <c r="BO36" i="5" a="1"/>
  <c r="BO36" i="5" s="1"/>
  <c r="BP36" i="5" a="1"/>
  <c r="BP36" i="5" s="1"/>
  <c r="CS30" i="15" l="1"/>
  <c r="CV30" i="15"/>
  <c r="CV29" i="15"/>
  <c r="CU30" i="15"/>
  <c r="CU29" i="15"/>
  <c r="CT30" i="15"/>
  <c r="CT29" i="15"/>
  <c r="CS29" i="15"/>
  <c r="CR30" i="15"/>
  <c r="CR29" i="15"/>
  <c r="CQ29" i="15"/>
  <c r="CQ30" i="15"/>
  <c r="BJ30" i="5"/>
  <c r="BJ29" i="5"/>
  <c r="BJ36" i="5" a="1"/>
  <c r="BJ36" i="5" s="1"/>
  <c r="BH23" i="5"/>
  <c r="BH21" i="5"/>
  <c r="BH10" i="5"/>
  <c r="BG23" i="5"/>
  <c r="BG21" i="5"/>
  <c r="BG10" i="5"/>
  <c r="BF23" i="5" l="1"/>
  <c r="BF21" i="5"/>
  <c r="BF10" i="5"/>
  <c r="BE23" i="5" l="1"/>
  <c r="BE21" i="5"/>
  <c r="BE10" i="5"/>
  <c r="BD23" i="5" l="1"/>
  <c r="BD21" i="5"/>
  <c r="BD10" i="5"/>
  <c r="BC23" i="5" l="1"/>
  <c r="BC21" i="5"/>
  <c r="BC10" i="5"/>
  <c r="BC8" i="5"/>
  <c r="BB23" i="5" l="1"/>
  <c r="BB21" i="5"/>
  <c r="BB10" i="5"/>
  <c r="BA23" i="5" l="1"/>
  <c r="BA21" i="5"/>
  <c r="BA10" i="5"/>
  <c r="BA8" i="5"/>
  <c r="AL30" i="18"/>
  <c r="AL31" i="18"/>
  <c r="AZ23" i="5" l="1"/>
  <c r="AZ21" i="5"/>
  <c r="AZ10" i="5"/>
  <c r="AZ8" i="5"/>
  <c r="AY23" i="5" l="1"/>
  <c r="AY21" i="5"/>
  <c r="AY10" i="5"/>
  <c r="AY8" i="5"/>
  <c r="AX23" i="5" l="1"/>
  <c r="AX21" i="5"/>
  <c r="AX10" i="5"/>
  <c r="AX8" i="5"/>
  <c r="AW23" i="5"/>
  <c r="AW21" i="5"/>
  <c r="AW10" i="5"/>
  <c r="AW8" i="5"/>
  <c r="AV23" i="5" l="1"/>
  <c r="AV21" i="5"/>
  <c r="AV11" i="5"/>
  <c r="AV10" i="5"/>
  <c r="AV8" i="5"/>
  <c r="AU23" i="5" l="1"/>
  <c r="AU21" i="5"/>
  <c r="AU11" i="5"/>
  <c r="AU10" i="5"/>
  <c r="AU8" i="5"/>
  <c r="AT23" i="5" l="1"/>
  <c r="AT21" i="5"/>
  <c r="AT11" i="5"/>
  <c r="AT10" i="5"/>
  <c r="AT8" i="5"/>
  <c r="AS23" i="5" l="1"/>
  <c r="AS21" i="5"/>
  <c r="AS11" i="5"/>
  <c r="AS10" i="5"/>
  <c r="AS8" i="5"/>
  <c r="AR23" i="5" l="1"/>
  <c r="AR21" i="5"/>
  <c r="AR15" i="5"/>
  <c r="AR11" i="5"/>
  <c r="AR10" i="5"/>
  <c r="AR8" i="5"/>
  <c r="AQ23" i="5" l="1"/>
  <c r="AQ21" i="5"/>
  <c r="AQ16" i="5"/>
  <c r="AQ15" i="5"/>
  <c r="AQ13" i="5"/>
  <c r="AQ11" i="5"/>
  <c r="AQ10" i="5"/>
  <c r="AP24" i="5" l="1"/>
  <c r="AP21" i="5"/>
  <c r="AP16" i="5"/>
  <c r="AP15" i="5"/>
  <c r="AP13" i="5"/>
  <c r="AP11" i="5"/>
  <c r="AP10" i="5"/>
  <c r="AP8" i="5"/>
  <c r="AP7" i="5"/>
  <c r="AO21" i="5" l="1"/>
  <c r="AO27" i="5"/>
  <c r="AO24" i="5"/>
  <c r="AO23" i="5"/>
  <c r="AO18" i="5"/>
  <c r="AO16" i="5"/>
  <c r="AO15" i="5"/>
  <c r="AO13" i="5"/>
  <c r="AO11" i="5"/>
  <c r="AO10" i="5"/>
  <c r="AO8" i="5"/>
  <c r="AO7" i="5"/>
  <c r="AN27" i="5" l="1"/>
  <c r="AN24" i="5"/>
  <c r="AN23" i="5"/>
  <c r="AN21" i="5"/>
  <c r="AN18" i="5"/>
  <c r="AN16" i="5"/>
  <c r="AN15" i="5"/>
  <c r="AN13" i="5"/>
  <c r="AN11" i="5"/>
  <c r="AN10" i="5"/>
  <c r="AN8" i="5"/>
  <c r="AN7" i="5"/>
  <c r="AM27" i="5" l="1"/>
  <c r="AM25" i="5"/>
  <c r="AM24" i="5"/>
  <c r="AM21" i="5"/>
  <c r="AM18" i="5"/>
  <c r="AM16" i="5"/>
  <c r="AM15" i="5"/>
  <c r="AM13" i="5"/>
  <c r="AM11" i="5"/>
  <c r="AM10" i="5"/>
  <c r="AM8" i="5"/>
  <c r="AM7" i="5"/>
  <c r="AL27" i="5" l="1"/>
  <c r="AL25" i="5"/>
  <c r="AL24" i="5"/>
  <c r="AL21" i="5"/>
  <c r="AL18" i="5"/>
  <c r="AL16" i="5"/>
  <c r="AL15" i="5"/>
  <c r="AL14" i="5"/>
  <c r="AL13" i="5"/>
  <c r="AL11" i="5"/>
  <c r="AL10" i="5"/>
  <c r="AL8" i="5"/>
  <c r="AL7" i="5"/>
  <c r="AK27" i="5" l="1"/>
  <c r="AK25" i="5"/>
  <c r="AK24" i="5"/>
  <c r="AK21" i="5"/>
  <c r="AK18" i="5"/>
  <c r="AK16" i="5"/>
  <c r="AK15" i="5"/>
  <c r="AK14" i="5"/>
  <c r="AK13" i="5"/>
  <c r="AK11" i="5"/>
  <c r="AK10" i="5"/>
  <c r="AK8" i="5"/>
  <c r="AK7" i="5"/>
  <c r="I35" i="5" l="1"/>
  <c r="AJ27" i="5"/>
  <c r="AJ25" i="5"/>
  <c r="AJ24" i="5"/>
  <c r="AJ23" i="5"/>
  <c r="AJ21" i="5"/>
  <c r="AJ20" i="5"/>
  <c r="AJ19" i="5"/>
  <c r="AJ18" i="5"/>
  <c r="AJ16" i="5"/>
  <c r="AJ15" i="5"/>
  <c r="AJ14" i="5"/>
  <c r="AJ13" i="5"/>
  <c r="AJ12" i="5"/>
  <c r="AJ11" i="5"/>
  <c r="AJ10" i="5"/>
  <c r="AJ8" i="5"/>
  <c r="AJ7" i="5"/>
  <c r="AI27" i="5" l="1"/>
  <c r="AI25" i="5"/>
  <c r="AI24" i="5"/>
  <c r="AI23" i="5"/>
  <c r="AI21" i="5"/>
  <c r="AI20" i="5"/>
  <c r="AI19" i="5"/>
  <c r="AI18" i="5"/>
  <c r="AI16" i="5"/>
  <c r="AI15" i="5"/>
  <c r="AI14" i="5"/>
  <c r="AI13" i="5"/>
  <c r="AI12" i="5"/>
  <c r="AI11" i="5"/>
  <c r="AI10" i="5"/>
  <c r="AI9" i="5"/>
  <c r="AI8" i="5"/>
  <c r="AI7" i="5"/>
  <c r="AI6" i="5"/>
  <c r="AI5" i="5"/>
  <c r="AH27" i="5" l="1"/>
  <c r="AH26" i="5"/>
  <c r="AH25" i="5"/>
  <c r="AH24" i="5"/>
  <c r="AH23" i="5"/>
  <c r="AH21" i="5"/>
  <c r="AH20" i="5"/>
  <c r="AH19" i="5"/>
  <c r="AH18" i="5"/>
  <c r="AH16" i="5"/>
  <c r="AH15" i="5"/>
  <c r="AH14" i="5"/>
  <c r="AH13" i="5"/>
  <c r="AH12" i="5"/>
  <c r="AH11" i="5"/>
  <c r="AH10" i="5"/>
  <c r="AH9" i="5"/>
  <c r="AH8" i="5"/>
  <c r="AH7" i="5"/>
  <c r="AH6" i="5"/>
  <c r="AH5" i="5"/>
  <c r="AG27" i="5" l="1"/>
  <c r="AG26" i="5"/>
  <c r="AG25" i="5"/>
  <c r="AG24" i="5"/>
  <c r="AG23" i="5"/>
  <c r="AG22" i="5"/>
  <c r="AG21" i="5"/>
  <c r="AG20" i="5"/>
  <c r="AG19" i="5"/>
  <c r="AG18" i="5"/>
  <c r="AG16" i="5"/>
  <c r="AG15" i="5"/>
  <c r="AG14" i="5"/>
  <c r="AG13" i="5"/>
  <c r="AG12" i="5"/>
  <c r="AG11" i="5"/>
  <c r="AG10" i="5"/>
  <c r="AG9" i="5"/>
  <c r="AG8" i="5"/>
  <c r="AG7" i="5"/>
  <c r="AG6" i="5"/>
  <c r="AG5" i="5"/>
  <c r="AF27" i="5" l="1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5" i="5"/>
  <c r="AE27" i="5" l="1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6" i="5"/>
  <c r="AE5" i="5"/>
  <c r="AD26" i="5" l="1"/>
  <c r="AD27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C27" i="5" l="1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AC7" i="5"/>
  <c r="AC6" i="5"/>
  <c r="AC5" i="5"/>
  <c r="AB27" i="5" l="1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B6" i="5"/>
  <c r="AB5" i="5"/>
  <c r="AT4" i="18" l="1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T35" i="5"/>
  <c r="CP27" i="15"/>
  <c r="CO27" i="15"/>
  <c r="CN27" i="15"/>
  <c r="CM27" i="15"/>
  <c r="CL27" i="15"/>
  <c r="CK27" i="15"/>
  <c r="CJ27" i="15"/>
  <c r="CI27" i="15"/>
  <c r="CH27" i="15"/>
  <c r="CG27" i="15"/>
  <c r="CF27" i="15"/>
  <c r="CE27" i="15"/>
  <c r="CD27" i="15"/>
  <c r="CC27" i="15"/>
  <c r="CB27" i="15"/>
  <c r="CA27" i="15"/>
  <c r="BZ27" i="15"/>
  <c r="BY27" i="15"/>
  <c r="BX27" i="15"/>
  <c r="BW27" i="15"/>
  <c r="BV27" i="15"/>
  <c r="BU27" i="15"/>
  <c r="BT27" i="15"/>
  <c r="BS27" i="15"/>
  <c r="BR27" i="15"/>
  <c r="BQ27" i="15"/>
  <c r="BP27" i="15"/>
  <c r="BO27" i="15"/>
  <c r="BN27" i="15"/>
  <c r="BM27" i="15"/>
  <c r="BL27" i="15"/>
  <c r="BK27" i="15"/>
  <c r="BJ27" i="15"/>
  <c r="BI27" i="15"/>
  <c r="BH27" i="15"/>
  <c r="BG27" i="15"/>
  <c r="BF27" i="15"/>
  <c r="BE27" i="15"/>
  <c r="CP26" i="15"/>
  <c r="CO26" i="15"/>
  <c r="CN26" i="15"/>
  <c r="CM26" i="15"/>
  <c r="CL26" i="15"/>
  <c r="CK26" i="15"/>
  <c r="CJ26" i="15"/>
  <c r="CI26" i="15"/>
  <c r="CH26" i="15"/>
  <c r="CG26" i="15"/>
  <c r="CF26" i="15"/>
  <c r="CE26" i="15"/>
  <c r="CD26" i="15"/>
  <c r="CC26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BM26" i="15"/>
  <c r="BL26" i="15"/>
  <c r="BK26" i="15"/>
  <c r="BJ26" i="15"/>
  <c r="BI26" i="15"/>
  <c r="BH26" i="15"/>
  <c r="BG26" i="15"/>
  <c r="BF26" i="15"/>
  <c r="BE26" i="15"/>
  <c r="CP25" i="15"/>
  <c r="CO25" i="15"/>
  <c r="CN25" i="15"/>
  <c r="CM25" i="15"/>
  <c r="CL25" i="15"/>
  <c r="CK25" i="15"/>
  <c r="CJ25" i="15"/>
  <c r="CI25" i="15"/>
  <c r="CH25" i="15"/>
  <c r="CG25" i="15"/>
  <c r="CF25" i="15"/>
  <c r="CE25" i="15"/>
  <c r="CD25" i="15"/>
  <c r="CC25" i="15"/>
  <c r="CB25" i="15"/>
  <c r="CA25" i="15"/>
  <c r="BZ25" i="15"/>
  <c r="BY25" i="15"/>
  <c r="BX25" i="15"/>
  <c r="BW25" i="15"/>
  <c r="BV25" i="15"/>
  <c r="BU25" i="15"/>
  <c r="BT25" i="15"/>
  <c r="BS25" i="15"/>
  <c r="BR25" i="15"/>
  <c r="BQ25" i="15"/>
  <c r="BP25" i="15"/>
  <c r="BO25" i="15"/>
  <c r="BN25" i="15"/>
  <c r="BM25" i="15"/>
  <c r="BL25" i="15"/>
  <c r="BK25" i="15"/>
  <c r="BJ25" i="15"/>
  <c r="BI25" i="15"/>
  <c r="BH25" i="15"/>
  <c r="BG25" i="15"/>
  <c r="BF25" i="15"/>
  <c r="BE25" i="15"/>
  <c r="CP24" i="15"/>
  <c r="CO24" i="15"/>
  <c r="CN24" i="15"/>
  <c r="CM24" i="15"/>
  <c r="CL24" i="15"/>
  <c r="CK24" i="15"/>
  <c r="CJ24" i="15"/>
  <c r="CI24" i="15"/>
  <c r="CH24" i="15"/>
  <c r="CG24" i="15"/>
  <c r="CF24" i="15"/>
  <c r="CE24" i="15"/>
  <c r="CD24" i="15"/>
  <c r="CC24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BM24" i="15"/>
  <c r="BL24" i="15"/>
  <c r="BK24" i="15"/>
  <c r="BJ24" i="15"/>
  <c r="BI24" i="15"/>
  <c r="BH24" i="15"/>
  <c r="BG24" i="15"/>
  <c r="BF24" i="15"/>
  <c r="BE24" i="15"/>
  <c r="CP23" i="15"/>
  <c r="CO23" i="15"/>
  <c r="CN23" i="15"/>
  <c r="CM23" i="15"/>
  <c r="CL23" i="15"/>
  <c r="CK23" i="15"/>
  <c r="CJ23" i="15"/>
  <c r="CI23" i="15"/>
  <c r="CH23" i="15"/>
  <c r="CG23" i="15"/>
  <c r="CF23" i="15"/>
  <c r="CE23" i="15"/>
  <c r="CD23" i="15"/>
  <c r="CC23" i="15"/>
  <c r="CB23" i="15"/>
  <c r="CA23" i="15"/>
  <c r="BZ23" i="15"/>
  <c r="BY23" i="15"/>
  <c r="BX23" i="15"/>
  <c r="BW23" i="15"/>
  <c r="BV23" i="15"/>
  <c r="BU23" i="15"/>
  <c r="BT23" i="15"/>
  <c r="BS23" i="15"/>
  <c r="BR23" i="15"/>
  <c r="BQ23" i="15"/>
  <c r="BP23" i="15"/>
  <c r="BO23" i="15"/>
  <c r="BN23" i="15"/>
  <c r="BM23" i="15"/>
  <c r="BL23" i="15"/>
  <c r="BK23" i="15"/>
  <c r="BJ23" i="15"/>
  <c r="BI23" i="15"/>
  <c r="BH23" i="15"/>
  <c r="BG23" i="15"/>
  <c r="BF23" i="15"/>
  <c r="BE23" i="15"/>
  <c r="CP22" i="15"/>
  <c r="CO22" i="15"/>
  <c r="CN22" i="15"/>
  <c r="CM22" i="15"/>
  <c r="CL22" i="15"/>
  <c r="CK22" i="15"/>
  <c r="CJ22" i="15"/>
  <c r="CI22" i="15"/>
  <c r="CH22" i="15"/>
  <c r="CG22" i="15"/>
  <c r="CF22" i="15"/>
  <c r="CE22" i="15"/>
  <c r="CD22" i="15"/>
  <c r="CC22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BM22" i="15"/>
  <c r="BL22" i="15"/>
  <c r="BK22" i="15"/>
  <c r="BJ22" i="15"/>
  <c r="BI22" i="15"/>
  <c r="BH22" i="15"/>
  <c r="BG22" i="15"/>
  <c r="BF22" i="15"/>
  <c r="BE22" i="15"/>
  <c r="CP21" i="15"/>
  <c r="CO21" i="15"/>
  <c r="CN21" i="15"/>
  <c r="CM21" i="15"/>
  <c r="CL21" i="15"/>
  <c r="CK21" i="15"/>
  <c r="CJ21" i="15"/>
  <c r="CI21" i="15"/>
  <c r="CH21" i="15"/>
  <c r="CG21" i="15"/>
  <c r="CF21" i="15"/>
  <c r="CE21" i="15"/>
  <c r="CD21" i="15"/>
  <c r="CC21" i="15"/>
  <c r="CB21" i="15"/>
  <c r="CA21" i="15"/>
  <c r="BZ21" i="15"/>
  <c r="BY21" i="15"/>
  <c r="BX21" i="15"/>
  <c r="BW21" i="15"/>
  <c r="BV21" i="15"/>
  <c r="BU21" i="15"/>
  <c r="BT21" i="15"/>
  <c r="BS21" i="15"/>
  <c r="BR21" i="15"/>
  <c r="BQ21" i="15"/>
  <c r="BP21" i="15"/>
  <c r="BO21" i="15"/>
  <c r="BN21" i="15"/>
  <c r="BM21" i="15"/>
  <c r="BL21" i="15"/>
  <c r="BK21" i="15"/>
  <c r="BJ21" i="15"/>
  <c r="BI21" i="15"/>
  <c r="BH21" i="15"/>
  <c r="BG21" i="15"/>
  <c r="BF21" i="15"/>
  <c r="BE21" i="15"/>
  <c r="CP20" i="15"/>
  <c r="CO20" i="15"/>
  <c r="CN20" i="15"/>
  <c r="CM20" i="15"/>
  <c r="CL20" i="15"/>
  <c r="CK20" i="15"/>
  <c r="CJ20" i="15"/>
  <c r="CI20" i="15"/>
  <c r="CH20" i="15"/>
  <c r="CG20" i="15"/>
  <c r="CF20" i="15"/>
  <c r="CE20" i="15"/>
  <c r="CD2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CP19" i="15"/>
  <c r="CO19" i="15"/>
  <c r="CN19" i="15"/>
  <c r="CM19" i="15"/>
  <c r="CL19" i="15"/>
  <c r="CK19" i="15"/>
  <c r="CJ19" i="15"/>
  <c r="CI19" i="15"/>
  <c r="CH19" i="15"/>
  <c r="CG19" i="15"/>
  <c r="CF19" i="15"/>
  <c r="CE19" i="15"/>
  <c r="CD19" i="15"/>
  <c r="CC19" i="15"/>
  <c r="CB19" i="15"/>
  <c r="CA19" i="15"/>
  <c r="BZ19" i="15"/>
  <c r="BY19" i="15"/>
  <c r="BX19" i="15"/>
  <c r="BW19" i="15"/>
  <c r="BV19" i="15"/>
  <c r="BU19" i="15"/>
  <c r="BT19" i="15"/>
  <c r="BS19" i="15"/>
  <c r="BR19" i="15"/>
  <c r="BQ19" i="15"/>
  <c r="BP19" i="15"/>
  <c r="BO19" i="15"/>
  <c r="BN19" i="15"/>
  <c r="BM19" i="15"/>
  <c r="BL19" i="15"/>
  <c r="BK19" i="15"/>
  <c r="BJ19" i="15"/>
  <c r="BI19" i="15"/>
  <c r="BH19" i="15"/>
  <c r="BG19" i="15"/>
  <c r="BF19" i="15"/>
  <c r="BE19" i="15"/>
  <c r="CP18" i="15"/>
  <c r="CO18" i="15"/>
  <c r="CN18" i="15"/>
  <c r="CM18" i="15"/>
  <c r="CL18" i="15"/>
  <c r="CK18" i="15"/>
  <c r="CJ18" i="15"/>
  <c r="CI18" i="15"/>
  <c r="CH18" i="15"/>
  <c r="CG18" i="15"/>
  <c r="CF18" i="15"/>
  <c r="CE18" i="15"/>
  <c r="CD18" i="15"/>
  <c r="CC18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BM18" i="15"/>
  <c r="BL18" i="15"/>
  <c r="BK18" i="15"/>
  <c r="BJ18" i="15"/>
  <c r="BI18" i="15"/>
  <c r="BH18" i="15"/>
  <c r="BG18" i="15"/>
  <c r="BF18" i="15"/>
  <c r="BE18" i="15"/>
  <c r="CP17" i="15"/>
  <c r="CO17" i="15"/>
  <c r="CN17" i="15"/>
  <c r="CM17" i="15"/>
  <c r="CL17" i="15"/>
  <c r="CK17" i="15"/>
  <c r="CJ17" i="15"/>
  <c r="CI17" i="15"/>
  <c r="CH17" i="15"/>
  <c r="CG17" i="15"/>
  <c r="CF17" i="15"/>
  <c r="CE17" i="15"/>
  <c r="CD17" i="15"/>
  <c r="CC17" i="15"/>
  <c r="CB17" i="15"/>
  <c r="CA17" i="15"/>
  <c r="BZ17" i="15"/>
  <c r="BY17" i="15"/>
  <c r="BX17" i="15"/>
  <c r="BW17" i="15"/>
  <c r="BV17" i="15"/>
  <c r="BU17" i="15"/>
  <c r="BT17" i="15"/>
  <c r="BS17" i="15"/>
  <c r="BR17" i="15"/>
  <c r="BQ17" i="15"/>
  <c r="BP17" i="15"/>
  <c r="BO17" i="15"/>
  <c r="BN17" i="15"/>
  <c r="BM17" i="15"/>
  <c r="BL17" i="15"/>
  <c r="BK17" i="15"/>
  <c r="BJ17" i="15"/>
  <c r="BI17" i="15"/>
  <c r="BH17" i="15"/>
  <c r="BG17" i="15"/>
  <c r="BF17" i="15"/>
  <c r="BE17" i="15"/>
  <c r="CP16" i="15"/>
  <c r="CO16" i="15"/>
  <c r="CN16" i="15"/>
  <c r="CM16" i="15"/>
  <c r="CL16" i="15"/>
  <c r="CK16" i="15"/>
  <c r="CJ16" i="15"/>
  <c r="CI16" i="15"/>
  <c r="CH16" i="15"/>
  <c r="CG16" i="15"/>
  <c r="CF16" i="15"/>
  <c r="CE16" i="15"/>
  <c r="CD16" i="15"/>
  <c r="CC16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BM16" i="15"/>
  <c r="BL16" i="15"/>
  <c r="BK16" i="15"/>
  <c r="BJ16" i="15"/>
  <c r="BI16" i="15"/>
  <c r="BH16" i="15"/>
  <c r="BG16" i="15"/>
  <c r="BF16" i="15"/>
  <c r="BE16" i="15"/>
  <c r="CP15" i="15"/>
  <c r="CO15" i="15"/>
  <c r="CN15" i="15"/>
  <c r="CM15" i="15"/>
  <c r="CL15" i="15"/>
  <c r="CK15" i="15"/>
  <c r="CJ15" i="15"/>
  <c r="CI15" i="15"/>
  <c r="CH15" i="15"/>
  <c r="CG15" i="15"/>
  <c r="CF15" i="15"/>
  <c r="CE15" i="15"/>
  <c r="CD15" i="15"/>
  <c r="CC15" i="15"/>
  <c r="CB15" i="15"/>
  <c r="CA15" i="15"/>
  <c r="BZ15" i="15"/>
  <c r="BY15" i="15"/>
  <c r="BX15" i="15"/>
  <c r="BW15" i="15"/>
  <c r="BV15" i="15"/>
  <c r="BU15" i="15"/>
  <c r="BT15" i="15"/>
  <c r="BS15" i="15"/>
  <c r="BR15" i="15"/>
  <c r="BQ15" i="15"/>
  <c r="BP15" i="15"/>
  <c r="BO15" i="15"/>
  <c r="BN15" i="15"/>
  <c r="BM15" i="15"/>
  <c r="BL15" i="15"/>
  <c r="BK15" i="15"/>
  <c r="BJ15" i="15"/>
  <c r="BI15" i="15"/>
  <c r="BH15" i="15"/>
  <c r="BG15" i="15"/>
  <c r="BF15" i="15"/>
  <c r="BE15" i="15"/>
  <c r="CP14" i="15"/>
  <c r="CO14" i="15"/>
  <c r="CN14" i="15"/>
  <c r="CM14" i="15"/>
  <c r="CL14" i="15"/>
  <c r="CK14" i="15"/>
  <c r="CJ14" i="15"/>
  <c r="CI14" i="15"/>
  <c r="CH14" i="15"/>
  <c r="CG14" i="15"/>
  <c r="CF14" i="15"/>
  <c r="CE14" i="15"/>
  <c r="CD14" i="15"/>
  <c r="CC14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BM14" i="15"/>
  <c r="BL14" i="15"/>
  <c r="BK14" i="15"/>
  <c r="BJ14" i="15"/>
  <c r="BI14" i="15"/>
  <c r="BH14" i="15"/>
  <c r="BG14" i="15"/>
  <c r="BF14" i="15"/>
  <c r="BE14" i="15"/>
  <c r="CP13" i="15"/>
  <c r="CO13" i="15"/>
  <c r="CN13" i="15"/>
  <c r="CM13" i="15"/>
  <c r="CL13" i="15"/>
  <c r="CK13" i="15"/>
  <c r="CJ13" i="15"/>
  <c r="CI13" i="15"/>
  <c r="CH13" i="15"/>
  <c r="CG13" i="15"/>
  <c r="CF13" i="15"/>
  <c r="CE13" i="15"/>
  <c r="CD13" i="15"/>
  <c r="CC13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BM13" i="15"/>
  <c r="BL13" i="15"/>
  <c r="BK13" i="15"/>
  <c r="BJ13" i="15"/>
  <c r="BI13" i="15"/>
  <c r="BH13" i="15"/>
  <c r="BG13" i="15"/>
  <c r="BF13" i="15"/>
  <c r="BE13" i="15"/>
  <c r="CP12" i="15"/>
  <c r="CO12" i="15"/>
  <c r="CN12" i="15"/>
  <c r="CM12" i="15"/>
  <c r="CL12" i="15"/>
  <c r="CK12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F12" i="15"/>
  <c r="BE12" i="15"/>
  <c r="CP11" i="15"/>
  <c r="CO11" i="15"/>
  <c r="CN11" i="15"/>
  <c r="CM11" i="15"/>
  <c r="CL11" i="15"/>
  <c r="CK11" i="15"/>
  <c r="CJ11" i="15"/>
  <c r="CI11" i="15"/>
  <c r="CH11" i="15"/>
  <c r="CG11" i="15"/>
  <c r="CF11" i="15"/>
  <c r="CE11" i="15"/>
  <c r="CD11" i="15"/>
  <c r="CC11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O11" i="15"/>
  <c r="BN11" i="15"/>
  <c r="BM11" i="15"/>
  <c r="BL11" i="15"/>
  <c r="BK11" i="15"/>
  <c r="BJ11" i="15"/>
  <c r="BI11" i="15"/>
  <c r="BH11" i="15"/>
  <c r="BG11" i="15"/>
  <c r="BF11" i="15"/>
  <c r="BE11" i="15"/>
  <c r="CP10" i="15"/>
  <c r="CO10" i="15"/>
  <c r="CN10" i="15"/>
  <c r="CM10" i="15"/>
  <c r="CL10" i="15"/>
  <c r="CK10" i="15"/>
  <c r="CJ10" i="15"/>
  <c r="CI10" i="15"/>
  <c r="CH10" i="15"/>
  <c r="CG10" i="15"/>
  <c r="CF10" i="15"/>
  <c r="CE10" i="15"/>
  <c r="CD10" i="15"/>
  <c r="CC10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BM10" i="15"/>
  <c r="BL10" i="15"/>
  <c r="BK10" i="15"/>
  <c r="BJ10" i="15"/>
  <c r="BI10" i="15"/>
  <c r="BH10" i="15"/>
  <c r="BG10" i="15"/>
  <c r="BF10" i="15"/>
  <c r="BE10" i="15"/>
  <c r="CP9" i="15"/>
  <c r="CO9" i="15"/>
  <c r="CN9" i="15"/>
  <c r="CM9" i="15"/>
  <c r="CL9" i="15"/>
  <c r="CK9" i="15"/>
  <c r="CJ9" i="15"/>
  <c r="CI9" i="15"/>
  <c r="CH9" i="15"/>
  <c r="CG9" i="15"/>
  <c r="CF9" i="15"/>
  <c r="CE9" i="15"/>
  <c r="CD9" i="15"/>
  <c r="CC9" i="15"/>
  <c r="CB9" i="15"/>
  <c r="CA9" i="15"/>
  <c r="BZ9" i="15"/>
  <c r="BY9" i="15"/>
  <c r="BX9" i="15"/>
  <c r="BW9" i="15"/>
  <c r="BV9" i="15"/>
  <c r="BU9" i="15"/>
  <c r="BT9" i="15"/>
  <c r="BS9" i="15"/>
  <c r="BR9" i="15"/>
  <c r="BQ9" i="15"/>
  <c r="BP9" i="15"/>
  <c r="BO9" i="15"/>
  <c r="BN9" i="15"/>
  <c r="BM9" i="15"/>
  <c r="BL9" i="15"/>
  <c r="BK9" i="15"/>
  <c r="BJ9" i="15"/>
  <c r="BI9" i="15"/>
  <c r="BH9" i="15"/>
  <c r="BG9" i="15"/>
  <c r="BF9" i="15"/>
  <c r="BE9" i="15"/>
  <c r="CP8" i="15"/>
  <c r="CO8" i="15"/>
  <c r="CN8" i="15"/>
  <c r="CM8" i="15"/>
  <c r="CL8" i="15"/>
  <c r="CK8" i="15"/>
  <c r="CJ8" i="15"/>
  <c r="CI8" i="15"/>
  <c r="CH8" i="15"/>
  <c r="CG8" i="15"/>
  <c r="CF8" i="15"/>
  <c r="CE8" i="15"/>
  <c r="CD8" i="15"/>
  <c r="CC8" i="15"/>
  <c r="CB8" i="15"/>
  <c r="CA8" i="15"/>
  <c r="BZ8" i="15"/>
  <c r="BY8" i="15"/>
  <c r="BX8" i="15"/>
  <c r="BW8" i="15"/>
  <c r="BV8" i="15"/>
  <c r="BU8" i="15"/>
  <c r="BT8" i="15"/>
  <c r="BS8" i="15"/>
  <c r="BR8" i="15"/>
  <c r="BQ8" i="15"/>
  <c r="BP8" i="15"/>
  <c r="BO8" i="15"/>
  <c r="BN8" i="15"/>
  <c r="BM8" i="15"/>
  <c r="BL8" i="15"/>
  <c r="BK8" i="15"/>
  <c r="BJ8" i="15"/>
  <c r="BI8" i="15"/>
  <c r="BH8" i="15"/>
  <c r="BG8" i="15"/>
  <c r="BF8" i="15"/>
  <c r="BE8" i="15"/>
  <c r="CP7" i="15"/>
  <c r="CO7" i="15"/>
  <c r="CN7" i="15"/>
  <c r="CM7" i="15"/>
  <c r="CL7" i="15"/>
  <c r="CK7" i="15"/>
  <c r="CJ7" i="15"/>
  <c r="CI7" i="15"/>
  <c r="CH7" i="15"/>
  <c r="CG7" i="15"/>
  <c r="CF7" i="15"/>
  <c r="CE7" i="15"/>
  <c r="CD7" i="15"/>
  <c r="CC7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BM7" i="15"/>
  <c r="BL7" i="15"/>
  <c r="BK7" i="15"/>
  <c r="BJ7" i="15"/>
  <c r="BI7" i="15"/>
  <c r="BH7" i="15"/>
  <c r="BG7" i="15"/>
  <c r="BF7" i="15"/>
  <c r="BE7" i="15"/>
  <c r="CP6" i="15"/>
  <c r="CO6" i="15"/>
  <c r="CN6" i="15"/>
  <c r="CM6" i="15"/>
  <c r="CL6" i="15"/>
  <c r="CK6" i="15"/>
  <c r="CJ6" i="15"/>
  <c r="CI6" i="15"/>
  <c r="CH6" i="15"/>
  <c r="CG6" i="15"/>
  <c r="CF6" i="15"/>
  <c r="CE6" i="15"/>
  <c r="CD6" i="15"/>
  <c r="CC6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M6" i="15"/>
  <c r="BL6" i="15"/>
  <c r="BK6" i="15"/>
  <c r="BJ6" i="15"/>
  <c r="BI6" i="15"/>
  <c r="BH6" i="15"/>
  <c r="BG6" i="15"/>
  <c r="BF6" i="15"/>
  <c r="BE6" i="15"/>
  <c r="CP5" i="15"/>
  <c r="CO5" i="15"/>
  <c r="CN5" i="15"/>
  <c r="CM5" i="15"/>
  <c r="CL5" i="15"/>
  <c r="CK5" i="15"/>
  <c r="CJ5" i="15"/>
  <c r="CI5" i="15"/>
  <c r="CH5" i="15"/>
  <c r="CG5" i="15"/>
  <c r="CF5" i="15"/>
  <c r="CE5" i="15"/>
  <c r="CD5" i="15"/>
  <c r="CC5" i="15"/>
  <c r="CB5" i="15"/>
  <c r="CA5" i="15"/>
  <c r="BZ5" i="15"/>
  <c r="BY5" i="15"/>
  <c r="BX5" i="15"/>
  <c r="BW5" i="15"/>
  <c r="BV5" i="15"/>
  <c r="BU5" i="15"/>
  <c r="BT5" i="15"/>
  <c r="BS5" i="15"/>
  <c r="BR5" i="15"/>
  <c r="BQ5" i="15"/>
  <c r="BP5" i="15"/>
  <c r="BO5" i="15"/>
  <c r="BN5" i="15"/>
  <c r="BM5" i="15"/>
  <c r="BL5" i="15"/>
  <c r="BK5" i="15"/>
  <c r="BJ5" i="15"/>
  <c r="BI5" i="15"/>
  <c r="BH5" i="15"/>
  <c r="BG5" i="15"/>
  <c r="BF5" i="15"/>
  <c r="BE5" i="15"/>
  <c r="AF4" i="16"/>
  <c r="AE4" i="16"/>
  <c r="AD4" i="16"/>
  <c r="AC4" i="16"/>
  <c r="AB4" i="16"/>
  <c r="AA4" i="16"/>
  <c r="Z4" i="16"/>
  <c r="Y4" i="16"/>
  <c r="X4" i="16"/>
  <c r="W4" i="16"/>
  <c r="V4" i="16"/>
  <c r="U4" i="16"/>
  <c r="T4" i="16"/>
  <c r="S4" i="16"/>
  <c r="R4" i="16"/>
  <c r="Q4" i="16"/>
  <c r="P4" i="16"/>
  <c r="O4" i="16"/>
  <c r="N4" i="16"/>
  <c r="M4" i="16"/>
  <c r="L4" i="16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5" i="5"/>
  <c r="M4" i="15" l="1"/>
  <c r="N4" i="15"/>
  <c r="O4" i="15"/>
  <c r="P4" i="15"/>
  <c r="Q4" i="15"/>
  <c r="R4" i="15"/>
  <c r="S4" i="15"/>
  <c r="T4" i="15"/>
  <c r="U4" i="15"/>
  <c r="V4" i="15"/>
  <c r="W4" i="15"/>
  <c r="X4" i="15"/>
  <c r="Y4" i="15"/>
  <c r="Z4" i="15"/>
  <c r="AA4" i="15"/>
  <c r="AB4" i="15"/>
  <c r="AC4" i="15"/>
  <c r="AD4" i="15"/>
  <c r="AE4" i="15"/>
  <c r="AF4" i="15"/>
  <c r="AG4" i="15"/>
  <c r="AH4" i="15"/>
  <c r="AI4" i="15"/>
  <c r="AJ4" i="15"/>
  <c r="AK4" i="15"/>
  <c r="AL4" i="15"/>
  <c r="AM4" i="15"/>
  <c r="AN4" i="15"/>
  <c r="AO4" i="15"/>
  <c r="AP4" i="15"/>
  <c r="AQ4" i="15"/>
  <c r="AR4" i="15"/>
  <c r="AS4" i="15"/>
  <c r="AT4" i="15"/>
  <c r="AU4" i="15"/>
  <c r="AV4" i="15"/>
  <c r="AW4" i="15"/>
  <c r="L4" i="15"/>
  <c r="W27" i="5" l="1"/>
  <c r="W26" i="5"/>
  <c r="W25" i="5"/>
  <c r="W24" i="5"/>
  <c r="W23" i="5"/>
  <c r="W22" i="5"/>
  <c r="W21" i="5"/>
  <c r="W20" i="5"/>
  <c r="W18" i="5"/>
  <c r="W19" i="5"/>
  <c r="W16" i="5" l="1"/>
  <c r="W15" i="5"/>
  <c r="W14" i="5"/>
  <c r="W13" i="5"/>
  <c r="W12" i="5"/>
  <c r="W11" i="5"/>
  <c r="W10" i="5"/>
  <c r="W9" i="5"/>
  <c r="W8" i="5"/>
  <c r="W7" i="5"/>
  <c r="W5" i="5"/>
  <c r="BB27" i="16" l="1"/>
  <c r="BA27" i="16"/>
  <c r="AZ27" i="16"/>
  <c r="AY27" i="16"/>
  <c r="BB26" i="16"/>
  <c r="BA26" i="16"/>
  <c r="AZ26" i="16"/>
  <c r="AY26" i="16"/>
  <c r="BB24" i="16"/>
  <c r="BA24" i="16"/>
  <c r="AZ24" i="16"/>
  <c r="AY24" i="16"/>
  <c r="BB23" i="16"/>
  <c r="BA23" i="16"/>
  <c r="AZ23" i="16"/>
  <c r="AY23" i="16"/>
  <c r="BB22" i="16"/>
  <c r="BA22" i="16"/>
  <c r="AZ22" i="16"/>
  <c r="AY22" i="16"/>
  <c r="BB21" i="16"/>
  <c r="BA21" i="16"/>
  <c r="AZ21" i="16"/>
  <c r="AY21" i="16"/>
  <c r="BB19" i="16"/>
  <c r="BA19" i="16"/>
  <c r="AZ19" i="16"/>
  <c r="AY19" i="16"/>
  <c r="BB17" i="16"/>
  <c r="BA17" i="16"/>
  <c r="AZ17" i="16"/>
  <c r="AY17" i="16"/>
  <c r="BB16" i="16"/>
  <c r="BA16" i="16"/>
  <c r="AZ16" i="16"/>
  <c r="AY16" i="16"/>
  <c r="BB15" i="16"/>
  <c r="BA15" i="16"/>
  <c r="AZ15" i="16"/>
  <c r="AY15" i="16"/>
  <c r="BB14" i="16"/>
  <c r="BA14" i="16"/>
  <c r="AZ14" i="16"/>
  <c r="AY14" i="16"/>
  <c r="BB13" i="16"/>
  <c r="BA13" i="16"/>
  <c r="AZ13" i="16"/>
  <c r="AY13" i="16"/>
  <c r="BB11" i="16"/>
  <c r="BA11" i="16"/>
  <c r="AZ11" i="16"/>
  <c r="AY11" i="16"/>
  <c r="BB10" i="16"/>
  <c r="BA10" i="16"/>
  <c r="AZ10" i="16"/>
  <c r="AY10" i="16"/>
  <c r="BB8" i="16"/>
  <c r="BA8" i="16"/>
  <c r="AZ8" i="16"/>
  <c r="AY8" i="16"/>
  <c r="BB7" i="16"/>
  <c r="BA7" i="16"/>
  <c r="AZ7" i="16"/>
  <c r="AZ32" i="16" s="1"/>
  <c r="AY7" i="16"/>
  <c r="BB6" i="16"/>
  <c r="BA6" i="16"/>
  <c r="AZ6" i="16"/>
  <c r="AY6" i="16"/>
  <c r="AY4" i="16"/>
  <c r="BB3" i="16"/>
  <c r="BA3" i="16"/>
  <c r="AZ3" i="16"/>
  <c r="AY3" i="16"/>
  <c r="AD31" i="16"/>
  <c r="AE31" i="16"/>
  <c r="AF31" i="16"/>
  <c r="AD32" i="16"/>
  <c r="AE32" i="16"/>
  <c r="AF32" i="16"/>
  <c r="AZ4" i="16"/>
  <c r="AZ29" i="16" s="1"/>
  <c r="BA4" i="16"/>
  <c r="BA29" i="16" s="1"/>
  <c r="AY31" i="16" l="1"/>
  <c r="AY32" i="16"/>
  <c r="AY29" i="16"/>
  <c r="AZ31" i="16"/>
  <c r="P29" i="5" l="1"/>
  <c r="P30" i="5"/>
  <c r="P35" i="5"/>
  <c r="U35" i="5"/>
  <c r="P36" i="5" a="1"/>
  <c r="P36" i="5" s="1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5" i="5"/>
  <c r="DE26" i="5" l="1"/>
  <c r="DI26" i="5"/>
  <c r="DH26" i="5"/>
  <c r="DK26" i="5"/>
  <c r="DG26" i="5"/>
  <c r="DF26" i="5"/>
  <c r="DJ26" i="5"/>
  <c r="DH22" i="5"/>
  <c r="DG22" i="5"/>
  <c r="DK22" i="5"/>
  <c r="DF22" i="5"/>
  <c r="DI22" i="5"/>
  <c r="DJ22" i="5"/>
  <c r="DE22" i="5"/>
  <c r="DH18" i="5"/>
  <c r="DG18" i="5"/>
  <c r="DK18" i="5"/>
  <c r="DJ18" i="5"/>
  <c r="DE18" i="5"/>
  <c r="DF18" i="5"/>
  <c r="DI18" i="5"/>
  <c r="DH14" i="5"/>
  <c r="DG14" i="5"/>
  <c r="DK14" i="5"/>
  <c r="DF14" i="5"/>
  <c r="DJ14" i="5"/>
  <c r="DI14" i="5"/>
  <c r="DE14" i="5"/>
  <c r="DH10" i="5"/>
  <c r="DG10" i="5"/>
  <c r="DK10" i="5"/>
  <c r="DJ10" i="5"/>
  <c r="DE10" i="5"/>
  <c r="DF10" i="5"/>
  <c r="DI10" i="5"/>
  <c r="DH6" i="5"/>
  <c r="DG6" i="5"/>
  <c r="DK6" i="5"/>
  <c r="DF6" i="5"/>
  <c r="DJ6" i="5"/>
  <c r="DI6" i="5"/>
  <c r="DE6" i="5"/>
  <c r="DH25" i="5"/>
  <c r="DG25" i="5"/>
  <c r="DK25" i="5"/>
  <c r="DJ25" i="5"/>
  <c r="DE25" i="5"/>
  <c r="DF25" i="5"/>
  <c r="DI25" i="5"/>
  <c r="DG21" i="5"/>
  <c r="DK21" i="5"/>
  <c r="DF21" i="5"/>
  <c r="DJ21" i="5"/>
  <c r="DE21" i="5"/>
  <c r="DI21" i="5"/>
  <c r="DH21" i="5"/>
  <c r="DG17" i="5"/>
  <c r="DK17" i="5"/>
  <c r="DF17" i="5"/>
  <c r="DJ17" i="5"/>
  <c r="DI17" i="5"/>
  <c r="DE17" i="5"/>
  <c r="DH17" i="5"/>
  <c r="DG13" i="5"/>
  <c r="DK13" i="5"/>
  <c r="DF13" i="5"/>
  <c r="DJ13" i="5"/>
  <c r="DE13" i="5"/>
  <c r="DH13" i="5"/>
  <c r="DI13" i="5"/>
  <c r="DG9" i="5"/>
  <c r="DK9" i="5"/>
  <c r="DF9" i="5"/>
  <c r="DJ9" i="5"/>
  <c r="DI9" i="5"/>
  <c r="DE9" i="5"/>
  <c r="DH9" i="5"/>
  <c r="DF27" i="5"/>
  <c r="DJ27" i="5"/>
  <c r="DE27" i="5"/>
  <c r="DI27" i="5"/>
  <c r="DG27" i="5"/>
  <c r="DH27" i="5"/>
  <c r="DK27" i="5"/>
  <c r="DF23" i="5"/>
  <c r="DJ23" i="5"/>
  <c r="DI23" i="5"/>
  <c r="DH23" i="5"/>
  <c r="DK23" i="5"/>
  <c r="DG23" i="5"/>
  <c r="DE23" i="5"/>
  <c r="DE19" i="5"/>
  <c r="DI19" i="5"/>
  <c r="DH19" i="5"/>
  <c r="DK19" i="5"/>
  <c r="DG19" i="5"/>
  <c r="DF19" i="5"/>
  <c r="DJ19" i="5"/>
  <c r="DE15" i="5"/>
  <c r="DI15" i="5"/>
  <c r="DH15" i="5"/>
  <c r="DG15" i="5"/>
  <c r="DJ15" i="5"/>
  <c r="DK15" i="5"/>
  <c r="DF15" i="5"/>
  <c r="DE11" i="5"/>
  <c r="DI11" i="5"/>
  <c r="DH11" i="5"/>
  <c r="DK11" i="5"/>
  <c r="DG11" i="5"/>
  <c r="DF11" i="5"/>
  <c r="DJ11" i="5"/>
  <c r="DE7" i="5"/>
  <c r="DI7" i="5"/>
  <c r="DH7" i="5"/>
  <c r="DG7" i="5"/>
  <c r="DJ7" i="5"/>
  <c r="DK7" i="5"/>
  <c r="DF7" i="5"/>
  <c r="DF5" i="5"/>
  <c r="DJ5" i="5"/>
  <c r="DE5" i="5"/>
  <c r="DI5" i="5"/>
  <c r="DG5" i="5"/>
  <c r="DH5" i="5"/>
  <c r="DK5" i="5"/>
  <c r="DG24" i="5"/>
  <c r="DK24" i="5"/>
  <c r="DF24" i="5"/>
  <c r="DJ24" i="5"/>
  <c r="DI24" i="5"/>
  <c r="DE24" i="5"/>
  <c r="DH24" i="5"/>
  <c r="DF20" i="5"/>
  <c r="DJ20" i="5"/>
  <c r="DE20" i="5"/>
  <c r="DI20" i="5"/>
  <c r="DG20" i="5"/>
  <c r="DH20" i="5"/>
  <c r="DK20" i="5"/>
  <c r="DF16" i="5"/>
  <c r="DJ16" i="5"/>
  <c r="DE16" i="5"/>
  <c r="DI16" i="5"/>
  <c r="DH16" i="5"/>
  <c r="DK16" i="5"/>
  <c r="DG16" i="5"/>
  <c r="DF12" i="5"/>
  <c r="DJ12" i="5"/>
  <c r="DE12" i="5"/>
  <c r="DI12" i="5"/>
  <c r="DG12" i="5"/>
  <c r="DH12" i="5"/>
  <c r="DK12" i="5"/>
  <c r="DF8" i="5"/>
  <c r="DJ8" i="5"/>
  <c r="DE8" i="5"/>
  <c r="DI8" i="5"/>
  <c r="DH8" i="5"/>
  <c r="DK8" i="5"/>
  <c r="DG8" i="5"/>
  <c r="DD5" i="5"/>
  <c r="CZ5" i="5"/>
  <c r="CV5" i="5"/>
  <c r="CR5" i="5"/>
  <c r="CN5" i="5"/>
  <c r="CJ5" i="5"/>
  <c r="CF5" i="5"/>
  <c r="CB5" i="5"/>
  <c r="BX5" i="5"/>
  <c r="BT5" i="5"/>
  <c r="DA5" i="5"/>
  <c r="CW5" i="5"/>
  <c r="CS5" i="5"/>
  <c r="CO5" i="5"/>
  <c r="CK5" i="5"/>
  <c r="CG5" i="5"/>
  <c r="CC5" i="5"/>
  <c r="BY5" i="5"/>
  <c r="CX5" i="5"/>
  <c r="CP5" i="5"/>
  <c r="CH5" i="5"/>
  <c r="BZ5" i="5"/>
  <c r="DC5" i="5"/>
  <c r="CM5" i="5"/>
  <c r="BW5" i="5"/>
  <c r="DB5" i="5"/>
  <c r="CL5" i="5"/>
  <c r="BV5" i="5"/>
  <c r="CY5" i="5"/>
  <c r="CQ5" i="5"/>
  <c r="CI5" i="5"/>
  <c r="CA5" i="5"/>
  <c r="BS5" i="5"/>
  <c r="CU5" i="5"/>
  <c r="CE5" i="5"/>
  <c r="CT5" i="5"/>
  <c r="CD5" i="5"/>
  <c r="BU5" i="5"/>
  <c r="BR5" i="5"/>
  <c r="BY26" i="5"/>
  <c r="CC26" i="5"/>
  <c r="CG26" i="5"/>
  <c r="CK26" i="5"/>
  <c r="CO26" i="5"/>
  <c r="CS26" i="5"/>
  <c r="CW26" i="5"/>
  <c r="DA26" i="5"/>
  <c r="BT26" i="5"/>
  <c r="BX26" i="5"/>
  <c r="CB26" i="5"/>
  <c r="CF26" i="5"/>
  <c r="CJ26" i="5"/>
  <c r="CN26" i="5"/>
  <c r="CR26" i="5"/>
  <c r="CV26" i="5"/>
  <c r="CZ26" i="5"/>
  <c r="DD26" i="5"/>
  <c r="CD26" i="5"/>
  <c r="CL26" i="5"/>
  <c r="CT26" i="5"/>
  <c r="DB26" i="5"/>
  <c r="BS26" i="5"/>
  <c r="CA26" i="5"/>
  <c r="CI26" i="5"/>
  <c r="CQ26" i="5"/>
  <c r="CY26" i="5"/>
  <c r="BW26" i="5"/>
  <c r="CM26" i="5"/>
  <c r="DC26" i="5"/>
  <c r="BZ26" i="5"/>
  <c r="CP26" i="5"/>
  <c r="CE26" i="5"/>
  <c r="CH26" i="5"/>
  <c r="CX26" i="5"/>
  <c r="CU26" i="5"/>
  <c r="BV26" i="5"/>
  <c r="BU26" i="5"/>
  <c r="BR26" i="5"/>
  <c r="BT22" i="5"/>
  <c r="BY22" i="5"/>
  <c r="CC22" i="5"/>
  <c r="CG22" i="5"/>
  <c r="CK22" i="5"/>
  <c r="CO22" i="5"/>
  <c r="CS22" i="5"/>
  <c r="CW22" i="5"/>
  <c r="DA22" i="5"/>
  <c r="BS22" i="5"/>
  <c r="BX22" i="5"/>
  <c r="CB22" i="5"/>
  <c r="CF22" i="5"/>
  <c r="CJ22" i="5"/>
  <c r="CN22" i="5"/>
  <c r="CR22" i="5"/>
  <c r="CV22" i="5"/>
  <c r="CZ22" i="5"/>
  <c r="DD22" i="5"/>
  <c r="CD22" i="5"/>
  <c r="CL22" i="5"/>
  <c r="CT22" i="5"/>
  <c r="DB22" i="5"/>
  <c r="CA22" i="5"/>
  <c r="CI22" i="5"/>
  <c r="CQ22" i="5"/>
  <c r="CY22" i="5"/>
  <c r="BW22" i="5"/>
  <c r="CM22" i="5"/>
  <c r="DC22" i="5"/>
  <c r="BZ22" i="5"/>
  <c r="CP22" i="5"/>
  <c r="CE22" i="5"/>
  <c r="CH22" i="5"/>
  <c r="CX22" i="5"/>
  <c r="CU22" i="5"/>
  <c r="BU22" i="5"/>
  <c r="BV22" i="5"/>
  <c r="BR22" i="5"/>
  <c r="BT18" i="5"/>
  <c r="BX18" i="5"/>
  <c r="CB18" i="5"/>
  <c r="CF18" i="5"/>
  <c r="CJ18" i="5"/>
  <c r="CN18" i="5"/>
  <c r="CR18" i="5"/>
  <c r="CV18" i="5"/>
  <c r="CZ18" i="5"/>
  <c r="DD18" i="5"/>
  <c r="BS18" i="5"/>
  <c r="BW18" i="5"/>
  <c r="CA18" i="5"/>
  <c r="CE18" i="5"/>
  <c r="CI18" i="5"/>
  <c r="CM18" i="5"/>
  <c r="CQ18" i="5"/>
  <c r="CU18" i="5"/>
  <c r="CY18" i="5"/>
  <c r="DC18" i="5"/>
  <c r="CC18" i="5"/>
  <c r="CK18" i="5"/>
  <c r="CS18" i="5"/>
  <c r="DA18" i="5"/>
  <c r="BZ18" i="5"/>
  <c r="CH18" i="5"/>
  <c r="CP18" i="5"/>
  <c r="CX18" i="5"/>
  <c r="CL18" i="5"/>
  <c r="DB18" i="5"/>
  <c r="BY18" i="5"/>
  <c r="CO18" i="5"/>
  <c r="CD18" i="5"/>
  <c r="CG18" i="5"/>
  <c r="CW18" i="5"/>
  <c r="CT18" i="5"/>
  <c r="BU18" i="5"/>
  <c r="BV18" i="5"/>
  <c r="BR18" i="5"/>
  <c r="BZ14" i="5"/>
  <c r="CD14" i="5"/>
  <c r="CH14" i="5"/>
  <c r="BY14" i="5"/>
  <c r="CC14" i="5"/>
  <c r="CG14" i="5"/>
  <c r="CK14" i="5"/>
  <c r="BS14" i="5"/>
  <c r="CA14" i="5"/>
  <c r="CI14" i="5"/>
  <c r="CN14" i="5"/>
  <c r="CR14" i="5"/>
  <c r="CV14" i="5"/>
  <c r="CZ14" i="5"/>
  <c r="DD14" i="5"/>
  <c r="BX14" i="5"/>
  <c r="CF14" i="5"/>
  <c r="CM14" i="5"/>
  <c r="CQ14" i="5"/>
  <c r="CU14" i="5"/>
  <c r="CY14" i="5"/>
  <c r="DC14" i="5"/>
  <c r="BT14" i="5"/>
  <c r="CJ14" i="5"/>
  <c r="CS14" i="5"/>
  <c r="DA14" i="5"/>
  <c r="CE14" i="5"/>
  <c r="CP14" i="5"/>
  <c r="CX14" i="5"/>
  <c r="CL14" i="5"/>
  <c r="DB14" i="5"/>
  <c r="CO14" i="5"/>
  <c r="BW14" i="5"/>
  <c r="CB14" i="5"/>
  <c r="CW14" i="5"/>
  <c r="CT14" i="5"/>
  <c r="BV14" i="5"/>
  <c r="BU14" i="5"/>
  <c r="BR14" i="5"/>
  <c r="BZ10" i="5"/>
  <c r="CD10" i="5"/>
  <c r="CH10" i="5"/>
  <c r="CL10" i="5"/>
  <c r="CP10" i="5"/>
  <c r="CT10" i="5"/>
  <c r="CX10" i="5"/>
  <c r="DB10" i="5"/>
  <c r="BY10" i="5"/>
  <c r="CC10" i="5"/>
  <c r="CG10" i="5"/>
  <c r="CK10" i="5"/>
  <c r="CO10" i="5"/>
  <c r="CS10" i="5"/>
  <c r="CW10" i="5"/>
  <c r="DA10" i="5"/>
  <c r="BS10" i="5"/>
  <c r="CA10" i="5"/>
  <c r="CI10" i="5"/>
  <c r="CQ10" i="5"/>
  <c r="CY10" i="5"/>
  <c r="BX10" i="5"/>
  <c r="CF10" i="5"/>
  <c r="CN10" i="5"/>
  <c r="CV10" i="5"/>
  <c r="DD10" i="5"/>
  <c r="BT10" i="5"/>
  <c r="CJ10" i="5"/>
  <c r="CZ10" i="5"/>
  <c r="CE10" i="5"/>
  <c r="CU10" i="5"/>
  <c r="CM10" i="5"/>
  <c r="CR10" i="5"/>
  <c r="DC10" i="5"/>
  <c r="CB10" i="5"/>
  <c r="BW10" i="5"/>
  <c r="BU10" i="5"/>
  <c r="BV10" i="5"/>
  <c r="BR10" i="5"/>
  <c r="BR6" i="5"/>
  <c r="BZ6" i="5"/>
  <c r="CD6" i="5"/>
  <c r="CH6" i="5"/>
  <c r="CL6" i="5"/>
  <c r="CP6" i="5"/>
  <c r="CT6" i="5"/>
  <c r="CX6" i="5"/>
  <c r="DB6" i="5"/>
  <c r="BY6" i="5"/>
  <c r="CC6" i="5"/>
  <c r="CG6" i="5"/>
  <c r="CK6" i="5"/>
  <c r="CO6" i="5"/>
  <c r="CS6" i="5"/>
  <c r="CW6" i="5"/>
  <c r="DA6" i="5"/>
  <c r="BS6" i="5"/>
  <c r="CA6" i="5"/>
  <c r="CI6" i="5"/>
  <c r="CQ6" i="5"/>
  <c r="CY6" i="5"/>
  <c r="BX6" i="5"/>
  <c r="CF6" i="5"/>
  <c r="CN6" i="5"/>
  <c r="CV6" i="5"/>
  <c r="DD6" i="5"/>
  <c r="BT6" i="5"/>
  <c r="CJ6" i="5"/>
  <c r="CZ6" i="5"/>
  <c r="CE6" i="5"/>
  <c r="CU6" i="5"/>
  <c r="CM6" i="5"/>
  <c r="CR6" i="5"/>
  <c r="BW6" i="5"/>
  <c r="CB6" i="5"/>
  <c r="DC6" i="5"/>
  <c r="BV6" i="5"/>
  <c r="BU6" i="5"/>
  <c r="BY25" i="5"/>
  <c r="CC25" i="5"/>
  <c r="CG25" i="5"/>
  <c r="CK25" i="5"/>
  <c r="CO25" i="5"/>
  <c r="CS25" i="5"/>
  <c r="CW25" i="5"/>
  <c r="DA25" i="5"/>
  <c r="BT25" i="5"/>
  <c r="BX25" i="5"/>
  <c r="CB25" i="5"/>
  <c r="CF25" i="5"/>
  <c r="CJ25" i="5"/>
  <c r="CN25" i="5"/>
  <c r="CR25" i="5"/>
  <c r="CV25" i="5"/>
  <c r="CZ25" i="5"/>
  <c r="DD25" i="5"/>
  <c r="CD25" i="5"/>
  <c r="CL25" i="5"/>
  <c r="CT25" i="5"/>
  <c r="DB25" i="5"/>
  <c r="BS25" i="5"/>
  <c r="CA25" i="5"/>
  <c r="CI25" i="5"/>
  <c r="CQ25" i="5"/>
  <c r="CY25" i="5"/>
  <c r="CE25" i="5"/>
  <c r="CU25" i="5"/>
  <c r="CH25" i="5"/>
  <c r="CX25" i="5"/>
  <c r="CM25" i="5"/>
  <c r="CP25" i="5"/>
  <c r="BZ25" i="5"/>
  <c r="BW25" i="5"/>
  <c r="DC25" i="5"/>
  <c r="BV25" i="5"/>
  <c r="BU25" i="5"/>
  <c r="BR25" i="5"/>
  <c r="BT17" i="5"/>
  <c r="BX17" i="5"/>
  <c r="CB17" i="5"/>
  <c r="CF17" i="5"/>
  <c r="CJ17" i="5"/>
  <c r="CN17" i="5"/>
  <c r="CR17" i="5"/>
  <c r="CV17" i="5"/>
  <c r="CZ17" i="5"/>
  <c r="DD17" i="5"/>
  <c r="BS17" i="5"/>
  <c r="BW17" i="5"/>
  <c r="CA17" i="5"/>
  <c r="CE17" i="5"/>
  <c r="CI17" i="5"/>
  <c r="CM17" i="5"/>
  <c r="CQ17" i="5"/>
  <c r="CU17" i="5"/>
  <c r="CY17" i="5"/>
  <c r="DC17" i="5"/>
  <c r="CC17" i="5"/>
  <c r="CK17" i="5"/>
  <c r="CS17" i="5"/>
  <c r="DA17" i="5"/>
  <c r="BR17" i="5"/>
  <c r="BZ17" i="5"/>
  <c r="CH17" i="5"/>
  <c r="CP17" i="5"/>
  <c r="CX17" i="5"/>
  <c r="CD17" i="5"/>
  <c r="CT17" i="5"/>
  <c r="CG17" i="5"/>
  <c r="CW17" i="5"/>
  <c r="CL17" i="5"/>
  <c r="CO17" i="5"/>
  <c r="BY17" i="5"/>
  <c r="BV17" i="5"/>
  <c r="DB17" i="5"/>
  <c r="BU17" i="5"/>
  <c r="BZ13" i="5"/>
  <c r="CD13" i="5"/>
  <c r="CH13" i="5"/>
  <c r="CL13" i="5"/>
  <c r="CP13" i="5"/>
  <c r="CT13" i="5"/>
  <c r="CX13" i="5"/>
  <c r="DB13" i="5"/>
  <c r="BY13" i="5"/>
  <c r="CC13" i="5"/>
  <c r="CG13" i="5"/>
  <c r="CK13" i="5"/>
  <c r="CO13" i="5"/>
  <c r="CS13" i="5"/>
  <c r="CW13" i="5"/>
  <c r="DA13" i="5"/>
  <c r="BS13" i="5"/>
  <c r="CA13" i="5"/>
  <c r="CI13" i="5"/>
  <c r="CQ13" i="5"/>
  <c r="CY13" i="5"/>
  <c r="BX13" i="5"/>
  <c r="CF13" i="5"/>
  <c r="CN13" i="5"/>
  <c r="CV13" i="5"/>
  <c r="DD13" i="5"/>
  <c r="CB13" i="5"/>
  <c r="CR13" i="5"/>
  <c r="BW13" i="5"/>
  <c r="CM13" i="5"/>
  <c r="DC13" i="5"/>
  <c r="CU13" i="5"/>
  <c r="BT13" i="5"/>
  <c r="CZ13" i="5"/>
  <c r="CJ13" i="5"/>
  <c r="CE13" i="5"/>
  <c r="BU13" i="5"/>
  <c r="BV13" i="5"/>
  <c r="BR13" i="5"/>
  <c r="BZ9" i="5"/>
  <c r="CD9" i="5"/>
  <c r="CH9" i="5"/>
  <c r="CL9" i="5"/>
  <c r="CP9" i="5"/>
  <c r="CT9" i="5"/>
  <c r="CX9" i="5"/>
  <c r="DB9" i="5"/>
  <c r="BY9" i="5"/>
  <c r="CC9" i="5"/>
  <c r="CG9" i="5"/>
  <c r="CK9" i="5"/>
  <c r="CO9" i="5"/>
  <c r="CS9" i="5"/>
  <c r="CW9" i="5"/>
  <c r="DA9" i="5"/>
  <c r="BS9" i="5"/>
  <c r="CA9" i="5"/>
  <c r="CI9" i="5"/>
  <c r="CQ9" i="5"/>
  <c r="CY9" i="5"/>
  <c r="BX9" i="5"/>
  <c r="CF9" i="5"/>
  <c r="CN9" i="5"/>
  <c r="CV9" i="5"/>
  <c r="DD9" i="5"/>
  <c r="CB9" i="5"/>
  <c r="CR9" i="5"/>
  <c r="BW9" i="5"/>
  <c r="CM9" i="5"/>
  <c r="DC9" i="5"/>
  <c r="CU9" i="5"/>
  <c r="BT9" i="5"/>
  <c r="CZ9" i="5"/>
  <c r="CE9" i="5"/>
  <c r="CJ9" i="5"/>
  <c r="BV9" i="5"/>
  <c r="BU9" i="5"/>
  <c r="BR9" i="5"/>
  <c r="BY24" i="5"/>
  <c r="CC24" i="5"/>
  <c r="CG24" i="5"/>
  <c r="CK24" i="5"/>
  <c r="CO24" i="5"/>
  <c r="CS24" i="5"/>
  <c r="CW24" i="5"/>
  <c r="DA24" i="5"/>
  <c r="BT24" i="5"/>
  <c r="BX24" i="5"/>
  <c r="CB24" i="5"/>
  <c r="CF24" i="5"/>
  <c r="CJ24" i="5"/>
  <c r="CN24" i="5"/>
  <c r="CR24" i="5"/>
  <c r="CV24" i="5"/>
  <c r="CZ24" i="5"/>
  <c r="DD24" i="5"/>
  <c r="BV24" i="5"/>
  <c r="CD24" i="5"/>
  <c r="CL24" i="5"/>
  <c r="CT24" i="5"/>
  <c r="DB24" i="5"/>
  <c r="BS24" i="5"/>
  <c r="CA24" i="5"/>
  <c r="CI24" i="5"/>
  <c r="CQ24" i="5"/>
  <c r="CY24" i="5"/>
  <c r="BW24" i="5"/>
  <c r="CM24" i="5"/>
  <c r="DC24" i="5"/>
  <c r="BZ24" i="5"/>
  <c r="CP24" i="5"/>
  <c r="CU24" i="5"/>
  <c r="CX24" i="5"/>
  <c r="CH24" i="5"/>
  <c r="CE24" i="5"/>
  <c r="BU24" i="5"/>
  <c r="BR24" i="5"/>
  <c r="BT20" i="5"/>
  <c r="BX20" i="5"/>
  <c r="CB20" i="5"/>
  <c r="CF20" i="5"/>
  <c r="CJ20" i="5"/>
  <c r="CN20" i="5"/>
  <c r="CR20" i="5"/>
  <c r="CV20" i="5"/>
  <c r="CZ20" i="5"/>
  <c r="DD20" i="5"/>
  <c r="BS20" i="5"/>
  <c r="BW20" i="5"/>
  <c r="CA20" i="5"/>
  <c r="CE20" i="5"/>
  <c r="CI20" i="5"/>
  <c r="CM20" i="5"/>
  <c r="CQ20" i="5"/>
  <c r="CU20" i="5"/>
  <c r="CY20" i="5"/>
  <c r="DC20" i="5"/>
  <c r="CC20" i="5"/>
  <c r="CK20" i="5"/>
  <c r="CS20" i="5"/>
  <c r="DA20" i="5"/>
  <c r="BZ20" i="5"/>
  <c r="CH20" i="5"/>
  <c r="CP20" i="5"/>
  <c r="CX20" i="5"/>
  <c r="BV20" i="5"/>
  <c r="CL20" i="5"/>
  <c r="DB20" i="5"/>
  <c r="BY20" i="5"/>
  <c r="CO20" i="5"/>
  <c r="CT20" i="5"/>
  <c r="CW20" i="5"/>
  <c r="CG20" i="5"/>
  <c r="CD20" i="5"/>
  <c r="BU20" i="5"/>
  <c r="BR20" i="5"/>
  <c r="BT16" i="5"/>
  <c r="BX16" i="5"/>
  <c r="CB16" i="5"/>
  <c r="CF16" i="5"/>
  <c r="CJ16" i="5"/>
  <c r="CN16" i="5"/>
  <c r="CR16" i="5"/>
  <c r="CV16" i="5"/>
  <c r="CZ16" i="5"/>
  <c r="DD16" i="5"/>
  <c r="BS16" i="5"/>
  <c r="BW16" i="5"/>
  <c r="CA16" i="5"/>
  <c r="CE16" i="5"/>
  <c r="CI16" i="5"/>
  <c r="CM16" i="5"/>
  <c r="CQ16" i="5"/>
  <c r="CU16" i="5"/>
  <c r="CY16" i="5"/>
  <c r="DC16" i="5"/>
  <c r="CC16" i="5"/>
  <c r="CK16" i="5"/>
  <c r="CS16" i="5"/>
  <c r="DA16" i="5"/>
  <c r="BZ16" i="5"/>
  <c r="CH16" i="5"/>
  <c r="CP16" i="5"/>
  <c r="CX16" i="5"/>
  <c r="BV16" i="5"/>
  <c r="CL16" i="5"/>
  <c r="DB16" i="5"/>
  <c r="BY16" i="5"/>
  <c r="CO16" i="5"/>
  <c r="CT16" i="5"/>
  <c r="CW16" i="5"/>
  <c r="CG16" i="5"/>
  <c r="CD16" i="5"/>
  <c r="BU16" i="5"/>
  <c r="BR16" i="5"/>
  <c r="BV12" i="5"/>
  <c r="BZ12" i="5"/>
  <c r="CD12" i="5"/>
  <c r="CH12" i="5"/>
  <c r="CL12" i="5"/>
  <c r="CP12" i="5"/>
  <c r="CT12" i="5"/>
  <c r="CX12" i="5"/>
  <c r="DB12" i="5"/>
  <c r="BY12" i="5"/>
  <c r="CC12" i="5"/>
  <c r="CG12" i="5"/>
  <c r="CK12" i="5"/>
  <c r="CO12" i="5"/>
  <c r="CS12" i="5"/>
  <c r="CW12" i="5"/>
  <c r="DA12" i="5"/>
  <c r="BS12" i="5"/>
  <c r="CA12" i="5"/>
  <c r="CI12" i="5"/>
  <c r="CQ12" i="5"/>
  <c r="CY12" i="5"/>
  <c r="BX12" i="5"/>
  <c r="CF12" i="5"/>
  <c r="CN12" i="5"/>
  <c r="CV12" i="5"/>
  <c r="DD12" i="5"/>
  <c r="BT12" i="5"/>
  <c r="CJ12" i="5"/>
  <c r="CZ12" i="5"/>
  <c r="CE12" i="5"/>
  <c r="CU12" i="5"/>
  <c r="BW12" i="5"/>
  <c r="DC12" i="5"/>
  <c r="CB12" i="5"/>
  <c r="CM12" i="5"/>
  <c r="CR12" i="5"/>
  <c r="BU12" i="5"/>
  <c r="BR12" i="5"/>
  <c r="BV8" i="5"/>
  <c r="BZ8" i="5"/>
  <c r="CD8" i="5"/>
  <c r="CH8" i="5"/>
  <c r="CL8" i="5"/>
  <c r="CP8" i="5"/>
  <c r="CT8" i="5"/>
  <c r="CX8" i="5"/>
  <c r="DB8" i="5"/>
  <c r="BY8" i="5"/>
  <c r="CC8" i="5"/>
  <c r="CG8" i="5"/>
  <c r="CK8" i="5"/>
  <c r="CO8" i="5"/>
  <c r="CS8" i="5"/>
  <c r="CW8" i="5"/>
  <c r="DA8" i="5"/>
  <c r="BS8" i="5"/>
  <c r="CA8" i="5"/>
  <c r="CI8" i="5"/>
  <c r="CQ8" i="5"/>
  <c r="CY8" i="5"/>
  <c r="BX8" i="5"/>
  <c r="CF8" i="5"/>
  <c r="CN8" i="5"/>
  <c r="CV8" i="5"/>
  <c r="DD8" i="5"/>
  <c r="BT8" i="5"/>
  <c r="CJ8" i="5"/>
  <c r="CZ8" i="5"/>
  <c r="CE8" i="5"/>
  <c r="CU8" i="5"/>
  <c r="BW8" i="5"/>
  <c r="DC8" i="5"/>
  <c r="CB8" i="5"/>
  <c r="CR8" i="5"/>
  <c r="CM8" i="5"/>
  <c r="BU8" i="5"/>
  <c r="BR8" i="5"/>
  <c r="BY27" i="5"/>
  <c r="BT27" i="5"/>
  <c r="BX27" i="5"/>
  <c r="BV27" i="5"/>
  <c r="CB27" i="5"/>
  <c r="CF27" i="5"/>
  <c r="CJ27" i="5"/>
  <c r="CN27" i="5"/>
  <c r="CR27" i="5"/>
  <c r="CV27" i="5"/>
  <c r="CZ27" i="5"/>
  <c r="DD27" i="5"/>
  <c r="BS27" i="5"/>
  <c r="CA27" i="5"/>
  <c r="CE27" i="5"/>
  <c r="CI27" i="5"/>
  <c r="CM27" i="5"/>
  <c r="CQ27" i="5"/>
  <c r="CU27" i="5"/>
  <c r="CY27" i="5"/>
  <c r="DC27" i="5"/>
  <c r="CC27" i="5"/>
  <c r="CK27" i="5"/>
  <c r="CS27" i="5"/>
  <c r="DA27" i="5"/>
  <c r="CD27" i="5"/>
  <c r="CL27" i="5"/>
  <c r="CT27" i="5"/>
  <c r="DB27" i="5"/>
  <c r="BW27" i="5"/>
  <c r="CO27" i="5"/>
  <c r="BZ27" i="5"/>
  <c r="CP27" i="5"/>
  <c r="CH27" i="5"/>
  <c r="CX27" i="5"/>
  <c r="CW27" i="5"/>
  <c r="CG27" i="5"/>
  <c r="BU27" i="5"/>
  <c r="BR27" i="5"/>
  <c r="BY23" i="5"/>
  <c r="CC23" i="5"/>
  <c r="CG23" i="5"/>
  <c r="CK23" i="5"/>
  <c r="CO23" i="5"/>
  <c r="CS23" i="5"/>
  <c r="CW23" i="5"/>
  <c r="DA23" i="5"/>
  <c r="BT23" i="5"/>
  <c r="BX23" i="5"/>
  <c r="CB23" i="5"/>
  <c r="CF23" i="5"/>
  <c r="CJ23" i="5"/>
  <c r="CN23" i="5"/>
  <c r="CR23" i="5"/>
  <c r="CV23" i="5"/>
  <c r="CZ23" i="5"/>
  <c r="DD23" i="5"/>
  <c r="BV23" i="5"/>
  <c r="CD23" i="5"/>
  <c r="CL23" i="5"/>
  <c r="CT23" i="5"/>
  <c r="DB23" i="5"/>
  <c r="BS23" i="5"/>
  <c r="CA23" i="5"/>
  <c r="CI23" i="5"/>
  <c r="CQ23" i="5"/>
  <c r="CY23" i="5"/>
  <c r="CE23" i="5"/>
  <c r="CU23" i="5"/>
  <c r="CH23" i="5"/>
  <c r="CX23" i="5"/>
  <c r="BW23" i="5"/>
  <c r="DC23" i="5"/>
  <c r="BZ23" i="5"/>
  <c r="CP23" i="5"/>
  <c r="CM23" i="5"/>
  <c r="BU23" i="5"/>
  <c r="BR23" i="5"/>
  <c r="BT19" i="5"/>
  <c r="BX19" i="5"/>
  <c r="CB19" i="5"/>
  <c r="CF19" i="5"/>
  <c r="CJ19" i="5"/>
  <c r="CN19" i="5"/>
  <c r="CR19" i="5"/>
  <c r="CV19" i="5"/>
  <c r="CZ19" i="5"/>
  <c r="DD19" i="5"/>
  <c r="BS19" i="5"/>
  <c r="BW19" i="5"/>
  <c r="CA19" i="5"/>
  <c r="CE19" i="5"/>
  <c r="CI19" i="5"/>
  <c r="CM19" i="5"/>
  <c r="CQ19" i="5"/>
  <c r="CU19" i="5"/>
  <c r="CY19" i="5"/>
  <c r="DC19" i="5"/>
  <c r="CC19" i="5"/>
  <c r="CK19" i="5"/>
  <c r="CS19" i="5"/>
  <c r="DA19" i="5"/>
  <c r="BZ19" i="5"/>
  <c r="CH19" i="5"/>
  <c r="CP19" i="5"/>
  <c r="CX19" i="5"/>
  <c r="CD19" i="5"/>
  <c r="CT19" i="5"/>
  <c r="CG19" i="5"/>
  <c r="CW19" i="5"/>
  <c r="BV19" i="5"/>
  <c r="DB19" i="5"/>
  <c r="BY19" i="5"/>
  <c r="CO19" i="5"/>
  <c r="CL19" i="5"/>
  <c r="BU19" i="5"/>
  <c r="BR19" i="5"/>
  <c r="BT15" i="5"/>
  <c r="BX15" i="5"/>
  <c r="CB15" i="5"/>
  <c r="CF15" i="5"/>
  <c r="CJ15" i="5"/>
  <c r="CN15" i="5"/>
  <c r="CR15" i="5"/>
  <c r="CV15" i="5"/>
  <c r="CZ15" i="5"/>
  <c r="DD15" i="5"/>
  <c r="BS15" i="5"/>
  <c r="BW15" i="5"/>
  <c r="CA15" i="5"/>
  <c r="CE15" i="5"/>
  <c r="CI15" i="5"/>
  <c r="CM15" i="5"/>
  <c r="CQ15" i="5"/>
  <c r="CU15" i="5"/>
  <c r="CY15" i="5"/>
  <c r="DC15" i="5"/>
  <c r="CC15" i="5"/>
  <c r="CK15" i="5"/>
  <c r="CS15" i="5"/>
  <c r="DA15" i="5"/>
  <c r="BZ15" i="5"/>
  <c r="CH15" i="5"/>
  <c r="CP15" i="5"/>
  <c r="CX15" i="5"/>
  <c r="CD15" i="5"/>
  <c r="CT15" i="5"/>
  <c r="CG15" i="5"/>
  <c r="CW15" i="5"/>
  <c r="BV15" i="5"/>
  <c r="DB15" i="5"/>
  <c r="BY15" i="5"/>
  <c r="CO15" i="5"/>
  <c r="CL15" i="5"/>
  <c r="BU15" i="5"/>
  <c r="BR15" i="5"/>
  <c r="BV11" i="5"/>
  <c r="BZ11" i="5"/>
  <c r="CD11" i="5"/>
  <c r="CH11" i="5"/>
  <c r="CL11" i="5"/>
  <c r="CP11" i="5"/>
  <c r="CT11" i="5"/>
  <c r="CX11" i="5"/>
  <c r="DB11" i="5"/>
  <c r="BY11" i="5"/>
  <c r="CC11" i="5"/>
  <c r="CG11" i="5"/>
  <c r="CK11" i="5"/>
  <c r="CO11" i="5"/>
  <c r="CS11" i="5"/>
  <c r="CW11" i="5"/>
  <c r="DA11" i="5"/>
  <c r="BS11" i="5"/>
  <c r="CA11" i="5"/>
  <c r="CI11" i="5"/>
  <c r="CQ11" i="5"/>
  <c r="CY11" i="5"/>
  <c r="BX11" i="5"/>
  <c r="CF11" i="5"/>
  <c r="CN11" i="5"/>
  <c r="CV11" i="5"/>
  <c r="DD11" i="5"/>
  <c r="CB11" i="5"/>
  <c r="CR11" i="5"/>
  <c r="BW11" i="5"/>
  <c r="CM11" i="5"/>
  <c r="DC11" i="5"/>
  <c r="CE11" i="5"/>
  <c r="CJ11" i="5"/>
  <c r="BT11" i="5"/>
  <c r="CZ11" i="5"/>
  <c r="CU11" i="5"/>
  <c r="BU11" i="5"/>
  <c r="BR11" i="5"/>
  <c r="BV7" i="5"/>
  <c r="BZ7" i="5"/>
  <c r="CD7" i="5"/>
  <c r="CH7" i="5"/>
  <c r="CL7" i="5"/>
  <c r="CP7" i="5"/>
  <c r="CT7" i="5"/>
  <c r="CX7" i="5"/>
  <c r="DB7" i="5"/>
  <c r="BY7" i="5"/>
  <c r="CC7" i="5"/>
  <c r="CG7" i="5"/>
  <c r="CK7" i="5"/>
  <c r="CO7" i="5"/>
  <c r="CS7" i="5"/>
  <c r="CW7" i="5"/>
  <c r="DA7" i="5"/>
  <c r="BS7" i="5"/>
  <c r="CA7" i="5"/>
  <c r="CI7" i="5"/>
  <c r="CQ7" i="5"/>
  <c r="CY7" i="5"/>
  <c r="BX7" i="5"/>
  <c r="CF7" i="5"/>
  <c r="CN7" i="5"/>
  <c r="CV7" i="5"/>
  <c r="DD7" i="5"/>
  <c r="CB7" i="5"/>
  <c r="CR7" i="5"/>
  <c r="BW7" i="5"/>
  <c r="CM7" i="5"/>
  <c r="DC7" i="5"/>
  <c r="CE7" i="5"/>
  <c r="CJ7" i="5"/>
  <c r="CU7" i="5"/>
  <c r="CZ7" i="5"/>
  <c r="BT7" i="5"/>
  <c r="BU7" i="5"/>
  <c r="BR7" i="5"/>
  <c r="BT21" i="5"/>
  <c r="BX21" i="5"/>
  <c r="CB21" i="5"/>
  <c r="CF21" i="5"/>
  <c r="CJ21" i="5"/>
  <c r="CN21" i="5"/>
  <c r="CR21" i="5"/>
  <c r="CV21" i="5"/>
  <c r="CZ21" i="5"/>
  <c r="DD21" i="5"/>
  <c r="BS21" i="5"/>
  <c r="BW21" i="5"/>
  <c r="CA21" i="5"/>
  <c r="CE21" i="5"/>
  <c r="CI21" i="5"/>
  <c r="CM21" i="5"/>
  <c r="CQ21" i="5"/>
  <c r="CU21" i="5"/>
  <c r="CY21" i="5"/>
  <c r="DC21" i="5"/>
  <c r="CC21" i="5"/>
  <c r="CK21" i="5"/>
  <c r="CS21" i="5"/>
  <c r="DA21" i="5"/>
  <c r="BZ21" i="5"/>
  <c r="CH21" i="5"/>
  <c r="CP21" i="5"/>
  <c r="CX21" i="5"/>
  <c r="CD21" i="5"/>
  <c r="CT21" i="5"/>
  <c r="CG21" i="5"/>
  <c r="CW21" i="5"/>
  <c r="CL21" i="5"/>
  <c r="CO21" i="5"/>
  <c r="BY21" i="5"/>
  <c r="BV21" i="5"/>
  <c r="DB21" i="5"/>
  <c r="BU21" i="5"/>
  <c r="BR21" i="5"/>
  <c r="N24" i="5"/>
  <c r="N16" i="5"/>
  <c r="N12" i="5"/>
  <c r="N8" i="5"/>
  <c r="N27" i="5"/>
  <c r="N23" i="5"/>
  <c r="N19" i="5"/>
  <c r="N15" i="5"/>
  <c r="N11" i="5"/>
  <c r="N7" i="5"/>
  <c r="N5" i="5"/>
  <c r="N26" i="5"/>
  <c r="N22" i="5"/>
  <c r="N18" i="5"/>
  <c r="N14" i="5"/>
  <c r="N10" i="5"/>
  <c r="N6" i="5"/>
  <c r="N25" i="5"/>
  <c r="N21" i="5"/>
  <c r="N17" i="5"/>
  <c r="N13" i="5"/>
  <c r="N9" i="5"/>
  <c r="N20" i="5"/>
  <c r="U29" i="5"/>
  <c r="U30" i="5"/>
  <c r="U36" i="5" a="1"/>
  <c r="U36" i="5" s="1"/>
  <c r="DG35" i="5" l="1"/>
  <c r="DK35" i="5"/>
  <c r="DE35" i="5"/>
  <c r="DJ35" i="5"/>
  <c r="DJ30" i="5"/>
  <c r="DJ36" i="5" a="1"/>
  <c r="DJ36" i="5" s="1"/>
  <c r="DG29" i="5"/>
  <c r="DG30" i="5"/>
  <c r="DG36" i="5" a="1"/>
  <c r="DG36" i="5" s="1"/>
  <c r="DF29" i="5"/>
  <c r="DF30" i="5"/>
  <c r="DF36" i="5" a="1"/>
  <c r="DF36" i="5" s="1"/>
  <c r="DF35" i="5"/>
  <c r="DI36" i="5" a="1"/>
  <c r="DI36" i="5" s="1"/>
  <c r="DI29" i="5"/>
  <c r="DI30" i="5"/>
  <c r="DJ29" i="5"/>
  <c r="DH35" i="5"/>
  <c r="DH30" i="5"/>
  <c r="DH29" i="5"/>
  <c r="DH36" i="5" a="1"/>
  <c r="DH36" i="5" s="1"/>
  <c r="DI35" i="5"/>
  <c r="DK30" i="5"/>
  <c r="DK36" i="5" a="1"/>
  <c r="DK36" i="5" s="1"/>
  <c r="DK29" i="5"/>
  <c r="DE36" i="5" a="1"/>
  <c r="DE36" i="5" s="1"/>
  <c r="DE29" i="5"/>
  <c r="DE30" i="5"/>
  <c r="T36" i="5" a="1"/>
  <c r="T36" i="5" s="1"/>
  <c r="T29" i="5"/>
  <c r="T30" i="5"/>
  <c r="AI3" i="16"/>
  <c r="AJ3" i="16"/>
  <c r="AK3" i="16"/>
  <c r="AL3" i="16"/>
  <c r="AM3" i="16"/>
  <c r="AN3" i="16"/>
  <c r="AO3" i="16"/>
  <c r="AP3" i="16"/>
  <c r="AQ3" i="16"/>
  <c r="AR3" i="16"/>
  <c r="AS3" i="16"/>
  <c r="AT3" i="16"/>
  <c r="AU3" i="16"/>
  <c r="AV3" i="16"/>
  <c r="AW3" i="16"/>
  <c r="AX3" i="16"/>
  <c r="AH3" i="16"/>
  <c r="AI4" i="16"/>
  <c r="AJ4" i="16"/>
  <c r="AK4" i="16"/>
  <c r="AL4" i="16"/>
  <c r="AM4" i="16"/>
  <c r="AN4" i="16"/>
  <c r="AO4" i="16"/>
  <c r="AP4" i="16"/>
  <c r="AQ4" i="16"/>
  <c r="AR4" i="16"/>
  <c r="AS4" i="16"/>
  <c r="AT4" i="16"/>
  <c r="AU4" i="16"/>
  <c r="AV4" i="16"/>
  <c r="AW4" i="16"/>
  <c r="AX4" i="16"/>
  <c r="BB4" i="16"/>
  <c r="BB29" i="16" s="1"/>
  <c r="AH4" i="16"/>
  <c r="BT3" i="5"/>
  <c r="BU3" i="5"/>
  <c r="BV3" i="5"/>
  <c r="BW3" i="5"/>
  <c r="BX3" i="5"/>
  <c r="BY3" i="5"/>
  <c r="BZ3" i="5"/>
  <c r="CA3" i="5"/>
  <c r="CB3" i="5"/>
  <c r="CC3" i="5"/>
  <c r="CD3" i="5"/>
  <c r="CE3" i="5"/>
  <c r="CF3" i="5"/>
  <c r="CG3" i="5"/>
  <c r="CH3" i="5"/>
  <c r="CI3" i="5"/>
  <c r="CJ3" i="5"/>
  <c r="CK3" i="5"/>
  <c r="CL3" i="5"/>
  <c r="CM3" i="5"/>
  <c r="CN3" i="5"/>
  <c r="CO3" i="5"/>
  <c r="CP3" i="5"/>
  <c r="CQ3" i="5"/>
  <c r="CR3" i="5"/>
  <c r="CS3" i="5"/>
  <c r="CT3" i="5"/>
  <c r="CU3" i="5"/>
  <c r="CV3" i="5"/>
  <c r="CW3" i="5"/>
  <c r="CX3" i="5"/>
  <c r="CY3" i="5"/>
  <c r="CZ3" i="5"/>
  <c r="DA3" i="5"/>
  <c r="DB3" i="5"/>
  <c r="DC3" i="5"/>
  <c r="DD3" i="5"/>
  <c r="BS3" i="5"/>
  <c r="BR3" i="5"/>
  <c r="CS4" i="5"/>
  <c r="CW4" i="5"/>
  <c r="DA4" i="5"/>
  <c r="BF3" i="15"/>
  <c r="BG3" i="15"/>
  <c r="BH3" i="15"/>
  <c r="BI3" i="15"/>
  <c r="BJ3" i="15"/>
  <c r="BK3" i="15"/>
  <c r="BL3" i="15"/>
  <c r="BM3" i="15"/>
  <c r="BN3" i="15"/>
  <c r="BO3" i="15"/>
  <c r="BP3" i="15"/>
  <c r="BQ3" i="15"/>
  <c r="BR3" i="15"/>
  <c r="BS3" i="15"/>
  <c r="BT3" i="15"/>
  <c r="BU3" i="15"/>
  <c r="BV3" i="15"/>
  <c r="BW3" i="15"/>
  <c r="BX3" i="15"/>
  <c r="BY3" i="15"/>
  <c r="BZ3" i="15"/>
  <c r="CA3" i="15"/>
  <c r="CB3" i="15"/>
  <c r="CC3" i="15"/>
  <c r="CD3" i="15"/>
  <c r="CE3" i="15"/>
  <c r="CF3" i="15"/>
  <c r="CG3" i="15"/>
  <c r="CH3" i="15"/>
  <c r="CI3" i="15"/>
  <c r="CJ3" i="15"/>
  <c r="CK3" i="15"/>
  <c r="CL3" i="15"/>
  <c r="CM3" i="15"/>
  <c r="CN3" i="15"/>
  <c r="CO3" i="15"/>
  <c r="CP3" i="15"/>
  <c r="BG4" i="15"/>
  <c r="BF4" i="15"/>
  <c r="BH4" i="15"/>
  <c r="BI4" i="15"/>
  <c r="BJ4" i="15"/>
  <c r="BK4" i="15"/>
  <c r="BL4" i="15"/>
  <c r="BM4" i="15"/>
  <c r="BN4" i="15"/>
  <c r="BO4" i="15"/>
  <c r="BP4" i="15"/>
  <c r="BQ4" i="15"/>
  <c r="BR4" i="15"/>
  <c r="BS4" i="15"/>
  <c r="BT4" i="15"/>
  <c r="BU4" i="15"/>
  <c r="BV4" i="15"/>
  <c r="BW4" i="15"/>
  <c r="BX4" i="15"/>
  <c r="BY4" i="15"/>
  <c r="BZ4" i="15"/>
  <c r="CA4" i="15"/>
  <c r="CB4" i="15"/>
  <c r="CC4" i="15"/>
  <c r="CD4" i="15"/>
  <c r="CE4" i="15"/>
  <c r="CF4" i="15"/>
  <c r="CG4" i="15"/>
  <c r="CH4" i="15"/>
  <c r="CI4" i="15"/>
  <c r="CJ4" i="15"/>
  <c r="CK4" i="15"/>
  <c r="CL4" i="15"/>
  <c r="CM4" i="15"/>
  <c r="CN4" i="15"/>
  <c r="CO4" i="15"/>
  <c r="CP4" i="15"/>
  <c r="BE4" i="15"/>
  <c r="BE3" i="15"/>
  <c r="BR4" i="5" l="1"/>
  <c r="DD4" i="5"/>
  <c r="CZ4" i="5"/>
  <c r="CV4" i="5"/>
  <c r="CR4" i="5"/>
  <c r="BS4" i="5"/>
  <c r="DC4" i="5"/>
  <c r="CY4" i="5"/>
  <c r="CU4" i="5"/>
  <c r="CA4" i="5"/>
  <c r="DB4" i="5"/>
  <c r="CX4" i="5"/>
  <c r="CT4" i="5"/>
  <c r="BT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BZ4" i="5"/>
  <c r="BY4" i="5"/>
  <c r="BX4" i="5"/>
  <c r="BW4" i="5"/>
  <c r="BV4" i="5"/>
  <c r="BU4" i="5"/>
  <c r="AN30" i="18" l="1"/>
  <c r="AO30" i="18"/>
  <c r="AP30" i="18"/>
  <c r="AQ30" i="18"/>
  <c r="AR30" i="18"/>
  <c r="AS30" i="18"/>
  <c r="AT30" i="18"/>
  <c r="AN31" i="18"/>
  <c r="AO31" i="18"/>
  <c r="AP31" i="18"/>
  <c r="AQ31" i="18"/>
  <c r="AR31" i="18"/>
  <c r="AS31" i="18"/>
  <c r="AT31" i="18"/>
  <c r="CJ29" i="15"/>
  <c r="AQ29" i="15"/>
  <c r="AR29" i="15"/>
  <c r="AS29" i="15"/>
  <c r="AT29" i="15"/>
  <c r="AU29" i="15"/>
  <c r="AV29" i="15"/>
  <c r="AW29" i="15"/>
  <c r="AQ30" i="15"/>
  <c r="AR30" i="15"/>
  <c r="AS30" i="15"/>
  <c r="AT30" i="15"/>
  <c r="AU30" i="15"/>
  <c r="AV30" i="15"/>
  <c r="AW30" i="15"/>
  <c r="BB29" i="5"/>
  <c r="BC29" i="5"/>
  <c r="BD29" i="5"/>
  <c r="BE29" i="5"/>
  <c r="BF29" i="5"/>
  <c r="BG29" i="5"/>
  <c r="BH29" i="5"/>
  <c r="BI29" i="5"/>
  <c r="BB30" i="5"/>
  <c r="BC30" i="5"/>
  <c r="BD30" i="5"/>
  <c r="BE30" i="5"/>
  <c r="BF30" i="5"/>
  <c r="BG30" i="5"/>
  <c r="BH30" i="5"/>
  <c r="BI30" i="5"/>
  <c r="CN30" i="15" l="1"/>
  <c r="CO30" i="15"/>
  <c r="CP30" i="15"/>
  <c r="CL30" i="15"/>
  <c r="CM29" i="15"/>
  <c r="CM30" i="15"/>
  <c r="CN29" i="15"/>
  <c r="CL29" i="15"/>
  <c r="CO29" i="15"/>
  <c r="CP29" i="15"/>
  <c r="CK30" i="15"/>
  <c r="CK29" i="15"/>
  <c r="CJ30" i="15"/>
  <c r="AK29" i="15" l="1"/>
  <c r="AL29" i="15"/>
  <c r="AM29" i="15"/>
  <c r="AN29" i="15"/>
  <c r="AO29" i="15"/>
  <c r="AP29" i="15"/>
  <c r="AK30" i="15"/>
  <c r="AL30" i="15"/>
  <c r="AM30" i="15"/>
  <c r="AN30" i="15"/>
  <c r="AO30" i="15"/>
  <c r="AP30" i="15"/>
  <c r="CH29" i="15" l="1"/>
  <c r="CH30" i="15"/>
  <c r="CE30" i="15"/>
  <c r="CF29" i="15"/>
  <c r="CD29" i="15"/>
  <c r="CD30" i="15"/>
  <c r="CI29" i="15"/>
  <c r="CF30" i="15"/>
  <c r="CG30" i="15"/>
  <c r="CG29" i="15"/>
  <c r="CI30" i="15"/>
  <c r="CE29" i="15"/>
  <c r="M29" i="15" l="1"/>
  <c r="N29" i="15"/>
  <c r="O29" i="15"/>
  <c r="P29" i="15"/>
  <c r="Q29" i="15"/>
  <c r="R29" i="15"/>
  <c r="S29" i="15"/>
  <c r="T29" i="15"/>
  <c r="U29" i="15"/>
  <c r="V29" i="15"/>
  <c r="W29" i="15"/>
  <c r="X29" i="15"/>
  <c r="Y29" i="15"/>
  <c r="Z29" i="15"/>
  <c r="AA29" i="15"/>
  <c r="AB29" i="15"/>
  <c r="AC29" i="15"/>
  <c r="AD29" i="15"/>
  <c r="AE29" i="15"/>
  <c r="AF29" i="15"/>
  <c r="AG29" i="15"/>
  <c r="AH29" i="15"/>
  <c r="AI29" i="15"/>
  <c r="AJ29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AG30" i="15"/>
  <c r="AH30" i="15"/>
  <c r="AI30" i="15"/>
  <c r="AJ30" i="15"/>
  <c r="AQ29" i="5"/>
  <c r="AR29" i="5"/>
  <c r="AS29" i="5"/>
  <c r="AT29" i="5"/>
  <c r="AU29" i="5"/>
  <c r="AV29" i="5"/>
  <c r="AW29" i="5"/>
  <c r="AX29" i="5"/>
  <c r="AY29" i="5"/>
  <c r="AZ29" i="5"/>
  <c r="BA29" i="5"/>
  <c r="AQ30" i="5"/>
  <c r="AR30" i="5"/>
  <c r="AS30" i="5"/>
  <c r="AT30" i="5"/>
  <c r="AU30" i="5"/>
  <c r="AV30" i="5"/>
  <c r="AW30" i="5"/>
  <c r="AX30" i="5"/>
  <c r="AY30" i="5"/>
  <c r="AZ30" i="5"/>
  <c r="BA30" i="5"/>
  <c r="AP30" i="5" l="1"/>
  <c r="AP29" i="5"/>
  <c r="CC30" i="15"/>
  <c r="CC29" i="15"/>
  <c r="CB29" i="15"/>
  <c r="CB30" i="15"/>
  <c r="CA30" i="15"/>
  <c r="CA29" i="15"/>
  <c r="BZ29" i="15"/>
  <c r="BZ30" i="15"/>
  <c r="BY29" i="15"/>
  <c r="BY30" i="15"/>
  <c r="AO30" i="5" l="1"/>
  <c r="AO29" i="5"/>
  <c r="AN29" i="5" l="1"/>
  <c r="AN30" i="5"/>
  <c r="AM29" i="5" l="1"/>
  <c r="AM30" i="5"/>
  <c r="BX29" i="15"/>
  <c r="BX30" i="15"/>
  <c r="BW29" i="15"/>
  <c r="BW30" i="15"/>
  <c r="BV29" i="15"/>
  <c r="BV30" i="15"/>
  <c r="BU30" i="15"/>
  <c r="BU29" i="15"/>
  <c r="AL30" i="5" l="1"/>
  <c r="AL29" i="5"/>
  <c r="AK29" i="5" l="1"/>
  <c r="AK30" i="5"/>
  <c r="AJ30" i="5" l="1"/>
  <c r="AJ29" i="5"/>
  <c r="AI29" i="5" l="1"/>
  <c r="AI30" i="5"/>
  <c r="AH30" i="5" l="1"/>
  <c r="AH29" i="5"/>
  <c r="H16" i="14"/>
  <c r="H17" i="14"/>
  <c r="H18" i="14"/>
  <c r="H19" i="14"/>
  <c r="H20" i="14"/>
  <c r="H21" i="14"/>
  <c r="AE29" i="5" l="1"/>
  <c r="AE30" i="5"/>
  <c r="AF29" i="5"/>
  <c r="AF30" i="5"/>
  <c r="AG29" i="5"/>
  <c r="AG30" i="5"/>
  <c r="AD30" i="5" l="1"/>
  <c r="AD29" i="5"/>
  <c r="AC29" i="5" l="1"/>
  <c r="AC30" i="5"/>
  <c r="AB29" i="5" l="1"/>
  <c r="AB30" i="5"/>
  <c r="E94" i="18"/>
  <c r="E90" i="18"/>
  <c r="E86" i="18"/>
  <c r="E82" i="18"/>
  <c r="E78" i="18"/>
  <c r="E74" i="18"/>
  <c r="E70" i="18"/>
  <c r="E66" i="18"/>
  <c r="E62" i="18"/>
  <c r="E58" i="18"/>
  <c r="E54" i="18"/>
  <c r="E50" i="18"/>
  <c r="E46" i="18"/>
  <c r="E42" i="18"/>
  <c r="E38" i="18"/>
  <c r="M30" i="18"/>
  <c r="N30" i="18"/>
  <c r="O30" i="18"/>
  <c r="P30" i="18"/>
  <c r="Q30" i="18"/>
  <c r="R30" i="18"/>
  <c r="S30" i="18"/>
  <c r="T30" i="18"/>
  <c r="U30" i="18"/>
  <c r="V30" i="18"/>
  <c r="W30" i="18"/>
  <c r="X30" i="18"/>
  <c r="Y30" i="18"/>
  <c r="Z30" i="18"/>
  <c r="AA30" i="18"/>
  <c r="AB30" i="18"/>
  <c r="AC30" i="18"/>
  <c r="AD30" i="18"/>
  <c r="AE30" i="18"/>
  <c r="AF30" i="18"/>
  <c r="AG30" i="18"/>
  <c r="AH30" i="18"/>
  <c r="AI30" i="18"/>
  <c r="AJ30" i="18"/>
  <c r="AK30" i="18"/>
  <c r="AM30" i="18"/>
  <c r="M31" i="18"/>
  <c r="N31" i="18"/>
  <c r="O31" i="18"/>
  <c r="P31" i="18"/>
  <c r="Q31" i="18"/>
  <c r="R31" i="18"/>
  <c r="S31" i="18"/>
  <c r="T31" i="18"/>
  <c r="U31" i="18"/>
  <c r="V31" i="18"/>
  <c r="W31" i="18"/>
  <c r="X31" i="18"/>
  <c r="Y31" i="18"/>
  <c r="Z31" i="18"/>
  <c r="AA31" i="18"/>
  <c r="AB31" i="18"/>
  <c r="AC31" i="18"/>
  <c r="AD31" i="18"/>
  <c r="AE31" i="18"/>
  <c r="AF31" i="18"/>
  <c r="AG31" i="18"/>
  <c r="AH31" i="18"/>
  <c r="AI31" i="18"/>
  <c r="AJ31" i="18"/>
  <c r="AK31" i="18"/>
  <c r="AM31" i="18"/>
  <c r="L30" i="18"/>
  <c r="L31" i="18"/>
  <c r="K30" i="18"/>
  <c r="K31" i="18"/>
  <c r="J31" i="18"/>
  <c r="J30" i="18"/>
  <c r="J32" i="18" s="1"/>
  <c r="E34" i="18"/>
  <c r="E97" i="16"/>
  <c r="E90" i="16"/>
  <c r="E83" i="16"/>
  <c r="I83" i="16" s="1"/>
  <c r="E76" i="16"/>
  <c r="E69" i="16"/>
  <c r="E62" i="16"/>
  <c r="E55" i="16"/>
  <c r="E48" i="16"/>
  <c r="E41" i="16"/>
  <c r="E34" i="16"/>
  <c r="AI5" i="16"/>
  <c r="AJ5" i="16"/>
  <c r="AK5" i="16"/>
  <c r="AL5" i="16"/>
  <c r="AM5" i="16"/>
  <c r="AN5" i="16"/>
  <c r="AO5" i="16"/>
  <c r="AP5" i="16"/>
  <c r="AQ5" i="16"/>
  <c r="AR5" i="16"/>
  <c r="AS5" i="16"/>
  <c r="AT5" i="16"/>
  <c r="AU5" i="16"/>
  <c r="AV5" i="16"/>
  <c r="AW5" i="16"/>
  <c r="AX5" i="16"/>
  <c r="BA5" i="16"/>
  <c r="BB5" i="16"/>
  <c r="AI6" i="16"/>
  <c r="AJ6" i="16"/>
  <c r="AK6" i="16"/>
  <c r="AL6" i="16"/>
  <c r="AM6" i="16"/>
  <c r="AN6" i="16"/>
  <c r="AO6" i="16"/>
  <c r="AP6" i="16"/>
  <c r="AQ6" i="16"/>
  <c r="AR6" i="16"/>
  <c r="AS6" i="16"/>
  <c r="AT6" i="16"/>
  <c r="AU6" i="16"/>
  <c r="AV6" i="16"/>
  <c r="AW6" i="16"/>
  <c r="AX6" i="16"/>
  <c r="AI7" i="16"/>
  <c r="AJ7" i="16"/>
  <c r="AK7" i="16"/>
  <c r="AL7" i="16"/>
  <c r="AM7" i="16"/>
  <c r="AN7" i="16"/>
  <c r="AO7" i="16"/>
  <c r="AP7" i="16"/>
  <c r="AQ7" i="16"/>
  <c r="AR7" i="16"/>
  <c r="AS7" i="16"/>
  <c r="AT7" i="16"/>
  <c r="AU7" i="16"/>
  <c r="AV7" i="16"/>
  <c r="AW7" i="16"/>
  <c r="AX7" i="16"/>
  <c r="AI8" i="16"/>
  <c r="AJ8" i="16"/>
  <c r="AK8" i="16"/>
  <c r="AL8" i="16"/>
  <c r="AM8" i="16"/>
  <c r="AN8" i="16"/>
  <c r="AO8" i="16"/>
  <c r="AP8" i="16"/>
  <c r="AQ8" i="16"/>
  <c r="AR8" i="16"/>
  <c r="AS8" i="16"/>
  <c r="AT8" i="16"/>
  <c r="AU8" i="16"/>
  <c r="AV8" i="16"/>
  <c r="AW8" i="16"/>
  <c r="AX8" i="16"/>
  <c r="AI9" i="16"/>
  <c r="AJ9" i="16"/>
  <c r="AK9" i="16"/>
  <c r="AL9" i="16"/>
  <c r="AM9" i="16"/>
  <c r="AN9" i="16"/>
  <c r="AO9" i="16"/>
  <c r="AP9" i="16"/>
  <c r="AQ9" i="16"/>
  <c r="AR9" i="16"/>
  <c r="AS9" i="16"/>
  <c r="AT9" i="16"/>
  <c r="AU9" i="16"/>
  <c r="AV9" i="16"/>
  <c r="AW9" i="16"/>
  <c r="AX9" i="16"/>
  <c r="BA9" i="16"/>
  <c r="BB9" i="16"/>
  <c r="AI10" i="16"/>
  <c r="AJ10" i="16"/>
  <c r="AK10" i="16"/>
  <c r="AL10" i="16"/>
  <c r="AM10" i="16"/>
  <c r="AN10" i="16"/>
  <c r="AO10" i="16"/>
  <c r="AP10" i="16"/>
  <c r="AQ10" i="16"/>
  <c r="AR10" i="16"/>
  <c r="AS10" i="16"/>
  <c r="AT10" i="16"/>
  <c r="AU10" i="16"/>
  <c r="AV10" i="16"/>
  <c r="AW10" i="16"/>
  <c r="AX10" i="16"/>
  <c r="AI11" i="16"/>
  <c r="AJ11" i="16"/>
  <c r="AK11" i="16"/>
  <c r="AL11" i="16"/>
  <c r="AM11" i="16"/>
  <c r="AN11" i="16"/>
  <c r="AO11" i="16"/>
  <c r="AP11" i="16"/>
  <c r="AQ11" i="16"/>
  <c r="AR11" i="16"/>
  <c r="AS11" i="16"/>
  <c r="AT11" i="16"/>
  <c r="AU11" i="16"/>
  <c r="AV11" i="16"/>
  <c r="AW11" i="16"/>
  <c r="AX11" i="16"/>
  <c r="AI12" i="16"/>
  <c r="AJ12" i="16"/>
  <c r="AK12" i="16"/>
  <c r="AL12" i="16"/>
  <c r="AM12" i="16"/>
  <c r="AN12" i="16"/>
  <c r="AO12" i="16"/>
  <c r="AP12" i="16"/>
  <c r="AQ12" i="16"/>
  <c r="AR12" i="16"/>
  <c r="AS12" i="16"/>
  <c r="AT12" i="16"/>
  <c r="AU12" i="16"/>
  <c r="AV12" i="16"/>
  <c r="AW12" i="16"/>
  <c r="AX12" i="16"/>
  <c r="BA12" i="16"/>
  <c r="BB12" i="16"/>
  <c r="AI13" i="16"/>
  <c r="AJ13" i="16"/>
  <c r="AK13" i="16"/>
  <c r="AL13" i="16"/>
  <c r="AM13" i="16"/>
  <c r="AN13" i="16"/>
  <c r="AO13" i="16"/>
  <c r="AP13" i="16"/>
  <c r="AQ13" i="16"/>
  <c r="AR13" i="16"/>
  <c r="AS13" i="16"/>
  <c r="AT13" i="16"/>
  <c r="AU13" i="16"/>
  <c r="AV13" i="16"/>
  <c r="AW13" i="16"/>
  <c r="AX13" i="16"/>
  <c r="AI14" i="16"/>
  <c r="AJ14" i="16"/>
  <c r="AK14" i="16"/>
  <c r="AL14" i="16"/>
  <c r="AM14" i="16"/>
  <c r="AN14" i="16"/>
  <c r="AO14" i="16"/>
  <c r="AP14" i="16"/>
  <c r="AQ14" i="16"/>
  <c r="AR14" i="16"/>
  <c r="AS14" i="16"/>
  <c r="AT14" i="16"/>
  <c r="AU14" i="16"/>
  <c r="AV14" i="16"/>
  <c r="AW14" i="16"/>
  <c r="AX14" i="16"/>
  <c r="AI15" i="16"/>
  <c r="AJ15" i="16"/>
  <c r="AK15" i="16"/>
  <c r="AL15" i="16"/>
  <c r="AM15" i="16"/>
  <c r="AN15" i="16"/>
  <c r="AO15" i="16"/>
  <c r="AP15" i="16"/>
  <c r="AQ15" i="16"/>
  <c r="AR15" i="16"/>
  <c r="AS15" i="16"/>
  <c r="AT15" i="16"/>
  <c r="AU15" i="16"/>
  <c r="AV15" i="16"/>
  <c r="AW15" i="16"/>
  <c r="AX15" i="16"/>
  <c r="AI16" i="16"/>
  <c r="AJ16" i="16"/>
  <c r="AK16" i="16"/>
  <c r="AL16" i="16"/>
  <c r="AM16" i="16"/>
  <c r="AN16" i="16"/>
  <c r="AO16" i="16"/>
  <c r="AP16" i="16"/>
  <c r="AQ16" i="16"/>
  <c r="AR16" i="16"/>
  <c r="AS16" i="16"/>
  <c r="AT16" i="16"/>
  <c r="AU16" i="16"/>
  <c r="AV16" i="16"/>
  <c r="AW16" i="16"/>
  <c r="AX16" i="16"/>
  <c r="AI17" i="16"/>
  <c r="AJ17" i="16"/>
  <c r="AK17" i="16"/>
  <c r="AL17" i="16"/>
  <c r="AM17" i="16"/>
  <c r="AN17" i="16"/>
  <c r="AO17" i="16"/>
  <c r="AP17" i="16"/>
  <c r="AQ17" i="16"/>
  <c r="AR17" i="16"/>
  <c r="AS17" i="16"/>
  <c r="AT17" i="16"/>
  <c r="AU17" i="16"/>
  <c r="AV17" i="16"/>
  <c r="AW17" i="16"/>
  <c r="AX17" i="16"/>
  <c r="AI18" i="16"/>
  <c r="AJ18" i="16"/>
  <c r="AK18" i="16"/>
  <c r="AL18" i="16"/>
  <c r="AM18" i="16"/>
  <c r="AN18" i="16"/>
  <c r="AO18" i="16"/>
  <c r="AP18" i="16"/>
  <c r="AQ18" i="16"/>
  <c r="AR18" i="16"/>
  <c r="AS18" i="16"/>
  <c r="AT18" i="16"/>
  <c r="AU18" i="16"/>
  <c r="AV18" i="16"/>
  <c r="AW18" i="16"/>
  <c r="AX18" i="16"/>
  <c r="BA18" i="16"/>
  <c r="BB18" i="16"/>
  <c r="AI19" i="16"/>
  <c r="AJ19" i="16"/>
  <c r="AK19" i="16"/>
  <c r="AL19" i="16"/>
  <c r="AM19" i="16"/>
  <c r="AN19" i="16"/>
  <c r="AO19" i="16"/>
  <c r="AP19" i="16"/>
  <c r="AQ19" i="16"/>
  <c r="AR19" i="16"/>
  <c r="AS19" i="16"/>
  <c r="AT19" i="16"/>
  <c r="AU19" i="16"/>
  <c r="AV19" i="16"/>
  <c r="AW19" i="16"/>
  <c r="AX19" i="16"/>
  <c r="AI20" i="16"/>
  <c r="AJ20" i="16"/>
  <c r="AK20" i="16"/>
  <c r="AL20" i="16"/>
  <c r="AM20" i="16"/>
  <c r="AN20" i="16"/>
  <c r="AO20" i="16"/>
  <c r="AP20" i="16"/>
  <c r="AQ20" i="16"/>
  <c r="AR20" i="16"/>
  <c r="AS20" i="16"/>
  <c r="AT20" i="16"/>
  <c r="AU20" i="16"/>
  <c r="AV20" i="16"/>
  <c r="AW20" i="16"/>
  <c r="AX20" i="16"/>
  <c r="BA20" i="16"/>
  <c r="BB20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V21" i="16"/>
  <c r="AW21" i="16"/>
  <c r="AX21" i="16"/>
  <c r="AI22" i="16"/>
  <c r="AJ22" i="16"/>
  <c r="AK22" i="16"/>
  <c r="AL22" i="16"/>
  <c r="AM22" i="16"/>
  <c r="AN22" i="16"/>
  <c r="AO22" i="16"/>
  <c r="AP22" i="16"/>
  <c r="AQ22" i="16"/>
  <c r="AR22" i="16"/>
  <c r="AS22" i="16"/>
  <c r="AT22" i="16"/>
  <c r="AU22" i="16"/>
  <c r="AV22" i="16"/>
  <c r="AW22" i="16"/>
  <c r="AX22" i="16"/>
  <c r="AI23" i="16"/>
  <c r="AJ23" i="16"/>
  <c r="AK23" i="16"/>
  <c r="AL23" i="16"/>
  <c r="AM23" i="16"/>
  <c r="AN23" i="16"/>
  <c r="AO23" i="16"/>
  <c r="AP23" i="16"/>
  <c r="AQ23" i="16"/>
  <c r="AR23" i="16"/>
  <c r="AS23" i="16"/>
  <c r="AT23" i="16"/>
  <c r="AU23" i="16"/>
  <c r="AV23" i="16"/>
  <c r="AW23" i="16"/>
  <c r="AX23" i="16"/>
  <c r="AI24" i="16"/>
  <c r="AJ24" i="16"/>
  <c r="AK24" i="16"/>
  <c r="AL24" i="16"/>
  <c r="AM24" i="16"/>
  <c r="AN24" i="16"/>
  <c r="AO24" i="16"/>
  <c r="AP24" i="16"/>
  <c r="AQ24" i="16"/>
  <c r="AR24" i="16"/>
  <c r="AS24" i="16"/>
  <c r="AT24" i="16"/>
  <c r="AU24" i="16"/>
  <c r="AV24" i="16"/>
  <c r="AW24" i="16"/>
  <c r="AX24" i="16"/>
  <c r="AI25" i="16"/>
  <c r="AJ25" i="16"/>
  <c r="AK25" i="16"/>
  <c r="AL25" i="16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BA25" i="16"/>
  <c r="BB25" i="16"/>
  <c r="AI26" i="16"/>
  <c r="AJ26" i="16"/>
  <c r="AK26" i="16"/>
  <c r="AL26" i="16"/>
  <c r="AM26" i="16"/>
  <c r="AN26" i="16"/>
  <c r="AO26" i="16"/>
  <c r="AP26" i="16"/>
  <c r="AQ26" i="16"/>
  <c r="AR26" i="16"/>
  <c r="AS26" i="16"/>
  <c r="AT26" i="16"/>
  <c r="AU26" i="16"/>
  <c r="AV26" i="16"/>
  <c r="AW26" i="16"/>
  <c r="AX26" i="16"/>
  <c r="AI27" i="16"/>
  <c r="AJ27" i="16"/>
  <c r="AK27" i="16"/>
  <c r="AL27" i="16"/>
  <c r="AM27" i="16"/>
  <c r="AN27" i="16"/>
  <c r="AO27" i="16"/>
  <c r="AP27" i="16"/>
  <c r="AQ27" i="16"/>
  <c r="AR27" i="16"/>
  <c r="AS27" i="16"/>
  <c r="AT27" i="16"/>
  <c r="AU27" i="16"/>
  <c r="AV27" i="16"/>
  <c r="AW27" i="16"/>
  <c r="AX27" i="16"/>
  <c r="AH6" i="16"/>
  <c r="AH7" i="16"/>
  <c r="AH8" i="16"/>
  <c r="AH9" i="16"/>
  <c r="AH10" i="16"/>
  <c r="AH11" i="16"/>
  <c r="AH12" i="16"/>
  <c r="AH13" i="16"/>
  <c r="AH14" i="16"/>
  <c r="AH15" i="16"/>
  <c r="AH16" i="16"/>
  <c r="AH17" i="16"/>
  <c r="AH18" i="16"/>
  <c r="AH19" i="16"/>
  <c r="AH20" i="16"/>
  <c r="AH21" i="16"/>
  <c r="AH22" i="16"/>
  <c r="AH23" i="16"/>
  <c r="AH24" i="16"/>
  <c r="AH25" i="16"/>
  <c r="AH26" i="16"/>
  <c r="AH27" i="16"/>
  <c r="AH5" i="16"/>
  <c r="E77" i="15"/>
  <c r="E74" i="15"/>
  <c r="E71" i="15"/>
  <c r="E68" i="15"/>
  <c r="E65" i="15"/>
  <c r="E62" i="15"/>
  <c r="E59" i="15"/>
  <c r="E56" i="15"/>
  <c r="E53" i="15"/>
  <c r="E50" i="15"/>
  <c r="E47" i="15"/>
  <c r="E44" i="15"/>
  <c r="E41" i="15"/>
  <c r="E38" i="15"/>
  <c r="E35" i="15"/>
  <c r="E32" i="15"/>
  <c r="J21" i="14"/>
  <c r="J16" i="14"/>
  <c r="J17" i="14"/>
  <c r="J18" i="14"/>
  <c r="J19" i="14"/>
  <c r="J20" i="14"/>
  <c r="E83" i="5"/>
  <c r="E80" i="5"/>
  <c r="E77" i="5"/>
  <c r="E74" i="5"/>
  <c r="E71" i="5"/>
  <c r="E68" i="5"/>
  <c r="I29" i="5"/>
  <c r="E65" i="5"/>
  <c r="E62" i="5"/>
  <c r="E57" i="5"/>
  <c r="E54" i="5"/>
  <c r="E49" i="5"/>
  <c r="E46" i="5"/>
  <c r="E41" i="5"/>
  <c r="E38" i="5"/>
  <c r="E32" i="5"/>
  <c r="E16" i="14"/>
  <c r="E17" i="14"/>
  <c r="E18" i="14"/>
  <c r="E19" i="14"/>
  <c r="E20" i="14"/>
  <c r="E21" i="14"/>
  <c r="DI65" i="5" l="1"/>
  <c r="DK65" i="5"/>
  <c r="BK66" i="5" a="1"/>
  <c r="BK66" i="5" s="1"/>
  <c r="BJ65" i="5"/>
  <c r="BL66" i="5" a="1"/>
  <c r="BL66" i="5" s="1"/>
  <c r="DE65" i="5"/>
  <c r="DG65" i="5"/>
  <c r="BM65" i="5"/>
  <c r="BO66" i="5" a="1"/>
  <c r="BO66" i="5" s="1"/>
  <c r="BN66" i="5" a="1"/>
  <c r="BN66" i="5" s="1"/>
  <c r="BP66" i="5" a="1"/>
  <c r="BP66" i="5" s="1"/>
  <c r="BO65" i="5"/>
  <c r="BP65" i="5"/>
  <c r="DF65" i="5"/>
  <c r="BK65" i="5"/>
  <c r="BL65" i="5"/>
  <c r="DH65" i="5"/>
  <c r="DJ65" i="5"/>
  <c r="BN65" i="5"/>
  <c r="BM66" i="5" a="1"/>
  <c r="BM66" i="5" s="1"/>
  <c r="BJ66" i="5" a="1"/>
  <c r="BJ66" i="5" s="1"/>
  <c r="DI66" i="5" a="1"/>
  <c r="DI66" i="5" s="1"/>
  <c r="DH66" i="5" a="1"/>
  <c r="DH66" i="5" s="1"/>
  <c r="DJ66" i="5" a="1"/>
  <c r="DJ66" i="5" s="1"/>
  <c r="DF66" i="5" a="1"/>
  <c r="DF66" i="5" s="1"/>
  <c r="DK66" i="5" a="1"/>
  <c r="DK66" i="5" s="1"/>
  <c r="DG66" i="5" a="1"/>
  <c r="DG66" i="5" s="1"/>
  <c r="DE66" i="5" a="1"/>
  <c r="DE66" i="5" s="1"/>
  <c r="AU75" i="18"/>
  <c r="AU74" i="18"/>
  <c r="AV75" i="18"/>
  <c r="AV74" i="18"/>
  <c r="AW75" i="18"/>
  <c r="AW74" i="18"/>
  <c r="AX75" i="18"/>
  <c r="AX74" i="18"/>
  <c r="AY75" i="18"/>
  <c r="AY74" i="18"/>
  <c r="AZ75" i="18"/>
  <c r="AZ74" i="18"/>
  <c r="BA75" i="18"/>
  <c r="BA74" i="18"/>
  <c r="BP38" i="5"/>
  <c r="BJ38" i="5"/>
  <c r="BL39" i="5" a="1"/>
  <c r="BL39" i="5" s="1"/>
  <c r="BM39" i="5" a="1"/>
  <c r="BM39" i="5" s="1"/>
  <c r="BK38" i="5"/>
  <c r="BN38" i="5"/>
  <c r="BP39" i="5" a="1"/>
  <c r="BP39" i="5" s="1"/>
  <c r="BL38" i="5"/>
  <c r="BO39" i="5" a="1"/>
  <c r="BO39" i="5" s="1"/>
  <c r="BM38" i="5"/>
  <c r="BO38" i="5"/>
  <c r="BK39" i="5" a="1"/>
  <c r="BK39" i="5" s="1"/>
  <c r="BN39" i="5" a="1"/>
  <c r="BN39" i="5" s="1"/>
  <c r="BJ39" i="5" a="1"/>
  <c r="BJ39" i="5" s="1"/>
  <c r="DI38" i="5"/>
  <c r="DJ39" i="5" a="1"/>
  <c r="DJ39" i="5" s="1"/>
  <c r="DH39" i="5" a="1"/>
  <c r="DH39" i="5" s="1"/>
  <c r="DG39" i="5" a="1"/>
  <c r="DG39" i="5" s="1"/>
  <c r="DF39" i="5" a="1"/>
  <c r="DF39" i="5" s="1"/>
  <c r="DK38" i="5"/>
  <c r="DE39" i="5" a="1"/>
  <c r="DE39" i="5" s="1"/>
  <c r="DK39" i="5" a="1"/>
  <c r="DK39" i="5" s="1"/>
  <c r="DI39" i="5" a="1"/>
  <c r="DI39" i="5" s="1"/>
  <c r="DJ38" i="5"/>
  <c r="DG38" i="5"/>
  <c r="DH38" i="5"/>
  <c r="DF38" i="5"/>
  <c r="DE38" i="5"/>
  <c r="CQ39" i="15" a="1"/>
  <c r="CQ39" i="15" s="1"/>
  <c r="CU38" i="15"/>
  <c r="CR39" i="15" a="1"/>
  <c r="CR39" i="15" s="1"/>
  <c r="CS39" i="15" a="1"/>
  <c r="CS39" i="15" s="1"/>
  <c r="CT38" i="15"/>
  <c r="CU39" i="15" a="1"/>
  <c r="CU39" i="15" s="1"/>
  <c r="CQ38" i="15"/>
  <c r="CS38" i="15"/>
  <c r="CV39" i="15" a="1"/>
  <c r="CV39" i="15" s="1"/>
  <c r="CR38" i="15"/>
  <c r="CT39" i="15" a="1"/>
  <c r="CT39" i="15" s="1"/>
  <c r="CV38" i="15"/>
  <c r="CS62" i="15"/>
  <c r="CU62" i="15"/>
  <c r="CV62" i="15"/>
  <c r="CQ62" i="15"/>
  <c r="CR62" i="15"/>
  <c r="CT62" i="15"/>
  <c r="CV63" i="15" a="1"/>
  <c r="CV63" i="15" s="1"/>
  <c r="CR63" i="15" a="1"/>
  <c r="CR63" i="15" s="1"/>
  <c r="CU63" i="15" a="1"/>
  <c r="CU63" i="15" s="1"/>
  <c r="CT63" i="15" a="1"/>
  <c r="CT63" i="15" s="1"/>
  <c r="CQ63" i="15" a="1"/>
  <c r="CQ63" i="15" s="1"/>
  <c r="CS63" i="15" a="1"/>
  <c r="CS63" i="15" s="1"/>
  <c r="AV46" i="18"/>
  <c r="AW47" i="18"/>
  <c r="AW46" i="18"/>
  <c r="AX47" i="18"/>
  <c r="AX46" i="18"/>
  <c r="AY47" i="18"/>
  <c r="AY46" i="18"/>
  <c r="AZ47" i="18"/>
  <c r="AZ46" i="18"/>
  <c r="BA47" i="18"/>
  <c r="BA46" i="18"/>
  <c r="AU47" i="18"/>
  <c r="AU46" i="18"/>
  <c r="AV47" i="18"/>
  <c r="AV78" i="18"/>
  <c r="AW79" i="18"/>
  <c r="AW78" i="18"/>
  <c r="AX79" i="18"/>
  <c r="AX78" i="18"/>
  <c r="AY79" i="18"/>
  <c r="AY78" i="18"/>
  <c r="AZ79" i="18"/>
  <c r="AZ78" i="18"/>
  <c r="BA79" i="18"/>
  <c r="BA78" i="18"/>
  <c r="AU79" i="18"/>
  <c r="AU78" i="18"/>
  <c r="AV79" i="18"/>
  <c r="AX50" i="18"/>
  <c r="AY51" i="18"/>
  <c r="AY50" i="18"/>
  <c r="AZ51" i="18"/>
  <c r="AZ50" i="18"/>
  <c r="BA51" i="18"/>
  <c r="BA50" i="18"/>
  <c r="AU51" i="18"/>
  <c r="AU50" i="18"/>
  <c r="AV51" i="18"/>
  <c r="AV50" i="18"/>
  <c r="AW51" i="18"/>
  <c r="AW50" i="18"/>
  <c r="AX51" i="18"/>
  <c r="AX82" i="18"/>
  <c r="AY83" i="18"/>
  <c r="AY82" i="18"/>
  <c r="AZ83" i="18"/>
  <c r="AZ82" i="18"/>
  <c r="BA83" i="18"/>
  <c r="BA82" i="18"/>
  <c r="AU83" i="18"/>
  <c r="AU82" i="18"/>
  <c r="AV83" i="18"/>
  <c r="AV82" i="18"/>
  <c r="AW83" i="18"/>
  <c r="AW82" i="18"/>
  <c r="AX83" i="18"/>
  <c r="BJ32" i="5"/>
  <c r="BL33" i="5" a="1"/>
  <c r="BL33" i="5" s="1"/>
  <c r="BL32" i="5"/>
  <c r="BN33" i="5" a="1"/>
  <c r="BN33" i="5" s="1"/>
  <c r="BM32" i="5"/>
  <c r="BO33" i="5" a="1"/>
  <c r="BO33" i="5" s="1"/>
  <c r="BN32" i="5"/>
  <c r="BP33" i="5" a="1"/>
  <c r="BP33" i="5" s="1"/>
  <c r="BP32" i="5"/>
  <c r="BO32" i="5"/>
  <c r="BK33" i="5" a="1"/>
  <c r="BK33" i="5" s="1"/>
  <c r="BM33" i="5" a="1"/>
  <c r="BM33" i="5" s="1"/>
  <c r="BK32" i="5"/>
  <c r="BJ33" i="5" a="1"/>
  <c r="BJ33" i="5" s="1"/>
  <c r="DJ33" i="5" a="1"/>
  <c r="DJ33" i="5" s="1"/>
  <c r="DE33" i="5" a="1"/>
  <c r="DE33" i="5" s="1"/>
  <c r="DI33" i="5" a="1"/>
  <c r="DI33" i="5" s="1"/>
  <c r="DH32" i="5"/>
  <c r="DI32" i="5"/>
  <c r="DG32" i="5"/>
  <c r="DF33" i="5" a="1"/>
  <c r="DF33" i="5" s="1"/>
  <c r="DH33" i="5" a="1"/>
  <c r="DH33" i="5" s="1"/>
  <c r="DJ32" i="5"/>
  <c r="DG33" i="5" a="1"/>
  <c r="DG33" i="5" s="1"/>
  <c r="DE32" i="5"/>
  <c r="DK32" i="5"/>
  <c r="DF32" i="5"/>
  <c r="DK33" i="5" a="1"/>
  <c r="DK33" i="5" s="1"/>
  <c r="CU65" i="15"/>
  <c r="CQ65" i="15"/>
  <c r="CS65" i="15"/>
  <c r="CV65" i="15"/>
  <c r="CT65" i="15"/>
  <c r="CR65" i="15"/>
  <c r="CV66" i="15" a="1"/>
  <c r="CV66" i="15" s="1"/>
  <c r="CU66" i="15" a="1"/>
  <c r="CU66" i="15" s="1"/>
  <c r="CQ66" i="15" a="1"/>
  <c r="CQ66" i="15" s="1"/>
  <c r="CS66" i="15" a="1"/>
  <c r="CS66" i="15" s="1"/>
  <c r="CR66" i="15" a="1"/>
  <c r="CR66" i="15" s="1"/>
  <c r="CT66" i="15" a="1"/>
  <c r="CT66" i="15" s="1"/>
  <c r="BO46" i="5"/>
  <c r="BP47" i="5" a="1"/>
  <c r="BP47" i="5" s="1"/>
  <c r="BK47" i="5" a="1"/>
  <c r="BK47" i="5" s="1"/>
  <c r="BJ46" i="5"/>
  <c r="BL47" i="5" a="1"/>
  <c r="BL47" i="5" s="1"/>
  <c r="BM46" i="5"/>
  <c r="BO47" i="5" a="1"/>
  <c r="BO47" i="5" s="1"/>
  <c r="BM47" i="5" a="1"/>
  <c r="BM47" i="5" s="1"/>
  <c r="BN47" i="5" a="1"/>
  <c r="BN47" i="5" s="1"/>
  <c r="BN46" i="5"/>
  <c r="BK46" i="5"/>
  <c r="BL46" i="5"/>
  <c r="BP46" i="5"/>
  <c r="BJ47" i="5" a="1"/>
  <c r="BJ47" i="5" s="1"/>
  <c r="DH46" i="5"/>
  <c r="DJ46" i="5"/>
  <c r="DG46" i="5"/>
  <c r="DJ47" i="5" a="1"/>
  <c r="DJ47" i="5" s="1"/>
  <c r="DI46" i="5"/>
  <c r="DF46" i="5"/>
  <c r="DE47" i="5" a="1"/>
  <c r="DE47" i="5" s="1"/>
  <c r="DI47" i="5" a="1"/>
  <c r="DI47" i="5" s="1"/>
  <c r="DE46" i="5"/>
  <c r="DG47" i="5" a="1"/>
  <c r="DG47" i="5" s="1"/>
  <c r="DK46" i="5"/>
  <c r="DH47" i="5" a="1"/>
  <c r="DH47" i="5" s="1"/>
  <c r="DK47" i="5" a="1"/>
  <c r="DK47" i="5" s="1"/>
  <c r="DF47" i="5" a="1"/>
  <c r="DF47" i="5" s="1"/>
  <c r="DK71" i="5"/>
  <c r="DE71" i="5"/>
  <c r="BO71" i="5"/>
  <c r="DF71" i="5"/>
  <c r="BP71" i="5"/>
  <c r="DG71" i="5"/>
  <c r="DI71" i="5"/>
  <c r="BK71" i="5"/>
  <c r="BM72" i="5" a="1"/>
  <c r="BM72" i="5" s="1"/>
  <c r="DH71" i="5"/>
  <c r="BN72" i="5" a="1"/>
  <c r="BN72" i="5" s="1"/>
  <c r="BO72" i="5" a="1"/>
  <c r="BO72" i="5" s="1"/>
  <c r="BN71" i="5"/>
  <c r="BL72" i="5" a="1"/>
  <c r="BL72" i="5" s="1"/>
  <c r="DJ71" i="5"/>
  <c r="BJ71" i="5"/>
  <c r="BP72" i="5" a="1"/>
  <c r="BP72" i="5" s="1"/>
  <c r="BL71" i="5"/>
  <c r="BK72" i="5" a="1"/>
  <c r="BK72" i="5" s="1"/>
  <c r="BM71" i="5"/>
  <c r="BJ72" i="5" a="1"/>
  <c r="BJ72" i="5" s="1"/>
  <c r="DH72" i="5" a="1"/>
  <c r="DH72" i="5" s="1"/>
  <c r="DF72" i="5" a="1"/>
  <c r="DF72" i="5" s="1"/>
  <c r="DJ72" i="5" a="1"/>
  <c r="DJ72" i="5" s="1"/>
  <c r="DI72" i="5" a="1"/>
  <c r="DI72" i="5" s="1"/>
  <c r="DK72" i="5" a="1"/>
  <c r="DK72" i="5" s="1"/>
  <c r="DE72" i="5" a="1"/>
  <c r="DE72" i="5" s="1"/>
  <c r="DG72" i="5" a="1"/>
  <c r="DG72" i="5" s="1"/>
  <c r="CR44" i="15"/>
  <c r="CU45" i="15" a="1"/>
  <c r="CU45" i="15" s="1"/>
  <c r="CT45" i="15" a="1"/>
  <c r="CT45" i="15" s="1"/>
  <c r="CR45" i="15" a="1"/>
  <c r="CR45" i="15" s="1"/>
  <c r="CQ44" i="15"/>
  <c r="CS44" i="15"/>
  <c r="CT44" i="15"/>
  <c r="CS45" i="15" a="1"/>
  <c r="CS45" i="15" s="1"/>
  <c r="CV45" i="15" a="1"/>
  <c r="CV45" i="15" s="1"/>
  <c r="CU44" i="15"/>
  <c r="CQ45" i="15" a="1"/>
  <c r="CQ45" i="15" s="1"/>
  <c r="CV44" i="15"/>
  <c r="CQ68" i="15"/>
  <c r="CR68" i="15"/>
  <c r="CS68" i="15"/>
  <c r="CU68" i="15"/>
  <c r="CV68" i="15"/>
  <c r="CT68" i="15"/>
  <c r="CR69" i="15" a="1"/>
  <c r="CR69" i="15" s="1"/>
  <c r="CU69" i="15" a="1"/>
  <c r="CU69" i="15" s="1"/>
  <c r="CQ69" i="15" a="1"/>
  <c r="CQ69" i="15" s="1"/>
  <c r="CV69" i="15" a="1"/>
  <c r="CV69" i="15" s="1"/>
  <c r="CS69" i="15" a="1"/>
  <c r="CS69" i="15" s="1"/>
  <c r="CT69" i="15" a="1"/>
  <c r="CT69" i="15" s="1"/>
  <c r="AZ54" i="18"/>
  <c r="BA55" i="18"/>
  <c r="BA54" i="18"/>
  <c r="AU55" i="18"/>
  <c r="AU54" i="18"/>
  <c r="AV55" i="18"/>
  <c r="AV54" i="18"/>
  <c r="AW55" i="18"/>
  <c r="AW54" i="18"/>
  <c r="AX55" i="18"/>
  <c r="AX54" i="18"/>
  <c r="AY55" i="18"/>
  <c r="AY54" i="18"/>
  <c r="AZ55" i="18"/>
  <c r="AZ86" i="18"/>
  <c r="BA87" i="18"/>
  <c r="BA86" i="18"/>
  <c r="AU87" i="18"/>
  <c r="AU86" i="18"/>
  <c r="AV87" i="18"/>
  <c r="AV86" i="18"/>
  <c r="AW87" i="18"/>
  <c r="AW86" i="18"/>
  <c r="AX87" i="18"/>
  <c r="AX86" i="18"/>
  <c r="AY87" i="18"/>
  <c r="AY86" i="18"/>
  <c r="AZ87" i="18"/>
  <c r="CQ59" i="15"/>
  <c r="CS59" i="15"/>
  <c r="CT59" i="15"/>
  <c r="CU59" i="15"/>
  <c r="CR59" i="15"/>
  <c r="CV59" i="15"/>
  <c r="CS60" i="15" a="1"/>
  <c r="CS60" i="15" s="1"/>
  <c r="CV60" i="15" a="1"/>
  <c r="CV60" i="15" s="1"/>
  <c r="CR60" i="15" a="1"/>
  <c r="CR60" i="15" s="1"/>
  <c r="CQ60" i="15" a="1"/>
  <c r="CQ60" i="15" s="1"/>
  <c r="CU60" i="15" a="1"/>
  <c r="CU60" i="15" s="1"/>
  <c r="CT60" i="15" a="1"/>
  <c r="CT60" i="15" s="1"/>
  <c r="AU43" i="18"/>
  <c r="AU42" i="18"/>
  <c r="AV43" i="18"/>
  <c r="AV42" i="18"/>
  <c r="AW43" i="18"/>
  <c r="AW42" i="18"/>
  <c r="AX43" i="18"/>
  <c r="AX42" i="18"/>
  <c r="AY43" i="18"/>
  <c r="AY42" i="18"/>
  <c r="AZ43" i="18"/>
  <c r="AZ42" i="18"/>
  <c r="BA43" i="18"/>
  <c r="BA42" i="18"/>
  <c r="BL41" i="5"/>
  <c r="BN42" i="5" a="1"/>
  <c r="BN42" i="5" s="1"/>
  <c r="BN41" i="5"/>
  <c r="BP42" i="5" a="1"/>
  <c r="BP42" i="5" s="1"/>
  <c r="BO41" i="5"/>
  <c r="BL42" i="5" a="1"/>
  <c r="BL42" i="5" s="1"/>
  <c r="BP41" i="5"/>
  <c r="BK41" i="5"/>
  <c r="BK42" i="5" a="1"/>
  <c r="BK42" i="5" s="1"/>
  <c r="BM42" i="5" a="1"/>
  <c r="BM42" i="5" s="1"/>
  <c r="BO42" i="5" a="1"/>
  <c r="BO42" i="5" s="1"/>
  <c r="BM41" i="5"/>
  <c r="BJ41" i="5"/>
  <c r="BJ42" i="5" a="1"/>
  <c r="BJ42" i="5" s="1"/>
  <c r="DE41" i="5"/>
  <c r="DI41" i="5"/>
  <c r="DK41" i="5"/>
  <c r="DG42" i="5" a="1"/>
  <c r="DG42" i="5" s="1"/>
  <c r="DG41" i="5"/>
  <c r="DH42" i="5" a="1"/>
  <c r="DH42" i="5" s="1"/>
  <c r="DF41" i="5"/>
  <c r="DJ42" i="5" a="1"/>
  <c r="DJ42" i="5" s="1"/>
  <c r="DI42" i="5" a="1"/>
  <c r="DI42" i="5" s="1"/>
  <c r="DH41" i="5"/>
  <c r="DE42" i="5" a="1"/>
  <c r="DE42" i="5" s="1"/>
  <c r="DJ41" i="5"/>
  <c r="DF42" i="5" a="1"/>
  <c r="DF42" i="5" s="1"/>
  <c r="DK42" i="5" a="1"/>
  <c r="DK42" i="5" s="1"/>
  <c r="CB49" i="5"/>
  <c r="BL49" i="5"/>
  <c r="BN50" i="5" a="1"/>
  <c r="BN50" i="5" s="1"/>
  <c r="BM49" i="5"/>
  <c r="BO50" i="5" a="1"/>
  <c r="BO50" i="5" s="1"/>
  <c r="BP49" i="5"/>
  <c r="BM50" i="5" a="1"/>
  <c r="BM50" i="5" s="1"/>
  <c r="BP50" i="5" a="1"/>
  <c r="BP50" i="5" s="1"/>
  <c r="BO49" i="5"/>
  <c r="BK50" i="5" a="1"/>
  <c r="BK50" i="5" s="1"/>
  <c r="BK49" i="5"/>
  <c r="BL50" i="5" a="1"/>
  <c r="BL50" i="5" s="1"/>
  <c r="BN49" i="5"/>
  <c r="BJ49" i="5"/>
  <c r="BJ50" i="5" a="1"/>
  <c r="BJ50" i="5" s="1"/>
  <c r="DJ50" i="5" a="1"/>
  <c r="DJ50" i="5" s="1"/>
  <c r="DG49" i="5"/>
  <c r="DI50" i="5" a="1"/>
  <c r="DI50" i="5" s="1"/>
  <c r="DE50" i="5" a="1"/>
  <c r="DE50" i="5" s="1"/>
  <c r="DF49" i="5"/>
  <c r="DE49" i="5"/>
  <c r="DI49" i="5"/>
  <c r="DJ49" i="5"/>
  <c r="DK49" i="5"/>
  <c r="DG50" i="5" a="1"/>
  <c r="DG50" i="5" s="1"/>
  <c r="DF50" i="5" a="1"/>
  <c r="DF50" i="5" s="1"/>
  <c r="DH50" i="5" a="1"/>
  <c r="DH50" i="5" s="1"/>
  <c r="DK50" i="5" a="1"/>
  <c r="DK50" i="5" s="1"/>
  <c r="DH49" i="5"/>
  <c r="DF74" i="5"/>
  <c r="BJ74" i="5"/>
  <c r="BL75" i="5" a="1"/>
  <c r="BL75" i="5" s="1"/>
  <c r="BK74" i="5"/>
  <c r="DG74" i="5"/>
  <c r="DH74" i="5"/>
  <c r="DJ74" i="5"/>
  <c r="BN74" i="5"/>
  <c r="BP75" i="5" a="1"/>
  <c r="BP75" i="5" s="1"/>
  <c r="BM75" i="5" a="1"/>
  <c r="BM75" i="5" s="1"/>
  <c r="BN75" i="5" a="1"/>
  <c r="BN75" i="5" s="1"/>
  <c r="BO74" i="5"/>
  <c r="DE74" i="5"/>
  <c r="BO75" i="5" a="1"/>
  <c r="BO75" i="5" s="1"/>
  <c r="BL74" i="5"/>
  <c r="BP74" i="5"/>
  <c r="DI74" i="5"/>
  <c r="DK74" i="5"/>
  <c r="BM74" i="5"/>
  <c r="BK75" i="5" a="1"/>
  <c r="BK75" i="5" s="1"/>
  <c r="BJ75" i="5" a="1"/>
  <c r="BJ75" i="5" s="1"/>
  <c r="DK75" i="5" a="1"/>
  <c r="DK75" i="5" s="1"/>
  <c r="DG75" i="5" a="1"/>
  <c r="DG75" i="5" s="1"/>
  <c r="DI75" i="5" a="1"/>
  <c r="DI75" i="5" s="1"/>
  <c r="DH75" i="5" a="1"/>
  <c r="DH75" i="5" s="1"/>
  <c r="DF75" i="5" a="1"/>
  <c r="DF75" i="5" s="1"/>
  <c r="DJ75" i="5" a="1"/>
  <c r="DJ75" i="5" s="1"/>
  <c r="DE75" i="5" a="1"/>
  <c r="DE75" i="5" s="1"/>
  <c r="CT47" i="15"/>
  <c r="CV47" i="15"/>
  <c r="CQ48" i="15" a="1"/>
  <c r="CQ48" i="15" s="1"/>
  <c r="CS47" i="15"/>
  <c r="CR48" i="15" a="1"/>
  <c r="CR48" i="15" s="1"/>
  <c r="CT48" i="15" a="1"/>
  <c r="CT48" i="15" s="1"/>
  <c r="CU48" i="15" a="1"/>
  <c r="CU48" i="15" s="1"/>
  <c r="CV48" i="15" a="1"/>
  <c r="CV48" i="15" s="1"/>
  <c r="CS48" i="15" a="1"/>
  <c r="CS48" i="15" s="1"/>
  <c r="CU47" i="15"/>
  <c r="CQ47" i="15"/>
  <c r="CR47" i="15"/>
  <c r="CQ71" i="15"/>
  <c r="CS71" i="15"/>
  <c r="CT71" i="15"/>
  <c r="CU71" i="15"/>
  <c r="CR71" i="15"/>
  <c r="CV71" i="15"/>
  <c r="CS72" i="15" a="1"/>
  <c r="CS72" i="15" s="1"/>
  <c r="CT72" i="15" a="1"/>
  <c r="CT72" i="15" s="1"/>
  <c r="CQ72" i="15" a="1"/>
  <c r="CQ72" i="15" s="1"/>
  <c r="CV72" i="15" a="1"/>
  <c r="CV72" i="15" s="1"/>
  <c r="CU72" i="15" a="1"/>
  <c r="CU72" i="15" s="1"/>
  <c r="CR72" i="15" a="1"/>
  <c r="CR72" i="15" s="1"/>
  <c r="AX34" i="18"/>
  <c r="AY35" i="18"/>
  <c r="AY34" i="18"/>
  <c r="AZ35" i="18"/>
  <c r="AZ34" i="18"/>
  <c r="BA35" i="18"/>
  <c r="BA34" i="18"/>
  <c r="AU35" i="18"/>
  <c r="AU34" i="18"/>
  <c r="AV35" i="18"/>
  <c r="AV34" i="18"/>
  <c r="AW35" i="18"/>
  <c r="AW34" i="18"/>
  <c r="AX35" i="18"/>
  <c r="AU59" i="18"/>
  <c r="AU58" i="18"/>
  <c r="AV59" i="18"/>
  <c r="AV58" i="18"/>
  <c r="AW59" i="18"/>
  <c r="AW58" i="18"/>
  <c r="AX59" i="18"/>
  <c r="AX58" i="18"/>
  <c r="AY59" i="18"/>
  <c r="AY58" i="18"/>
  <c r="AZ59" i="18"/>
  <c r="AZ58" i="18"/>
  <c r="BA59" i="18"/>
  <c r="BA58" i="18"/>
  <c r="AU91" i="18"/>
  <c r="AU90" i="18"/>
  <c r="AV91" i="18"/>
  <c r="AV90" i="18"/>
  <c r="AW91" i="18"/>
  <c r="AW90" i="18"/>
  <c r="AX91" i="18"/>
  <c r="AX90" i="18"/>
  <c r="AY91" i="18"/>
  <c r="AY90" i="18"/>
  <c r="AZ91" i="18"/>
  <c r="AZ90" i="18"/>
  <c r="BA91" i="18"/>
  <c r="BA90" i="18"/>
  <c r="BP54" i="5"/>
  <c r="BK55" i="5" a="1"/>
  <c r="BK55" i="5" s="1"/>
  <c r="BL54" i="5"/>
  <c r="BN55" i="5" a="1"/>
  <c r="BN55" i="5" s="1"/>
  <c r="BO55" i="5" a="1"/>
  <c r="BO55" i="5" s="1"/>
  <c r="BL55" i="5" a="1"/>
  <c r="BL55" i="5" s="1"/>
  <c r="BM55" i="5" a="1"/>
  <c r="BM55" i="5" s="1"/>
  <c r="BP55" i="5" a="1"/>
  <c r="BP55" i="5" s="1"/>
  <c r="BO54" i="5"/>
  <c r="BK54" i="5"/>
  <c r="BM54" i="5"/>
  <c r="BN54" i="5"/>
  <c r="BJ54" i="5"/>
  <c r="BJ55" i="5" a="1"/>
  <c r="BJ55" i="5" s="1"/>
  <c r="DI55" i="5" a="1"/>
  <c r="DI55" i="5" s="1"/>
  <c r="DK54" i="5"/>
  <c r="DF55" i="5" a="1"/>
  <c r="DF55" i="5" s="1"/>
  <c r="DH55" i="5" a="1"/>
  <c r="DH55" i="5" s="1"/>
  <c r="DE55" i="5" a="1"/>
  <c r="DE55" i="5" s="1"/>
  <c r="DK55" i="5" a="1"/>
  <c r="DK55" i="5" s="1"/>
  <c r="DJ54" i="5"/>
  <c r="DG54" i="5"/>
  <c r="DF54" i="5"/>
  <c r="DH54" i="5"/>
  <c r="DJ55" i="5" a="1"/>
  <c r="DJ55" i="5" s="1"/>
  <c r="DE54" i="5"/>
  <c r="DG55" i="5" a="1"/>
  <c r="DG55" i="5" s="1"/>
  <c r="DI54" i="5"/>
  <c r="DE77" i="5"/>
  <c r="DG77" i="5"/>
  <c r="BM77" i="5"/>
  <c r="BO78" i="5" a="1"/>
  <c r="BO78" i="5" s="1"/>
  <c r="DH77" i="5"/>
  <c r="DI77" i="5"/>
  <c r="DK77" i="5"/>
  <c r="BK78" i="5" a="1"/>
  <c r="BK78" i="5" s="1"/>
  <c r="BP77" i="5"/>
  <c r="BL78" i="5" a="1"/>
  <c r="BL78" i="5" s="1"/>
  <c r="DJ77" i="5"/>
  <c r="BN77" i="5"/>
  <c r="BM78" i="5" a="1"/>
  <c r="BM78" i="5" s="1"/>
  <c r="BJ77" i="5"/>
  <c r="BN78" i="5" a="1"/>
  <c r="BN78" i="5" s="1"/>
  <c r="DF77" i="5"/>
  <c r="BO77" i="5"/>
  <c r="BK77" i="5"/>
  <c r="BP78" i="5" a="1"/>
  <c r="BP78" i="5" s="1"/>
  <c r="BL77" i="5"/>
  <c r="BJ78" i="5" a="1"/>
  <c r="BJ78" i="5" s="1"/>
  <c r="DF78" i="5" a="1"/>
  <c r="DF78" i="5" s="1"/>
  <c r="DJ78" i="5" a="1"/>
  <c r="DJ78" i="5" s="1"/>
  <c r="DE78" i="5" a="1"/>
  <c r="DE78" i="5" s="1"/>
  <c r="DK78" i="5" a="1"/>
  <c r="DK78" i="5" s="1"/>
  <c r="DG78" i="5" a="1"/>
  <c r="DG78" i="5" s="1"/>
  <c r="DI78" i="5" a="1"/>
  <c r="DI78" i="5" s="1"/>
  <c r="DH78" i="5" a="1"/>
  <c r="DH78" i="5" s="1"/>
  <c r="CQ50" i="15"/>
  <c r="CV50" i="15"/>
  <c r="CT51" i="15" a="1"/>
  <c r="CT51" i="15" s="1"/>
  <c r="CS50" i="15"/>
  <c r="CS51" i="15" a="1"/>
  <c r="CS51" i="15" s="1"/>
  <c r="CR50" i="15"/>
  <c r="CQ51" i="15" a="1"/>
  <c r="CQ51" i="15" s="1"/>
  <c r="CV51" i="15" a="1"/>
  <c r="CV51" i="15" s="1"/>
  <c r="CU50" i="15"/>
  <c r="CT50" i="15"/>
  <c r="CU51" i="15" a="1"/>
  <c r="CU51" i="15" s="1"/>
  <c r="CR51" i="15" a="1"/>
  <c r="CR51" i="15" s="1"/>
  <c r="CS74" i="15"/>
  <c r="CU74" i="15"/>
  <c r="CV74" i="15"/>
  <c r="CQ74" i="15"/>
  <c r="CR74" i="15"/>
  <c r="CT74" i="15"/>
  <c r="CS75" i="15" a="1"/>
  <c r="CS75" i="15" s="1"/>
  <c r="CR75" i="15" a="1"/>
  <c r="CR75" i="15" s="1"/>
  <c r="CQ75" i="15" a="1"/>
  <c r="CQ75" i="15" s="1"/>
  <c r="CV75" i="15" a="1"/>
  <c r="CV75" i="15" s="1"/>
  <c r="CT75" i="15" a="1"/>
  <c r="CT75" i="15" s="1"/>
  <c r="CU75" i="15" a="1"/>
  <c r="CU75" i="15" s="1"/>
  <c r="AV62" i="18"/>
  <c r="AW63" i="18"/>
  <c r="AW62" i="18"/>
  <c r="AX63" i="18"/>
  <c r="AX62" i="18"/>
  <c r="AY63" i="18"/>
  <c r="AY62" i="18"/>
  <c r="AZ63" i="18"/>
  <c r="AZ62" i="18"/>
  <c r="BA63" i="18"/>
  <c r="BA62" i="18"/>
  <c r="AU63" i="18"/>
  <c r="AU62" i="18"/>
  <c r="AV63" i="18"/>
  <c r="AV94" i="18"/>
  <c r="AW95" i="18"/>
  <c r="AW94" i="18"/>
  <c r="AX95" i="18"/>
  <c r="AX94" i="18"/>
  <c r="AY95" i="18"/>
  <c r="AY94" i="18"/>
  <c r="AZ95" i="18"/>
  <c r="AZ94" i="18"/>
  <c r="BA95" i="18"/>
  <c r="BA94" i="18"/>
  <c r="AU95" i="18"/>
  <c r="AU94" i="18"/>
  <c r="AV95" i="18"/>
  <c r="DJ68" i="5"/>
  <c r="BL68" i="5"/>
  <c r="BN69" i="5" a="1"/>
  <c r="BN69" i="5" s="1"/>
  <c r="DE68" i="5"/>
  <c r="BM68" i="5"/>
  <c r="BO69" i="5" a="1"/>
  <c r="BO69" i="5" s="1"/>
  <c r="DF68" i="5"/>
  <c r="DH68" i="5"/>
  <c r="BP68" i="5"/>
  <c r="BM69" i="5" a="1"/>
  <c r="BM69" i="5" s="1"/>
  <c r="BP69" i="5" a="1"/>
  <c r="BP69" i="5" s="1"/>
  <c r="BK69" i="5" a="1"/>
  <c r="BK69" i="5" s="1"/>
  <c r="BJ68" i="5"/>
  <c r="BK68" i="5"/>
  <c r="DK68" i="5"/>
  <c r="BL69" i="5" a="1"/>
  <c r="BL69" i="5" s="1"/>
  <c r="DG68" i="5"/>
  <c r="BN68" i="5"/>
  <c r="BO68" i="5"/>
  <c r="DI68" i="5"/>
  <c r="BJ69" i="5" a="1"/>
  <c r="BJ69" i="5" s="1"/>
  <c r="DG69" i="5" a="1"/>
  <c r="DG69" i="5" s="1"/>
  <c r="DJ69" i="5" a="1"/>
  <c r="DJ69" i="5" s="1"/>
  <c r="DF69" i="5" a="1"/>
  <c r="DF69" i="5" s="1"/>
  <c r="DI69" i="5" a="1"/>
  <c r="DI69" i="5" s="1"/>
  <c r="DE69" i="5" a="1"/>
  <c r="DE69" i="5" s="1"/>
  <c r="DH69" i="5" a="1"/>
  <c r="DH69" i="5" s="1"/>
  <c r="DK69" i="5" a="1"/>
  <c r="DK69" i="5" s="1"/>
  <c r="BK57" i="5"/>
  <c r="BM58" i="5" a="1"/>
  <c r="BM58" i="5" s="1"/>
  <c r="BL57" i="5"/>
  <c r="BN58" i="5" a="1"/>
  <c r="BN58" i="5" s="1"/>
  <c r="BO57" i="5"/>
  <c r="BO58" i="5" a="1"/>
  <c r="BO58" i="5" s="1"/>
  <c r="BP58" i="5" a="1"/>
  <c r="BP58" i="5" s="1"/>
  <c r="BJ57" i="5"/>
  <c r="BM57" i="5"/>
  <c r="BK58" i="5" a="1"/>
  <c r="BK58" i="5" s="1"/>
  <c r="BN57" i="5"/>
  <c r="BP57" i="5"/>
  <c r="BL58" i="5" a="1"/>
  <c r="BL58" i="5" s="1"/>
  <c r="BJ58" i="5" a="1"/>
  <c r="BJ58" i="5" s="1"/>
  <c r="DJ58" i="5" a="1"/>
  <c r="DJ58" i="5" s="1"/>
  <c r="DJ57" i="5"/>
  <c r="DF57" i="5"/>
  <c r="DH57" i="5"/>
  <c r="DK57" i="5"/>
  <c r="DG58" i="5" a="1"/>
  <c r="DG58" i="5" s="1"/>
  <c r="DI57" i="5"/>
  <c r="DK58" i="5" a="1"/>
  <c r="DK58" i="5" s="1"/>
  <c r="DE58" i="5" a="1"/>
  <c r="DE58" i="5" s="1"/>
  <c r="DF58" i="5" a="1"/>
  <c r="DF58" i="5" s="1"/>
  <c r="DH58" i="5" a="1"/>
  <c r="DH58" i="5" s="1"/>
  <c r="DE57" i="5"/>
  <c r="DG57" i="5"/>
  <c r="DI58" i="5" a="1"/>
  <c r="DI58" i="5" s="1"/>
  <c r="DF80" i="5"/>
  <c r="DH80" i="5"/>
  <c r="BP80" i="5"/>
  <c r="DI80" i="5"/>
  <c r="DJ80" i="5"/>
  <c r="BL80" i="5"/>
  <c r="BN81" i="5" a="1"/>
  <c r="BN81" i="5" s="1"/>
  <c r="DG80" i="5"/>
  <c r="BN80" i="5"/>
  <c r="DK80" i="5"/>
  <c r="BO80" i="5"/>
  <c r="BJ80" i="5"/>
  <c r="BO81" i="5" a="1"/>
  <c r="BO81" i="5" s="1"/>
  <c r="BK81" i="5" a="1"/>
  <c r="BK81" i="5" s="1"/>
  <c r="BL81" i="5" a="1"/>
  <c r="BL81" i="5" s="1"/>
  <c r="BK80" i="5"/>
  <c r="DE80" i="5"/>
  <c r="BM80" i="5"/>
  <c r="BM81" i="5" a="1"/>
  <c r="BM81" i="5" s="1"/>
  <c r="BP81" i="5" a="1"/>
  <c r="BP81" i="5" s="1"/>
  <c r="BJ81" i="5" a="1"/>
  <c r="BJ81" i="5" s="1"/>
  <c r="DF81" i="5" a="1"/>
  <c r="DF81" i="5" s="1"/>
  <c r="DG81" i="5" a="1"/>
  <c r="DG81" i="5" s="1"/>
  <c r="DJ81" i="5" a="1"/>
  <c r="DJ81" i="5" s="1"/>
  <c r="DK81" i="5" a="1"/>
  <c r="DK81" i="5" s="1"/>
  <c r="DI81" i="5" a="1"/>
  <c r="DI81" i="5" s="1"/>
  <c r="DH81" i="5" a="1"/>
  <c r="DH81" i="5" s="1"/>
  <c r="DE81" i="5" a="1"/>
  <c r="DE81" i="5" s="1"/>
  <c r="CU53" i="15"/>
  <c r="CR54" i="15" a="1"/>
  <c r="CR54" i="15" s="1"/>
  <c r="CV54" i="15" a="1"/>
  <c r="CV54" i="15" s="1"/>
  <c r="CT54" i="15" a="1"/>
  <c r="CT54" i="15" s="1"/>
  <c r="CV53" i="15"/>
  <c r="CU54" i="15" a="1"/>
  <c r="CU54" i="15" s="1"/>
  <c r="CQ53" i="15"/>
  <c r="CT53" i="15"/>
  <c r="CQ54" i="15" a="1"/>
  <c r="CQ54" i="15" s="1"/>
  <c r="CS53" i="15"/>
  <c r="CS54" i="15" a="1"/>
  <c r="CS54" i="15" s="1"/>
  <c r="CR53" i="15"/>
  <c r="CU77" i="15"/>
  <c r="CQ77" i="15"/>
  <c r="CS77" i="15"/>
  <c r="CT77" i="15"/>
  <c r="CV77" i="15"/>
  <c r="CR77" i="15"/>
  <c r="CS78" i="15" a="1"/>
  <c r="CS78" i="15" s="1"/>
  <c r="CU78" i="15" a="1"/>
  <c r="CU78" i="15" s="1"/>
  <c r="CT78" i="15" a="1"/>
  <c r="CT78" i="15" s="1"/>
  <c r="CQ78" i="15" a="1"/>
  <c r="CQ78" i="15" s="1"/>
  <c r="CR78" i="15" a="1"/>
  <c r="CR78" i="15" s="1"/>
  <c r="CV78" i="15" a="1"/>
  <c r="CV78" i="15" s="1"/>
  <c r="AL66" i="18"/>
  <c r="AX66" i="18"/>
  <c r="AY67" i="18"/>
  <c r="AY66" i="18"/>
  <c r="AZ67" i="18"/>
  <c r="AZ66" i="18"/>
  <c r="BA67" i="18"/>
  <c r="BA66" i="18"/>
  <c r="AU67" i="18"/>
  <c r="AU66" i="18"/>
  <c r="AV67" i="18"/>
  <c r="AV66" i="18"/>
  <c r="AW67" i="18"/>
  <c r="AW66" i="18"/>
  <c r="AX67" i="18"/>
  <c r="CS35" i="15"/>
  <c r="CT35" i="15"/>
  <c r="CU36" i="15" a="1"/>
  <c r="CU36" i="15" s="1"/>
  <c r="CS36" i="15" a="1"/>
  <c r="CS36" i="15" s="1"/>
  <c r="CU35" i="15"/>
  <c r="CT36" i="15" a="1"/>
  <c r="CT36" i="15" s="1"/>
  <c r="CR36" i="15" a="1"/>
  <c r="CR36" i="15" s="1"/>
  <c r="CV35" i="15"/>
  <c r="CR35" i="15"/>
  <c r="CQ35" i="15"/>
  <c r="CV36" i="15" a="1"/>
  <c r="CV36" i="15" s="1"/>
  <c r="CQ36" i="15" a="1"/>
  <c r="CQ36" i="15" s="1"/>
  <c r="CV41" i="15"/>
  <c r="CU42" i="15" a="1"/>
  <c r="CU42" i="15" s="1"/>
  <c r="CQ41" i="15"/>
  <c r="CR42" i="15" a="1"/>
  <c r="CR42" i="15" s="1"/>
  <c r="CU41" i="15"/>
  <c r="CR41" i="15"/>
  <c r="CS41" i="15"/>
  <c r="CS42" i="15" a="1"/>
  <c r="CS42" i="15" s="1"/>
  <c r="CQ42" i="15" a="1"/>
  <c r="CQ42" i="15" s="1"/>
  <c r="CT42" i="15" a="1"/>
  <c r="CT42" i="15" s="1"/>
  <c r="CV42" i="15" a="1"/>
  <c r="CV42" i="15" s="1"/>
  <c r="CT41" i="15"/>
  <c r="BN62" i="5"/>
  <c r="BP63" i="5" a="1"/>
  <c r="BP63" i="5" s="1"/>
  <c r="BO62" i="5"/>
  <c r="BJ62" i="5"/>
  <c r="BL63" i="5" a="1"/>
  <c r="BL63" i="5" s="1"/>
  <c r="BN63" i="5" a="1"/>
  <c r="BN63" i="5" s="1"/>
  <c r="BO63" i="5" a="1"/>
  <c r="BO63" i="5" s="1"/>
  <c r="BP62" i="5"/>
  <c r="BK62" i="5"/>
  <c r="BL62" i="5"/>
  <c r="BM63" i="5" a="1"/>
  <c r="BM63" i="5" s="1"/>
  <c r="BM62" i="5"/>
  <c r="BK63" i="5" a="1"/>
  <c r="BK63" i="5" s="1"/>
  <c r="BJ63" i="5" a="1"/>
  <c r="BJ63" i="5" s="1"/>
  <c r="DG63" i="5" a="1"/>
  <c r="DG63" i="5" s="1"/>
  <c r="DF63" i="5" a="1"/>
  <c r="DF63" i="5" s="1"/>
  <c r="DI63" i="5" a="1"/>
  <c r="DI63" i="5" s="1"/>
  <c r="DG62" i="5"/>
  <c r="DI62" i="5"/>
  <c r="DH63" i="5" a="1"/>
  <c r="DH63" i="5" s="1"/>
  <c r="DJ62" i="5"/>
  <c r="DE63" i="5" a="1"/>
  <c r="DE63" i="5" s="1"/>
  <c r="DE62" i="5"/>
  <c r="DF62" i="5"/>
  <c r="DK63" i="5" a="1"/>
  <c r="DK63" i="5" s="1"/>
  <c r="DK62" i="5"/>
  <c r="DH62" i="5"/>
  <c r="DJ63" i="5" a="1"/>
  <c r="DJ63" i="5" s="1"/>
  <c r="DG83" i="5"/>
  <c r="DI83" i="5"/>
  <c r="BK83" i="5"/>
  <c r="BM84" i="5" a="1"/>
  <c r="BM84" i="5" s="1"/>
  <c r="DJ83" i="5"/>
  <c r="DK83" i="5"/>
  <c r="DE83" i="5"/>
  <c r="BL83" i="5"/>
  <c r="BO84" i="5" a="1"/>
  <c r="BO84" i="5" s="1"/>
  <c r="BP84" i="5" a="1"/>
  <c r="BP84" i="5" s="1"/>
  <c r="BM83" i="5"/>
  <c r="BL84" i="5" a="1"/>
  <c r="BL84" i="5" s="1"/>
  <c r="DF83" i="5"/>
  <c r="BN83" i="5"/>
  <c r="BO83" i="5"/>
  <c r="BJ83" i="5"/>
  <c r="BN84" i="5" a="1"/>
  <c r="BN84" i="5" s="1"/>
  <c r="DH83" i="5"/>
  <c r="BP83" i="5"/>
  <c r="BK84" i="5" a="1"/>
  <c r="BK84" i="5" s="1"/>
  <c r="BJ84" i="5" a="1"/>
  <c r="BJ84" i="5" s="1"/>
  <c r="DK84" i="5" a="1"/>
  <c r="DK84" i="5" s="1"/>
  <c r="DE84" i="5" a="1"/>
  <c r="DE84" i="5" s="1"/>
  <c r="DH84" i="5" a="1"/>
  <c r="DH84" i="5" s="1"/>
  <c r="DG84" i="5" a="1"/>
  <c r="DG84" i="5" s="1"/>
  <c r="DJ84" i="5" a="1"/>
  <c r="DJ84" i="5" s="1"/>
  <c r="DF84" i="5" a="1"/>
  <c r="DF84" i="5" s="1"/>
  <c r="DI84" i="5" a="1"/>
  <c r="DI84" i="5" s="1"/>
  <c r="CT32" i="15"/>
  <c r="CR33" i="15" a="1"/>
  <c r="CR33" i="15" s="1"/>
  <c r="CS33" i="15" a="1"/>
  <c r="CS33" i="15" s="1"/>
  <c r="CU32" i="15"/>
  <c r="CV32" i="15"/>
  <c r="CR32" i="15"/>
  <c r="CS32" i="15"/>
  <c r="CU33" i="15" a="1"/>
  <c r="CU33" i="15" s="1"/>
  <c r="CQ33" i="15" a="1"/>
  <c r="CQ33" i="15" s="1"/>
  <c r="CQ32" i="15"/>
  <c r="CT33" i="15" a="1"/>
  <c r="CT33" i="15" s="1"/>
  <c r="CV33" i="15" a="1"/>
  <c r="CV33" i="15" s="1"/>
  <c r="CT56" i="15"/>
  <c r="CR57" i="15" a="1"/>
  <c r="CR57" i="15" s="1"/>
  <c r="CU57" i="15" a="1"/>
  <c r="CU57" i="15" s="1"/>
  <c r="CV56" i="15"/>
  <c r="CS56" i="15"/>
  <c r="CQ56" i="15"/>
  <c r="CR56" i="15"/>
  <c r="CT57" i="15" a="1"/>
  <c r="CT57" i="15" s="1"/>
  <c r="CU56" i="15"/>
  <c r="CS57" i="15" a="1"/>
  <c r="CS57" i="15" s="1"/>
  <c r="CQ57" i="15" a="1"/>
  <c r="CQ57" i="15" s="1"/>
  <c r="CV57" i="15" a="1"/>
  <c r="CV57" i="15" s="1"/>
  <c r="AZ38" i="18"/>
  <c r="BA39" i="18"/>
  <c r="BA38" i="18"/>
  <c r="AU39" i="18"/>
  <c r="AU38" i="18"/>
  <c r="AV39" i="18"/>
  <c r="AV38" i="18"/>
  <c r="AW39" i="18"/>
  <c r="AW38" i="18"/>
  <c r="AX39" i="18"/>
  <c r="AX38" i="18"/>
  <c r="AY39" i="18"/>
  <c r="AY38" i="18"/>
  <c r="AZ39" i="18"/>
  <c r="AZ70" i="18"/>
  <c r="BA71" i="18"/>
  <c r="BA70" i="18"/>
  <c r="AU71" i="18"/>
  <c r="AU70" i="18"/>
  <c r="AV71" i="18"/>
  <c r="AV70" i="18"/>
  <c r="AW71" i="18"/>
  <c r="AW70" i="18"/>
  <c r="AX71" i="18"/>
  <c r="AX70" i="18"/>
  <c r="AY71" i="18"/>
  <c r="AY70" i="18"/>
  <c r="AZ71" i="18"/>
  <c r="AL46" i="18"/>
  <c r="AL47" i="18"/>
  <c r="AL50" i="18"/>
  <c r="AL51" i="18"/>
  <c r="AL34" i="18"/>
  <c r="AL35" i="18"/>
  <c r="AL42" i="18"/>
  <c r="AL43" i="18"/>
  <c r="AL58" i="18"/>
  <c r="AL59" i="18"/>
  <c r="AL62" i="18"/>
  <c r="AL63" i="18"/>
  <c r="AL38" i="18"/>
  <c r="AL39" i="18"/>
  <c r="AL54" i="18"/>
  <c r="AL55" i="18"/>
  <c r="BA32" i="15"/>
  <c r="AY33" i="15" a="1"/>
  <c r="AY33" i="15" s="1"/>
  <c r="BB33" i="15" a="1"/>
  <c r="BB33" i="15" s="1"/>
  <c r="AX32" i="15"/>
  <c r="BB32" i="15"/>
  <c r="BC33" i="15" a="1"/>
  <c r="BC33" i="15" s="1"/>
  <c r="AY32" i="15"/>
  <c r="BC32" i="15"/>
  <c r="AZ33" i="15" a="1"/>
  <c r="AZ33" i="15" s="1"/>
  <c r="AZ32" i="15"/>
  <c r="AX33" i="15" a="1"/>
  <c r="AX33" i="15" s="1"/>
  <c r="BA33" i="15" a="1"/>
  <c r="BA33" i="15" s="1"/>
  <c r="BA44" i="15"/>
  <c r="AY45" i="15" a="1"/>
  <c r="AY45" i="15" s="1"/>
  <c r="BB45" i="15" a="1"/>
  <c r="BB45" i="15" s="1"/>
  <c r="AX44" i="15"/>
  <c r="BB44" i="15"/>
  <c r="BC45" i="15" a="1"/>
  <c r="BC45" i="15" s="1"/>
  <c r="AY44" i="15"/>
  <c r="BC44" i="15"/>
  <c r="AZ45" i="15" a="1"/>
  <c r="AZ45" i="15" s="1"/>
  <c r="AZ44" i="15"/>
  <c r="AX45" i="15" a="1"/>
  <c r="AX45" i="15" s="1"/>
  <c r="BA45" i="15" a="1"/>
  <c r="BA45" i="15" s="1"/>
  <c r="BA56" i="15"/>
  <c r="AY57" i="15" a="1"/>
  <c r="AY57" i="15" s="1"/>
  <c r="BB57" i="15" a="1"/>
  <c r="BB57" i="15" s="1"/>
  <c r="AX56" i="15"/>
  <c r="AY56" i="15"/>
  <c r="BC56" i="15"/>
  <c r="AZ57" i="15" a="1"/>
  <c r="AZ57" i="15" s="1"/>
  <c r="AX57" i="15" a="1"/>
  <c r="AX57" i="15" s="1"/>
  <c r="AZ56" i="15"/>
  <c r="BA57" i="15" a="1"/>
  <c r="BA57" i="15" s="1"/>
  <c r="BB56" i="15"/>
  <c r="BC57" i="15" a="1"/>
  <c r="BC57" i="15" s="1"/>
  <c r="BA68" i="15"/>
  <c r="AY69" i="15" a="1"/>
  <c r="AY69" i="15" s="1"/>
  <c r="BB69" i="15" a="1"/>
  <c r="BB69" i="15" s="1"/>
  <c r="AY68" i="15"/>
  <c r="BC68" i="15"/>
  <c r="AZ69" i="15" a="1"/>
  <c r="AZ69" i="15" s="1"/>
  <c r="AX69" i="15" a="1"/>
  <c r="AX69" i="15" s="1"/>
  <c r="AX68" i="15"/>
  <c r="AZ68" i="15"/>
  <c r="BA69" i="15" a="1"/>
  <c r="BA69" i="15" s="1"/>
  <c r="BB68" i="15"/>
  <c r="BC69" i="15" a="1"/>
  <c r="BC69" i="15" s="1"/>
  <c r="AY35" i="15"/>
  <c r="BC35" i="15"/>
  <c r="AZ36" i="15" a="1"/>
  <c r="AZ36" i="15" s="1"/>
  <c r="BC36" i="15" a="1"/>
  <c r="BC36" i="15" s="1"/>
  <c r="AZ35" i="15"/>
  <c r="AX36" i="15" a="1"/>
  <c r="AX36" i="15" s="1"/>
  <c r="BA36" i="15" a="1"/>
  <c r="BA36" i="15" s="1"/>
  <c r="BA35" i="15"/>
  <c r="BB36" i="15" a="1"/>
  <c r="BB36" i="15" s="1"/>
  <c r="AX35" i="15"/>
  <c r="BB35" i="15"/>
  <c r="AY36" i="15" a="1"/>
  <c r="AY36" i="15" s="1"/>
  <c r="AY47" i="15"/>
  <c r="BC47" i="15"/>
  <c r="AZ48" i="15" a="1"/>
  <c r="AZ48" i="15" s="1"/>
  <c r="BC48" i="15" a="1"/>
  <c r="BC48" i="15" s="1"/>
  <c r="AZ47" i="15"/>
  <c r="AX48" i="15" a="1"/>
  <c r="AX48" i="15" s="1"/>
  <c r="BA48" i="15" a="1"/>
  <c r="BA48" i="15" s="1"/>
  <c r="BA47" i="15"/>
  <c r="BB48" i="15" a="1"/>
  <c r="BB48" i="15" s="1"/>
  <c r="AX47" i="15"/>
  <c r="BB47" i="15"/>
  <c r="AY48" i="15" a="1"/>
  <c r="AY48" i="15" s="1"/>
  <c r="AY59" i="15"/>
  <c r="BC59" i="15"/>
  <c r="AZ60" i="15" a="1"/>
  <c r="AZ60" i="15" s="1"/>
  <c r="BC60" i="15" a="1"/>
  <c r="BC60" i="15" s="1"/>
  <c r="BA59" i="15"/>
  <c r="BB60" i="15" a="1"/>
  <c r="BB60" i="15" s="1"/>
  <c r="AX59" i="15"/>
  <c r="AY60" i="15" a="1"/>
  <c r="AY60" i="15" s="1"/>
  <c r="AZ59" i="15"/>
  <c r="BA60" i="15" a="1"/>
  <c r="BA60" i="15" s="1"/>
  <c r="BB59" i="15"/>
  <c r="AX60" i="15" a="1"/>
  <c r="AX60" i="15" s="1"/>
  <c r="AY71" i="15"/>
  <c r="BC71" i="15"/>
  <c r="AZ72" i="15" a="1"/>
  <c r="AZ72" i="15" s="1"/>
  <c r="BC72" i="15" a="1"/>
  <c r="BC72" i="15" s="1"/>
  <c r="BA71" i="15"/>
  <c r="BB72" i="15" a="1"/>
  <c r="BB72" i="15" s="1"/>
  <c r="AX71" i="15"/>
  <c r="AY72" i="15" a="1"/>
  <c r="AY72" i="15" s="1"/>
  <c r="AZ71" i="15"/>
  <c r="BA72" i="15" a="1"/>
  <c r="BA72" i="15" s="1"/>
  <c r="BB71" i="15"/>
  <c r="AX72" i="15" a="1"/>
  <c r="AX72" i="15" s="1"/>
  <c r="BA38" i="15"/>
  <c r="AY39" i="15" a="1"/>
  <c r="AY39" i="15" s="1"/>
  <c r="BB39" i="15" a="1"/>
  <c r="BB39" i="15" s="1"/>
  <c r="AX38" i="15"/>
  <c r="BB38" i="15"/>
  <c r="BC39" i="15" a="1"/>
  <c r="BC39" i="15" s="1"/>
  <c r="AY38" i="15"/>
  <c r="BC38" i="15"/>
  <c r="AZ39" i="15" a="1"/>
  <c r="AZ39" i="15" s="1"/>
  <c r="AZ38" i="15"/>
  <c r="AX39" i="15" a="1"/>
  <c r="AX39" i="15" s="1"/>
  <c r="BA39" i="15" a="1"/>
  <c r="BA39" i="15" s="1"/>
  <c r="BA50" i="15"/>
  <c r="AY51" i="15" a="1"/>
  <c r="AY51" i="15" s="1"/>
  <c r="BB51" i="15" a="1"/>
  <c r="BB51" i="15" s="1"/>
  <c r="AX50" i="15"/>
  <c r="BB50" i="15"/>
  <c r="BC51" i="15" a="1"/>
  <c r="BC51" i="15" s="1"/>
  <c r="AY50" i="15"/>
  <c r="BC50" i="15"/>
  <c r="AZ51" i="15" a="1"/>
  <c r="AZ51" i="15" s="1"/>
  <c r="AZ50" i="15"/>
  <c r="AX51" i="15" a="1"/>
  <c r="AX51" i="15" s="1"/>
  <c r="BA51" i="15" a="1"/>
  <c r="BA51" i="15" s="1"/>
  <c r="BA62" i="15"/>
  <c r="AY63" i="15" a="1"/>
  <c r="AY63" i="15" s="1"/>
  <c r="BB63" i="15" a="1"/>
  <c r="BB63" i="15" s="1"/>
  <c r="AY62" i="15"/>
  <c r="BC62" i="15"/>
  <c r="AZ63" i="15" a="1"/>
  <c r="AZ63" i="15" s="1"/>
  <c r="AZ62" i="15"/>
  <c r="BA63" i="15" a="1"/>
  <c r="BA63" i="15" s="1"/>
  <c r="BB62" i="15"/>
  <c r="BC63" i="15" a="1"/>
  <c r="BC63" i="15" s="1"/>
  <c r="AX63" i="15" a="1"/>
  <c r="AX63" i="15" s="1"/>
  <c r="AX62" i="15"/>
  <c r="BA74" i="15"/>
  <c r="AY75" i="15" a="1"/>
  <c r="AY75" i="15" s="1"/>
  <c r="BB75" i="15" a="1"/>
  <c r="BB75" i="15" s="1"/>
  <c r="AY74" i="15"/>
  <c r="BC74" i="15"/>
  <c r="AZ75" i="15" a="1"/>
  <c r="AZ75" i="15" s="1"/>
  <c r="AZ74" i="15"/>
  <c r="BA75" i="15" a="1"/>
  <c r="BA75" i="15" s="1"/>
  <c r="BB74" i="15"/>
  <c r="BC75" i="15" a="1"/>
  <c r="BC75" i="15" s="1"/>
  <c r="AX75" i="15" a="1"/>
  <c r="AX75" i="15" s="1"/>
  <c r="AX74" i="15"/>
  <c r="AY41" i="15"/>
  <c r="BC41" i="15"/>
  <c r="AZ42" i="15" a="1"/>
  <c r="AZ42" i="15" s="1"/>
  <c r="BC42" i="15" a="1"/>
  <c r="BC42" i="15" s="1"/>
  <c r="AZ41" i="15"/>
  <c r="AX42" i="15" a="1"/>
  <c r="AX42" i="15" s="1"/>
  <c r="BA42" i="15" a="1"/>
  <c r="BA42" i="15" s="1"/>
  <c r="BA41" i="15"/>
  <c r="BB42" i="15" a="1"/>
  <c r="BB42" i="15" s="1"/>
  <c r="AX41" i="15"/>
  <c r="BB41" i="15"/>
  <c r="AY42" i="15" a="1"/>
  <c r="AY42" i="15" s="1"/>
  <c r="AY53" i="15"/>
  <c r="BC53" i="15"/>
  <c r="AZ54" i="15" a="1"/>
  <c r="AZ54" i="15" s="1"/>
  <c r="BC54" i="15" a="1"/>
  <c r="BC54" i="15" s="1"/>
  <c r="AZ53" i="15"/>
  <c r="AX54" i="15" a="1"/>
  <c r="AX54" i="15" s="1"/>
  <c r="BA54" i="15" a="1"/>
  <c r="BA54" i="15" s="1"/>
  <c r="BA53" i="15"/>
  <c r="BB54" i="15" a="1"/>
  <c r="BB54" i="15" s="1"/>
  <c r="AX53" i="15"/>
  <c r="BB53" i="15"/>
  <c r="AY54" i="15" a="1"/>
  <c r="AY54" i="15" s="1"/>
  <c r="AY65" i="15"/>
  <c r="BC65" i="15"/>
  <c r="AZ66" i="15" a="1"/>
  <c r="AZ66" i="15" s="1"/>
  <c r="BC66" i="15" a="1"/>
  <c r="BC66" i="15" s="1"/>
  <c r="BA65" i="15"/>
  <c r="BB66" i="15" a="1"/>
  <c r="BB66" i="15" s="1"/>
  <c r="BB65" i="15"/>
  <c r="AX66" i="15" a="1"/>
  <c r="AX66" i="15" s="1"/>
  <c r="AX65" i="15"/>
  <c r="AY66" i="15" a="1"/>
  <c r="AY66" i="15" s="1"/>
  <c r="AZ65" i="15"/>
  <c r="BA66" i="15" a="1"/>
  <c r="BA66" i="15" s="1"/>
  <c r="AY77" i="15"/>
  <c r="BC77" i="15"/>
  <c r="AZ78" i="15" a="1"/>
  <c r="AZ78" i="15" s="1"/>
  <c r="BC78" i="15" a="1"/>
  <c r="BC78" i="15" s="1"/>
  <c r="BA77" i="15"/>
  <c r="BB78" i="15" a="1"/>
  <c r="BB78" i="15" s="1"/>
  <c r="BB77" i="15"/>
  <c r="AX78" i="15" a="1"/>
  <c r="AX78" i="15" s="1"/>
  <c r="AX77" i="15"/>
  <c r="AY78" i="15" a="1"/>
  <c r="AY78" i="15" s="1"/>
  <c r="AZ77" i="15"/>
  <c r="BA78" i="15" a="1"/>
  <c r="BA78" i="15" s="1"/>
  <c r="T46" i="5"/>
  <c r="T47" i="5" a="1"/>
  <c r="T47" i="5" s="1"/>
  <c r="T62" i="5"/>
  <c r="T63" i="5" a="1"/>
  <c r="T63" i="5" s="1"/>
  <c r="T71" i="5"/>
  <c r="T72" i="5" a="1"/>
  <c r="T72" i="5" s="1"/>
  <c r="T83" i="5"/>
  <c r="T84" i="5" a="1"/>
  <c r="T84" i="5" s="1"/>
  <c r="T42" i="5" a="1"/>
  <c r="T42" i="5" s="1"/>
  <c r="T41" i="5"/>
  <c r="T57" i="5"/>
  <c r="T58" i="5" a="1"/>
  <c r="T58" i="5" s="1"/>
  <c r="T80" i="5"/>
  <c r="T81" i="5" a="1"/>
  <c r="T81" i="5" s="1"/>
  <c r="T32" i="5"/>
  <c r="T33" i="5" a="1"/>
  <c r="T33" i="5" s="1"/>
  <c r="T50" i="5" a="1"/>
  <c r="T50" i="5" s="1"/>
  <c r="T49" i="5"/>
  <c r="T66" i="5" a="1"/>
  <c r="T66" i="5" s="1"/>
  <c r="T65" i="5"/>
  <c r="T74" i="5"/>
  <c r="T75" i="5" a="1"/>
  <c r="T75" i="5" s="1"/>
  <c r="T68" i="5"/>
  <c r="T69" i="5" a="1"/>
  <c r="T69" i="5" s="1"/>
  <c r="T39" i="5" a="1"/>
  <c r="T39" i="5" s="1"/>
  <c r="T38" i="5"/>
  <c r="T55" i="5" a="1"/>
  <c r="T55" i="5" s="1"/>
  <c r="T54" i="5"/>
  <c r="T78" i="5" a="1"/>
  <c r="T78" i="5" s="1"/>
  <c r="T77" i="5"/>
  <c r="P47" i="5" a="1"/>
  <c r="P47" i="5" s="1"/>
  <c r="P46" i="5"/>
  <c r="U46" i="5"/>
  <c r="U47" i="5" a="1"/>
  <c r="U47" i="5" s="1"/>
  <c r="N71" i="5"/>
  <c r="R71" i="5"/>
  <c r="P72" i="5" a="1"/>
  <c r="P72" i="5" s="1"/>
  <c r="O71" i="5"/>
  <c r="P71" i="5"/>
  <c r="U71" i="5"/>
  <c r="Q71" i="5"/>
  <c r="U72" i="5" a="1"/>
  <c r="U72" i="5" s="1"/>
  <c r="P33" i="5" a="1"/>
  <c r="P33" i="5" s="1"/>
  <c r="P32" i="5"/>
  <c r="U32" i="5"/>
  <c r="U33" i="5" a="1"/>
  <c r="U33" i="5" s="1"/>
  <c r="P50" i="5" a="1"/>
  <c r="P50" i="5" s="1"/>
  <c r="P49" i="5"/>
  <c r="U49" i="5"/>
  <c r="U50" i="5" a="1"/>
  <c r="U50" i="5" s="1"/>
  <c r="P65" i="5"/>
  <c r="U65" i="5"/>
  <c r="Q65" i="5"/>
  <c r="N65" i="5"/>
  <c r="R65" i="5"/>
  <c r="P66" i="5" a="1"/>
  <c r="P66" i="5" s="1"/>
  <c r="O65" i="5"/>
  <c r="U66" i="5" a="1"/>
  <c r="U66" i="5" s="1"/>
  <c r="O74" i="5"/>
  <c r="P74" i="5"/>
  <c r="U74" i="5"/>
  <c r="Q74" i="5"/>
  <c r="N74" i="5"/>
  <c r="R74" i="5"/>
  <c r="P75" i="5" a="1"/>
  <c r="P75" i="5" s="1"/>
  <c r="U75" i="5" a="1"/>
  <c r="U75" i="5" s="1"/>
  <c r="P41" i="5"/>
  <c r="U41" i="5"/>
  <c r="P42" i="5" a="1"/>
  <c r="P42" i="5" s="1"/>
  <c r="U42" i="5" a="1"/>
  <c r="U42" i="5" s="1"/>
  <c r="P58" i="5" a="1"/>
  <c r="P58" i="5" s="1"/>
  <c r="P57" i="5"/>
  <c r="U57" i="5"/>
  <c r="U58" i="5" a="1"/>
  <c r="U58" i="5" s="1"/>
  <c r="Q68" i="5"/>
  <c r="N68" i="5"/>
  <c r="R68" i="5"/>
  <c r="P69" i="5" a="1"/>
  <c r="P69" i="5" s="1"/>
  <c r="O68" i="5"/>
  <c r="P68" i="5"/>
  <c r="U68" i="5"/>
  <c r="U69" i="5" a="1"/>
  <c r="U69" i="5" s="1"/>
  <c r="Q80" i="5"/>
  <c r="N80" i="5"/>
  <c r="R80" i="5"/>
  <c r="P81" i="5" a="1"/>
  <c r="P81" i="5" s="1"/>
  <c r="O80" i="5"/>
  <c r="P80" i="5"/>
  <c r="U80" i="5"/>
  <c r="U81" i="5" a="1"/>
  <c r="U81" i="5" s="1"/>
  <c r="P62" i="5"/>
  <c r="U62" i="5"/>
  <c r="N62" i="5"/>
  <c r="P63" i="5" a="1"/>
  <c r="P63" i="5" s="1"/>
  <c r="U63" i="5" a="1"/>
  <c r="U63" i="5" s="1"/>
  <c r="N83" i="5"/>
  <c r="R83" i="5"/>
  <c r="P84" i="5" a="1"/>
  <c r="P84" i="5" s="1"/>
  <c r="O83" i="5"/>
  <c r="P83" i="5"/>
  <c r="U83" i="5"/>
  <c r="Q83" i="5"/>
  <c r="U84" i="5" a="1"/>
  <c r="U84" i="5" s="1"/>
  <c r="U38" i="5"/>
  <c r="P39" i="5" a="1"/>
  <c r="P39" i="5" s="1"/>
  <c r="P38" i="5"/>
  <c r="U39" i="5" a="1"/>
  <c r="U39" i="5" s="1"/>
  <c r="P77" i="5"/>
  <c r="U77" i="5"/>
  <c r="Q77" i="5"/>
  <c r="N77" i="5"/>
  <c r="R77" i="5"/>
  <c r="P78" i="5" a="1"/>
  <c r="P78" i="5" s="1"/>
  <c r="O77" i="5"/>
  <c r="U78" i="5" a="1"/>
  <c r="U78" i="5" s="1"/>
  <c r="BB31" i="16"/>
  <c r="BB32" i="16"/>
  <c r="BA31" i="16"/>
  <c r="BA32" i="16"/>
  <c r="P54" i="5"/>
  <c r="U54" i="5"/>
  <c r="P55" i="5" a="1"/>
  <c r="P55" i="5" s="1"/>
  <c r="U55" i="5" a="1"/>
  <c r="U55" i="5" s="1"/>
  <c r="I34" i="16"/>
  <c r="I55" i="16"/>
  <c r="I69" i="16"/>
  <c r="I97" i="16"/>
  <c r="I41" i="16"/>
  <c r="I48" i="16"/>
  <c r="I76" i="16"/>
  <c r="I62" i="16"/>
  <c r="I90" i="16"/>
  <c r="BX68" i="5"/>
  <c r="CB68" i="5"/>
  <c r="CF68" i="5"/>
  <c r="CJ68" i="5"/>
  <c r="CN68" i="5"/>
  <c r="CR68" i="5"/>
  <c r="CV68" i="5"/>
  <c r="CZ68" i="5"/>
  <c r="DD68" i="5"/>
  <c r="BV68" i="5"/>
  <c r="BZ68" i="5"/>
  <c r="CH68" i="5"/>
  <c r="CP68" i="5"/>
  <c r="CX68" i="5"/>
  <c r="BW68" i="5"/>
  <c r="CA68" i="5"/>
  <c r="CE68" i="5"/>
  <c r="CI68" i="5"/>
  <c r="CM68" i="5"/>
  <c r="CQ68" i="5"/>
  <c r="CU68" i="5"/>
  <c r="CY68" i="5"/>
  <c r="DC68" i="5"/>
  <c r="BU68" i="5"/>
  <c r="BY68" i="5"/>
  <c r="CC68" i="5"/>
  <c r="CG68" i="5"/>
  <c r="CK68" i="5"/>
  <c r="CO68" i="5"/>
  <c r="CS68" i="5"/>
  <c r="CW68" i="5"/>
  <c r="DA68" i="5"/>
  <c r="CD68" i="5"/>
  <c r="CL68" i="5"/>
  <c r="CT68" i="5"/>
  <c r="DB68" i="5"/>
  <c r="BU80" i="5"/>
  <c r="BY80" i="5"/>
  <c r="CC80" i="5"/>
  <c r="CG80" i="5"/>
  <c r="CK80" i="5"/>
  <c r="CO80" i="5"/>
  <c r="CS80" i="5"/>
  <c r="CW80" i="5"/>
  <c r="DA80" i="5"/>
  <c r="CY80" i="5"/>
  <c r="BV80" i="5"/>
  <c r="BZ80" i="5"/>
  <c r="CD80" i="5"/>
  <c r="CH80" i="5"/>
  <c r="CL80" i="5"/>
  <c r="CP80" i="5"/>
  <c r="CT80" i="5"/>
  <c r="CX80" i="5"/>
  <c r="DB80" i="5"/>
  <c r="BW80" i="5"/>
  <c r="CA80" i="5"/>
  <c r="CE80" i="5"/>
  <c r="CI80" i="5"/>
  <c r="CM80" i="5"/>
  <c r="CQ80" i="5"/>
  <c r="CU80" i="5"/>
  <c r="DC80" i="5"/>
  <c r="CJ80" i="5"/>
  <c r="CZ80" i="5"/>
  <c r="BX80" i="5"/>
  <c r="CN80" i="5"/>
  <c r="DD80" i="5"/>
  <c r="CB80" i="5"/>
  <c r="CR80" i="5"/>
  <c r="CF80" i="5"/>
  <c r="CV80" i="5"/>
  <c r="BV71" i="5"/>
  <c r="BZ71" i="5"/>
  <c r="CD71" i="5"/>
  <c r="CH71" i="5"/>
  <c r="CL71" i="5"/>
  <c r="CP71" i="5"/>
  <c r="CT71" i="5"/>
  <c r="CX71" i="5"/>
  <c r="DB71" i="5"/>
  <c r="DD71" i="5"/>
  <c r="BY71" i="5"/>
  <c r="CC71" i="5"/>
  <c r="CK71" i="5"/>
  <c r="CS71" i="5"/>
  <c r="DA71" i="5"/>
  <c r="BW71" i="5"/>
  <c r="CA71" i="5"/>
  <c r="CE71" i="5"/>
  <c r="CI71" i="5"/>
  <c r="CM71" i="5"/>
  <c r="CQ71" i="5"/>
  <c r="CU71" i="5"/>
  <c r="CY71" i="5"/>
  <c r="DC71" i="5"/>
  <c r="BX71" i="5"/>
  <c r="CB71" i="5"/>
  <c r="CF71" i="5"/>
  <c r="CJ71" i="5"/>
  <c r="CN71" i="5"/>
  <c r="CR71" i="5"/>
  <c r="CV71" i="5"/>
  <c r="CZ71" i="5"/>
  <c r="BU71" i="5"/>
  <c r="CG71" i="5"/>
  <c r="CO71" i="5"/>
  <c r="CW71" i="5"/>
  <c r="BX83" i="5"/>
  <c r="CB83" i="5"/>
  <c r="CF83" i="5"/>
  <c r="CJ83" i="5"/>
  <c r="CN83" i="5"/>
  <c r="CR83" i="5"/>
  <c r="CV83" i="5"/>
  <c r="CZ83" i="5"/>
  <c r="DD83" i="5"/>
  <c r="BZ83" i="5"/>
  <c r="CH83" i="5"/>
  <c r="CP83" i="5"/>
  <c r="CX83" i="5"/>
  <c r="BU83" i="5"/>
  <c r="BY83" i="5"/>
  <c r="CC83" i="5"/>
  <c r="CG83" i="5"/>
  <c r="CK83" i="5"/>
  <c r="CO83" i="5"/>
  <c r="CS83" i="5"/>
  <c r="CW83" i="5"/>
  <c r="DA83" i="5"/>
  <c r="BV83" i="5"/>
  <c r="CD83" i="5"/>
  <c r="CL83" i="5"/>
  <c r="CT83" i="5"/>
  <c r="DB83" i="5"/>
  <c r="CE83" i="5"/>
  <c r="CU83" i="5"/>
  <c r="CI83" i="5"/>
  <c r="CY83" i="5"/>
  <c r="BW83" i="5"/>
  <c r="CM83" i="5"/>
  <c r="CA83" i="5"/>
  <c r="CQ83" i="5"/>
  <c r="DC83" i="5"/>
  <c r="BV77" i="5"/>
  <c r="BZ77" i="5"/>
  <c r="CD77" i="5"/>
  <c r="CH77" i="5"/>
  <c r="CL77" i="5"/>
  <c r="CP77" i="5"/>
  <c r="CT77" i="5"/>
  <c r="CX77" i="5"/>
  <c r="DB77" i="5"/>
  <c r="BX77" i="5"/>
  <c r="CB77" i="5"/>
  <c r="CF77" i="5"/>
  <c r="CJ77" i="5"/>
  <c r="CN77" i="5"/>
  <c r="CR77" i="5"/>
  <c r="CV77" i="5"/>
  <c r="CZ77" i="5"/>
  <c r="BY77" i="5"/>
  <c r="CG77" i="5"/>
  <c r="CO77" i="5"/>
  <c r="CW77" i="5"/>
  <c r="BW77" i="5"/>
  <c r="CA77" i="5"/>
  <c r="CE77" i="5"/>
  <c r="CI77" i="5"/>
  <c r="CM77" i="5"/>
  <c r="CQ77" i="5"/>
  <c r="CU77" i="5"/>
  <c r="CY77" i="5"/>
  <c r="DC77" i="5"/>
  <c r="DD77" i="5"/>
  <c r="BU77" i="5"/>
  <c r="CC77" i="5"/>
  <c r="CK77" i="5"/>
  <c r="CS77" i="5"/>
  <c r="DA77" i="5"/>
  <c r="BX74" i="5"/>
  <c r="CB74" i="5"/>
  <c r="CF74" i="5"/>
  <c r="CJ74" i="5"/>
  <c r="CN74" i="5"/>
  <c r="CR74" i="5"/>
  <c r="CV74" i="5"/>
  <c r="CZ74" i="5"/>
  <c r="DD74" i="5"/>
  <c r="CD74" i="5"/>
  <c r="CL74" i="5"/>
  <c r="CT74" i="5"/>
  <c r="DB74" i="5"/>
  <c r="BW74" i="5"/>
  <c r="CE74" i="5"/>
  <c r="CM74" i="5"/>
  <c r="CU74" i="5"/>
  <c r="DC74" i="5"/>
  <c r="BU74" i="5"/>
  <c r="BY74" i="5"/>
  <c r="CC74" i="5"/>
  <c r="CG74" i="5"/>
  <c r="CK74" i="5"/>
  <c r="CO74" i="5"/>
  <c r="CS74" i="5"/>
  <c r="CW74" i="5"/>
  <c r="DA74" i="5"/>
  <c r="BV74" i="5"/>
  <c r="BZ74" i="5"/>
  <c r="CH74" i="5"/>
  <c r="CP74" i="5"/>
  <c r="CX74" i="5"/>
  <c r="CA74" i="5"/>
  <c r="CI74" i="5"/>
  <c r="CQ74" i="5"/>
  <c r="CY74" i="5"/>
  <c r="BQ30" i="15"/>
  <c r="BQ29" i="15"/>
  <c r="BI30" i="15"/>
  <c r="BI29" i="15"/>
  <c r="BT29" i="15"/>
  <c r="BT30" i="15"/>
  <c r="BP29" i="15"/>
  <c r="BP30" i="15"/>
  <c r="BH29" i="15"/>
  <c r="BH30" i="15"/>
  <c r="BR30" i="15"/>
  <c r="BR29" i="15"/>
  <c r="BN30" i="15"/>
  <c r="BN29" i="15"/>
  <c r="BJ29" i="15"/>
  <c r="BJ30" i="15"/>
  <c r="BF30" i="15"/>
  <c r="BF29" i="15"/>
  <c r="BM30" i="15"/>
  <c r="BM29" i="15"/>
  <c r="BL29" i="15"/>
  <c r="BL30" i="15"/>
  <c r="BS29" i="15"/>
  <c r="BS30" i="15"/>
  <c r="BO30" i="15"/>
  <c r="BO29" i="15"/>
  <c r="BK29" i="15"/>
  <c r="BK30" i="15"/>
  <c r="BG29" i="15"/>
  <c r="BG30" i="15"/>
  <c r="H54" i="18"/>
  <c r="BD35" i="5"/>
  <c r="BH35" i="5"/>
  <c r="BE36" i="5" a="1"/>
  <c r="BE36" i="5" s="1"/>
  <c r="BH36" i="5" a="1"/>
  <c r="BH36" i="5" s="1"/>
  <c r="BE35" i="5"/>
  <c r="BI35" i="5"/>
  <c r="BC36" i="5" a="1"/>
  <c r="BC36" i="5" s="1"/>
  <c r="BF36" i="5" a="1"/>
  <c r="BF36" i="5" s="1"/>
  <c r="BF35" i="5"/>
  <c r="BD36" i="5" a="1"/>
  <c r="BD36" i="5" s="1"/>
  <c r="BI36" i="5" a="1"/>
  <c r="BI36" i="5" s="1"/>
  <c r="BB36" i="5" a="1"/>
  <c r="BB36" i="5" s="1"/>
  <c r="BG35" i="5"/>
  <c r="BB35" i="5"/>
  <c r="BC35" i="5"/>
  <c r="BG36" i="5" a="1"/>
  <c r="BG36" i="5" s="1"/>
  <c r="BB49" i="5"/>
  <c r="BF49" i="5"/>
  <c r="BD50" i="5" a="1"/>
  <c r="BD50" i="5" s="1"/>
  <c r="BI50" i="5" a="1"/>
  <c r="BI50" i="5" s="1"/>
  <c r="BC49" i="5"/>
  <c r="BG49" i="5"/>
  <c r="BB50" i="5" a="1"/>
  <c r="BB50" i="5" s="1"/>
  <c r="BG50" i="5" a="1"/>
  <c r="BG50" i="5" s="1"/>
  <c r="BD49" i="5"/>
  <c r="BH50" i="5" a="1"/>
  <c r="BH50" i="5" s="1"/>
  <c r="BI49" i="5"/>
  <c r="BF50" i="5" a="1"/>
  <c r="BF50" i="5" s="1"/>
  <c r="BE49" i="5"/>
  <c r="BC50" i="5" a="1"/>
  <c r="BC50" i="5" s="1"/>
  <c r="BH49" i="5"/>
  <c r="BE50" i="5" a="1"/>
  <c r="BE50" i="5" s="1"/>
  <c r="BD65" i="5"/>
  <c r="BH65" i="5"/>
  <c r="BE66" i="5" a="1"/>
  <c r="BE66" i="5" s="1"/>
  <c r="BH66" i="5" a="1"/>
  <c r="BH66" i="5" s="1"/>
  <c r="BE65" i="5"/>
  <c r="BI65" i="5"/>
  <c r="BC66" i="5" a="1"/>
  <c r="BC66" i="5" s="1"/>
  <c r="BF66" i="5" a="1"/>
  <c r="BF66" i="5" s="1"/>
  <c r="BB65" i="5"/>
  <c r="BI66" i="5" a="1"/>
  <c r="BI66" i="5" s="1"/>
  <c r="BG65" i="5"/>
  <c r="BC65" i="5"/>
  <c r="BB66" i="5" a="1"/>
  <c r="BB66" i="5" s="1"/>
  <c r="BG66" i="5" a="1"/>
  <c r="BG66" i="5" s="1"/>
  <c r="BF65" i="5"/>
  <c r="BD66" i="5" a="1"/>
  <c r="BD66" i="5" s="1"/>
  <c r="BE74" i="5"/>
  <c r="BI74" i="5"/>
  <c r="BC75" i="5" a="1"/>
  <c r="BC75" i="5" s="1"/>
  <c r="BF75" i="5" a="1"/>
  <c r="BF75" i="5" s="1"/>
  <c r="BB74" i="5"/>
  <c r="BF74" i="5"/>
  <c r="BD75" i="5" a="1"/>
  <c r="BD75" i="5" s="1"/>
  <c r="BI75" i="5" a="1"/>
  <c r="BI75" i="5" s="1"/>
  <c r="BG74" i="5"/>
  <c r="BC74" i="5"/>
  <c r="BB75" i="5" a="1"/>
  <c r="BB75" i="5" s="1"/>
  <c r="BH74" i="5"/>
  <c r="BE75" i="5" a="1"/>
  <c r="BE75" i="5" s="1"/>
  <c r="BG75" i="5" a="1"/>
  <c r="BG75" i="5" s="1"/>
  <c r="BD74" i="5"/>
  <c r="BH75" i="5" a="1"/>
  <c r="BH75" i="5" s="1"/>
  <c r="BC54" i="5"/>
  <c r="BG54" i="5"/>
  <c r="BB55" i="5" a="1"/>
  <c r="BB55" i="5" s="1"/>
  <c r="BE55" i="5" a="1"/>
  <c r="BE55" i="5" s="1"/>
  <c r="BD54" i="5"/>
  <c r="BH54" i="5"/>
  <c r="BC55" i="5" a="1"/>
  <c r="BC55" i="5" s="1"/>
  <c r="BH55" i="5" a="1"/>
  <c r="BH55" i="5" s="1"/>
  <c r="BE54" i="5"/>
  <c r="BI55" i="5" a="1"/>
  <c r="BI55" i="5" s="1"/>
  <c r="BI54" i="5"/>
  <c r="BF55" i="5" a="1"/>
  <c r="BF55" i="5" s="1"/>
  <c r="BF54" i="5"/>
  <c r="BD55" i="5" a="1"/>
  <c r="BD55" i="5" s="1"/>
  <c r="BB54" i="5"/>
  <c r="BG55" i="5" a="1"/>
  <c r="BG55" i="5" s="1"/>
  <c r="BB77" i="5"/>
  <c r="BF77" i="5"/>
  <c r="BD78" i="5" a="1"/>
  <c r="BD78" i="5" s="1"/>
  <c r="BI78" i="5" a="1"/>
  <c r="BI78" i="5" s="1"/>
  <c r="BC77" i="5"/>
  <c r="BG77" i="5"/>
  <c r="BB78" i="5" a="1"/>
  <c r="BB78" i="5" s="1"/>
  <c r="BG78" i="5" a="1"/>
  <c r="BG78" i="5" s="1"/>
  <c r="BH77" i="5"/>
  <c r="BE78" i="5" a="1"/>
  <c r="BE78" i="5" s="1"/>
  <c r="BD77" i="5"/>
  <c r="BH78" i="5" a="1"/>
  <c r="BH78" i="5" s="1"/>
  <c r="BI77" i="5"/>
  <c r="BF78" i="5" a="1"/>
  <c r="BF78" i="5" s="1"/>
  <c r="BC78" i="5" a="1"/>
  <c r="BC78" i="5" s="1"/>
  <c r="BE77" i="5"/>
  <c r="BC41" i="5"/>
  <c r="BG41" i="5"/>
  <c r="BB42" i="5" a="1"/>
  <c r="BB42" i="5" s="1"/>
  <c r="BE42" i="5" a="1"/>
  <c r="BE42" i="5" s="1"/>
  <c r="BD41" i="5"/>
  <c r="BH41" i="5"/>
  <c r="BC42" i="5" a="1"/>
  <c r="BC42" i="5" s="1"/>
  <c r="BH42" i="5" a="1"/>
  <c r="BH42" i="5" s="1"/>
  <c r="BI41" i="5"/>
  <c r="BF42" i="5" a="1"/>
  <c r="BF42" i="5" s="1"/>
  <c r="BD42" i="5" a="1"/>
  <c r="BD42" i="5" s="1"/>
  <c r="BB41" i="5"/>
  <c r="BG42" i="5" a="1"/>
  <c r="BG42" i="5" s="1"/>
  <c r="BE41" i="5"/>
  <c r="BI42" i="5" a="1"/>
  <c r="BI42" i="5" s="1"/>
  <c r="BF41" i="5"/>
  <c r="BE57" i="5"/>
  <c r="BI57" i="5"/>
  <c r="BF58" i="5" a="1"/>
  <c r="BF58" i="5" s="1"/>
  <c r="BI58" i="5" a="1"/>
  <c r="BI58" i="5" s="1"/>
  <c r="BB57" i="5"/>
  <c r="BF57" i="5"/>
  <c r="BD58" i="5" a="1"/>
  <c r="BD58" i="5" s="1"/>
  <c r="BG58" i="5" a="1"/>
  <c r="BG58" i="5" s="1"/>
  <c r="BG57" i="5"/>
  <c r="BE58" i="5" a="1"/>
  <c r="BE58" i="5" s="1"/>
  <c r="BD57" i="5"/>
  <c r="BC58" i="5" a="1"/>
  <c r="BC58" i="5" s="1"/>
  <c r="BH57" i="5"/>
  <c r="BC57" i="5"/>
  <c r="BB58" i="5" a="1"/>
  <c r="BB58" i="5" s="1"/>
  <c r="BH58" i="5" a="1"/>
  <c r="BH58" i="5" s="1"/>
  <c r="BE68" i="5"/>
  <c r="BI68" i="5"/>
  <c r="BF69" i="5" a="1"/>
  <c r="BF69" i="5" s="1"/>
  <c r="BI69" i="5" a="1"/>
  <c r="BI69" i="5" s="1"/>
  <c r="BB68" i="5"/>
  <c r="BF68" i="5"/>
  <c r="BD69" i="5" a="1"/>
  <c r="BD69" i="5" s="1"/>
  <c r="BG69" i="5" a="1"/>
  <c r="BG69" i="5" s="1"/>
  <c r="BC68" i="5"/>
  <c r="BB69" i="5" a="1"/>
  <c r="BB69" i="5" s="1"/>
  <c r="BD68" i="5"/>
  <c r="BC69" i="5" a="1"/>
  <c r="BC69" i="5" s="1"/>
  <c r="BH69" i="5" a="1"/>
  <c r="BH69" i="5" s="1"/>
  <c r="BG68" i="5"/>
  <c r="BE69" i="5" a="1"/>
  <c r="BE69" i="5" s="1"/>
  <c r="BH68" i="5"/>
  <c r="BC80" i="5"/>
  <c r="BG80" i="5"/>
  <c r="BB81" i="5" a="1"/>
  <c r="BB81" i="5" s="1"/>
  <c r="BE81" i="5" a="1"/>
  <c r="BE81" i="5" s="1"/>
  <c r="BD80" i="5"/>
  <c r="BH80" i="5"/>
  <c r="BC81" i="5" a="1"/>
  <c r="BC81" i="5" s="1"/>
  <c r="BH81" i="5" a="1"/>
  <c r="BH81" i="5" s="1"/>
  <c r="BI80" i="5"/>
  <c r="BF81" i="5" a="1"/>
  <c r="BF81" i="5" s="1"/>
  <c r="BB80" i="5"/>
  <c r="BG81" i="5" a="1"/>
  <c r="BG81" i="5" s="1"/>
  <c r="BE80" i="5"/>
  <c r="BI81" i="5" a="1"/>
  <c r="BI81" i="5" s="1"/>
  <c r="BF80" i="5"/>
  <c r="BD81" i="5" a="1"/>
  <c r="BD81" i="5" s="1"/>
  <c r="BE38" i="5"/>
  <c r="BI38" i="5"/>
  <c r="BF39" i="5" a="1"/>
  <c r="BF39" i="5" s="1"/>
  <c r="BI39" i="5" a="1"/>
  <c r="BI39" i="5" s="1"/>
  <c r="BB38" i="5"/>
  <c r="BF38" i="5"/>
  <c r="BD39" i="5" a="1"/>
  <c r="BD39" i="5" s="1"/>
  <c r="BG39" i="5" a="1"/>
  <c r="BG39" i="5" s="1"/>
  <c r="BG38" i="5"/>
  <c r="BE39" i="5" a="1"/>
  <c r="BE39" i="5" s="1"/>
  <c r="BD38" i="5"/>
  <c r="BH39" i="5" a="1"/>
  <c r="BH39" i="5" s="1"/>
  <c r="BH38" i="5"/>
  <c r="BC38" i="5"/>
  <c r="BB39" i="5" a="1"/>
  <c r="BB39" i="5" s="1"/>
  <c r="BC39" i="5" a="1"/>
  <c r="BC39" i="5" s="1"/>
  <c r="BC32" i="5"/>
  <c r="BG32" i="5"/>
  <c r="BB33" i="5" a="1"/>
  <c r="BB33" i="5" s="1"/>
  <c r="BG33" i="5" a="1"/>
  <c r="BG33" i="5" s="1"/>
  <c r="BD32" i="5"/>
  <c r="BH32" i="5"/>
  <c r="BE33" i="5" a="1"/>
  <c r="BE33" i="5" s="1"/>
  <c r="BH33" i="5" a="1"/>
  <c r="BH33" i="5" s="1"/>
  <c r="BE32" i="5"/>
  <c r="BC33" i="5" a="1"/>
  <c r="BC33" i="5" s="1"/>
  <c r="BB32" i="5"/>
  <c r="BF32" i="5"/>
  <c r="BD33" i="5" a="1"/>
  <c r="BD33" i="5" s="1"/>
  <c r="BI33" i="5" a="1"/>
  <c r="BI33" i="5" s="1"/>
  <c r="BI32" i="5"/>
  <c r="BF33" i="5" a="1"/>
  <c r="BF33" i="5" s="1"/>
  <c r="BE46" i="5"/>
  <c r="BI46" i="5"/>
  <c r="BC47" i="5" a="1"/>
  <c r="BC47" i="5" s="1"/>
  <c r="BF47" i="5" a="1"/>
  <c r="BF47" i="5" s="1"/>
  <c r="BB46" i="5"/>
  <c r="BF46" i="5"/>
  <c r="BD47" i="5" a="1"/>
  <c r="BD47" i="5" s="1"/>
  <c r="BI47" i="5" a="1"/>
  <c r="BI47" i="5" s="1"/>
  <c r="BC46" i="5"/>
  <c r="BB47" i="5" a="1"/>
  <c r="BB47" i="5" s="1"/>
  <c r="BG47" i="5" a="1"/>
  <c r="BG47" i="5" s="1"/>
  <c r="BG46" i="5"/>
  <c r="BD46" i="5"/>
  <c r="BH47" i="5" a="1"/>
  <c r="BH47" i="5" s="1"/>
  <c r="BH46" i="5"/>
  <c r="BE47" i="5" a="1"/>
  <c r="BE47" i="5" s="1"/>
  <c r="BC62" i="5"/>
  <c r="BG62" i="5"/>
  <c r="BB63" i="5" a="1"/>
  <c r="BB63" i="5" s="1"/>
  <c r="BG63" i="5" a="1"/>
  <c r="BG63" i="5" s="1"/>
  <c r="BD62" i="5"/>
  <c r="BH62" i="5"/>
  <c r="BE63" i="5" a="1"/>
  <c r="BE63" i="5" s="1"/>
  <c r="BH63" i="5" a="1"/>
  <c r="BH63" i="5" s="1"/>
  <c r="BI62" i="5"/>
  <c r="BF63" i="5" a="1"/>
  <c r="BF63" i="5" s="1"/>
  <c r="BE62" i="5"/>
  <c r="BC63" i="5" a="1"/>
  <c r="BC63" i="5" s="1"/>
  <c r="BF62" i="5"/>
  <c r="BD63" i="5" a="1"/>
  <c r="BD63" i="5" s="1"/>
  <c r="BB62" i="5"/>
  <c r="BI63" i="5" a="1"/>
  <c r="BI63" i="5" s="1"/>
  <c r="BC71" i="5"/>
  <c r="BG71" i="5"/>
  <c r="BB72" i="5" a="1"/>
  <c r="BB72" i="5" s="1"/>
  <c r="BE72" i="5" a="1"/>
  <c r="BE72" i="5" s="1"/>
  <c r="BD71" i="5"/>
  <c r="BH71" i="5"/>
  <c r="BC72" i="5" a="1"/>
  <c r="BC72" i="5" s="1"/>
  <c r="BH72" i="5" a="1"/>
  <c r="BH72" i="5" s="1"/>
  <c r="BE71" i="5"/>
  <c r="BI72" i="5" a="1"/>
  <c r="BI72" i="5" s="1"/>
  <c r="BF71" i="5"/>
  <c r="BD72" i="5" a="1"/>
  <c r="BD72" i="5" s="1"/>
  <c r="BI71" i="5"/>
  <c r="BF72" i="5" a="1"/>
  <c r="BF72" i="5" s="1"/>
  <c r="BG72" i="5" a="1"/>
  <c r="BG72" i="5" s="1"/>
  <c r="BB71" i="5"/>
  <c r="BB83" i="5"/>
  <c r="BC83" i="5"/>
  <c r="BG83" i="5"/>
  <c r="BB84" i="5" a="1"/>
  <c r="BB84" i="5" s="1"/>
  <c r="BE84" i="5" a="1"/>
  <c r="BE84" i="5" s="1"/>
  <c r="BE83" i="5"/>
  <c r="BI83" i="5"/>
  <c r="BF84" i="5" a="1"/>
  <c r="BF84" i="5" s="1"/>
  <c r="BD83" i="5"/>
  <c r="BH83" i="5"/>
  <c r="BC84" i="5" a="1"/>
  <c r="BC84" i="5" s="1"/>
  <c r="BH84" i="5" a="1"/>
  <c r="BH84" i="5" s="1"/>
  <c r="BI84" i="5" a="1"/>
  <c r="BI84" i="5" s="1"/>
  <c r="BG84" i="5" a="1"/>
  <c r="BG84" i="5" s="1"/>
  <c r="BD84" i="5" a="1"/>
  <c r="BD84" i="5" s="1"/>
  <c r="BF83" i="5"/>
  <c r="J42" i="5" a="1"/>
  <c r="J42" i="5" s="1"/>
  <c r="AC41" i="5"/>
  <c r="AG41" i="5"/>
  <c r="AK41" i="5"/>
  <c r="AO41" i="5"/>
  <c r="AS41" i="5"/>
  <c r="AW41" i="5"/>
  <c r="BA41" i="5"/>
  <c r="AD42" i="5" a="1"/>
  <c r="AD42" i="5" s="1"/>
  <c r="AG42" i="5" a="1"/>
  <c r="AG42" i="5" s="1"/>
  <c r="AJ42" i="5" a="1"/>
  <c r="AJ42" i="5" s="1"/>
  <c r="AM42" i="5" a="1"/>
  <c r="AM42" i="5" s="1"/>
  <c r="AT42" i="5" a="1"/>
  <c r="AT42" i="5" s="1"/>
  <c r="AW42" i="5" a="1"/>
  <c r="AW42" i="5" s="1"/>
  <c r="AZ42" i="5" a="1"/>
  <c r="AZ42" i="5" s="1"/>
  <c r="AE41" i="5"/>
  <c r="AI41" i="5"/>
  <c r="AM41" i="5"/>
  <c r="AQ41" i="5"/>
  <c r="AU41" i="5"/>
  <c r="AY41" i="5"/>
  <c r="AB42" i="5" a="1"/>
  <c r="AB42" i="5" s="1"/>
  <c r="AE42" i="5" a="1"/>
  <c r="AE42" i="5" s="1"/>
  <c r="AL42" i="5" a="1"/>
  <c r="AL42" i="5" s="1"/>
  <c r="AO42" i="5" a="1"/>
  <c r="AO42" i="5" s="1"/>
  <c r="AR42" i="5" a="1"/>
  <c r="AR42" i="5" s="1"/>
  <c r="AU42" i="5" a="1"/>
  <c r="AU42" i="5" s="1"/>
  <c r="AB41" i="5"/>
  <c r="AJ41" i="5"/>
  <c r="AR41" i="5"/>
  <c r="AZ41" i="5"/>
  <c r="AC42" i="5" a="1"/>
  <c r="AC42" i="5" s="1"/>
  <c r="AI42" i="5" a="1"/>
  <c r="AI42" i="5" s="1"/>
  <c r="AP42" i="5" a="1"/>
  <c r="AP42" i="5" s="1"/>
  <c r="AV42" i="5" a="1"/>
  <c r="AV42" i="5" s="1"/>
  <c r="AH41" i="5"/>
  <c r="AX41" i="5"/>
  <c r="BA42" i="5" a="1"/>
  <c r="BA42" i="5" s="1"/>
  <c r="AD41" i="5"/>
  <c r="AL41" i="5"/>
  <c r="AT41" i="5"/>
  <c r="AK42" i="5" a="1"/>
  <c r="AK42" i="5" s="1"/>
  <c r="AQ42" i="5" a="1"/>
  <c r="AQ42" i="5" s="1"/>
  <c r="AX42" i="5" a="1"/>
  <c r="AX42" i="5" s="1"/>
  <c r="AP41" i="5"/>
  <c r="AN42" i="5" a="1"/>
  <c r="AN42" i="5" s="1"/>
  <c r="AF41" i="5"/>
  <c r="AN41" i="5"/>
  <c r="AV41" i="5"/>
  <c r="AF42" i="5" a="1"/>
  <c r="AF42" i="5" s="1"/>
  <c r="AS42" i="5" a="1"/>
  <c r="AS42" i="5" s="1"/>
  <c r="AY42" i="5" a="1"/>
  <c r="AY42" i="5" s="1"/>
  <c r="AH42" i="5" a="1"/>
  <c r="AH42" i="5" s="1"/>
  <c r="J58" i="5" a="1"/>
  <c r="J58" i="5" s="1"/>
  <c r="AB57" i="5"/>
  <c r="AF57" i="5"/>
  <c r="AJ57" i="5"/>
  <c r="AN57" i="5"/>
  <c r="AR57" i="5"/>
  <c r="AV57" i="5"/>
  <c r="AZ57" i="5"/>
  <c r="AD58" i="5" a="1"/>
  <c r="AD58" i="5" s="1"/>
  <c r="AH58" i="5" a="1"/>
  <c r="AH58" i="5" s="1"/>
  <c r="AL58" i="5" a="1"/>
  <c r="AL58" i="5" s="1"/>
  <c r="AP58" i="5" a="1"/>
  <c r="AP58" i="5" s="1"/>
  <c r="AT58" i="5" a="1"/>
  <c r="AT58" i="5" s="1"/>
  <c r="AX58" i="5" a="1"/>
  <c r="AX58" i="5" s="1"/>
  <c r="AG57" i="5"/>
  <c r="AL57" i="5"/>
  <c r="AQ57" i="5"/>
  <c r="AW57" i="5"/>
  <c r="AC58" i="5" a="1"/>
  <c r="AC58" i="5" s="1"/>
  <c r="AI58" i="5" a="1"/>
  <c r="AI58" i="5" s="1"/>
  <c r="AN58" i="5" a="1"/>
  <c r="AN58" i="5" s="1"/>
  <c r="AS58" i="5" a="1"/>
  <c r="AS58" i="5" s="1"/>
  <c r="AY58" i="5" a="1"/>
  <c r="AY58" i="5" s="1"/>
  <c r="AK57" i="5"/>
  <c r="AU57" i="5"/>
  <c r="BA57" i="5"/>
  <c r="AG58" i="5" a="1"/>
  <c r="AG58" i="5" s="1"/>
  <c r="AR58" i="5" a="1"/>
  <c r="AR58" i="5" s="1"/>
  <c r="AC57" i="5"/>
  <c r="AH57" i="5"/>
  <c r="AM57" i="5"/>
  <c r="AS57" i="5"/>
  <c r="AX57" i="5"/>
  <c r="AE58" i="5" a="1"/>
  <c r="AE58" i="5" s="1"/>
  <c r="AJ58" i="5" a="1"/>
  <c r="AJ58" i="5" s="1"/>
  <c r="AO58" i="5" a="1"/>
  <c r="AO58" i="5" s="1"/>
  <c r="AU58" i="5" a="1"/>
  <c r="AU58" i="5" s="1"/>
  <c r="AZ58" i="5" a="1"/>
  <c r="AZ58" i="5" s="1"/>
  <c r="AE57" i="5"/>
  <c r="AP57" i="5"/>
  <c r="AB58" i="5" a="1"/>
  <c r="AB58" i="5" s="1"/>
  <c r="AW58" i="5" a="1"/>
  <c r="AW58" i="5" s="1"/>
  <c r="AD57" i="5"/>
  <c r="AI57" i="5"/>
  <c r="AO57" i="5"/>
  <c r="AT57" i="5"/>
  <c r="AY57" i="5"/>
  <c r="AF58" i="5" a="1"/>
  <c r="AF58" i="5" s="1"/>
  <c r="AK58" i="5" a="1"/>
  <c r="AK58" i="5" s="1"/>
  <c r="AQ58" i="5" a="1"/>
  <c r="AQ58" i="5" s="1"/>
  <c r="AV58" i="5" a="1"/>
  <c r="AV58" i="5" s="1"/>
  <c r="BA58" i="5" a="1"/>
  <c r="BA58" i="5" s="1"/>
  <c r="AM58" i="5" a="1"/>
  <c r="AM58" i="5" s="1"/>
  <c r="M68" i="5"/>
  <c r="J69" i="5" a="1"/>
  <c r="J69" i="5" s="1"/>
  <c r="BS68" i="5"/>
  <c r="AA68" i="5"/>
  <c r="AE68" i="5"/>
  <c r="AI68" i="5"/>
  <c r="AM68" i="5"/>
  <c r="AQ68" i="5"/>
  <c r="AU68" i="5"/>
  <c r="AY68" i="5"/>
  <c r="AB69" i="5" a="1"/>
  <c r="AB69" i="5" s="1"/>
  <c r="AG69" i="5" a="1"/>
  <c r="AG69" i="5" s="1"/>
  <c r="AJ69" i="5" a="1"/>
  <c r="AJ69" i="5" s="1"/>
  <c r="AO69" i="5" a="1"/>
  <c r="AO69" i="5" s="1"/>
  <c r="AR69" i="5" a="1"/>
  <c r="AR69" i="5" s="1"/>
  <c r="AW69" i="5" a="1"/>
  <c r="AW69" i="5" s="1"/>
  <c r="AZ69" i="5" a="1"/>
  <c r="AZ69" i="5" s="1"/>
  <c r="AB68" i="5"/>
  <c r="AG68" i="5"/>
  <c r="AL68" i="5"/>
  <c r="AR68" i="5"/>
  <c r="AW68" i="5"/>
  <c r="AF69" i="5" a="1"/>
  <c r="AF69" i="5" s="1"/>
  <c r="AI69" i="5" a="1"/>
  <c r="AI69" i="5" s="1"/>
  <c r="AM69" i="5" a="1"/>
  <c r="AM69" i="5" s="1"/>
  <c r="AT69" i="5" a="1"/>
  <c r="AT69" i="5" s="1"/>
  <c r="AX69" i="5" a="1"/>
  <c r="AX69" i="5" s="1"/>
  <c r="BA69" i="5" a="1"/>
  <c r="BA69" i="5" s="1"/>
  <c r="AH68" i="5"/>
  <c r="AS68" i="5"/>
  <c r="AN69" i="5" a="1"/>
  <c r="AN69" i="5" s="1"/>
  <c r="AU69" i="5" a="1"/>
  <c r="AU69" i="5" s="1"/>
  <c r="Z68" i="5"/>
  <c r="AF68" i="5"/>
  <c r="AK68" i="5"/>
  <c r="AP68" i="5"/>
  <c r="AV68" i="5"/>
  <c r="BA68" i="5"/>
  <c r="AP69" i="5" a="1"/>
  <c r="AP69" i="5" s="1"/>
  <c r="AC68" i="5"/>
  <c r="AN68" i="5"/>
  <c r="AX68" i="5"/>
  <c r="AC69" i="5" a="1"/>
  <c r="AC69" i="5" s="1"/>
  <c r="AQ69" i="5" a="1"/>
  <c r="AQ69" i="5" s="1"/>
  <c r="X68" i="5"/>
  <c r="BT68" i="5"/>
  <c r="AE69" i="5" a="1"/>
  <c r="AE69" i="5" s="1"/>
  <c r="AS69" i="5" a="1"/>
  <c r="AS69" i="5" s="1"/>
  <c r="Y68" i="5"/>
  <c r="AD68" i="5"/>
  <c r="AJ68" i="5"/>
  <c r="AO68" i="5"/>
  <c r="AT68" i="5"/>
  <c r="AZ68" i="5"/>
  <c r="AD69" i="5" a="1"/>
  <c r="AD69" i="5" s="1"/>
  <c r="AH69" i="5" a="1"/>
  <c r="AH69" i="5" s="1"/>
  <c r="AK69" i="5" a="1"/>
  <c r="AK69" i="5" s="1"/>
  <c r="AV69" i="5" a="1"/>
  <c r="AV69" i="5" s="1"/>
  <c r="AY69" i="5" a="1"/>
  <c r="AY69" i="5" s="1"/>
  <c r="AL69" i="5" a="1"/>
  <c r="AL69" i="5" s="1"/>
  <c r="J81" i="5" a="1"/>
  <c r="J81" i="5" s="1"/>
  <c r="M80" i="5"/>
  <c r="BS80" i="5"/>
  <c r="AA80" i="5"/>
  <c r="AE80" i="5"/>
  <c r="AI80" i="5"/>
  <c r="AM80" i="5"/>
  <c r="AQ80" i="5"/>
  <c r="AU80" i="5"/>
  <c r="AY80" i="5"/>
  <c r="AB81" i="5" a="1"/>
  <c r="AB81" i="5" s="1"/>
  <c r="AG81" i="5" a="1"/>
  <c r="AG81" i="5" s="1"/>
  <c r="AJ81" i="5" a="1"/>
  <c r="AJ81" i="5" s="1"/>
  <c r="AO81" i="5" a="1"/>
  <c r="AO81" i="5" s="1"/>
  <c r="AR81" i="5" a="1"/>
  <c r="AR81" i="5" s="1"/>
  <c r="AW81" i="5" a="1"/>
  <c r="AW81" i="5" s="1"/>
  <c r="AZ81" i="5" a="1"/>
  <c r="AZ81" i="5" s="1"/>
  <c r="X80" i="5"/>
  <c r="AB80" i="5"/>
  <c r="AF80" i="5"/>
  <c r="AJ80" i="5"/>
  <c r="AN80" i="5"/>
  <c r="AR80" i="5"/>
  <c r="AV80" i="5"/>
  <c r="AZ80" i="5"/>
  <c r="AH81" i="5" a="1"/>
  <c r="AH81" i="5" s="1"/>
  <c r="AP81" i="5" a="1"/>
  <c r="AP81" i="5" s="1"/>
  <c r="AU81" i="5" a="1"/>
  <c r="AU81" i="5" s="1"/>
  <c r="AK80" i="5"/>
  <c r="AS80" i="5"/>
  <c r="AW80" i="5"/>
  <c r="AC81" i="5" a="1"/>
  <c r="AC81" i="5" s="1"/>
  <c r="AN81" i="5" a="1"/>
  <c r="AN81" i="5" s="1"/>
  <c r="AV81" i="5" a="1"/>
  <c r="AV81" i="5" s="1"/>
  <c r="AP80" i="5"/>
  <c r="AI81" i="5" a="1"/>
  <c r="AI81" i="5" s="1"/>
  <c r="AL81" i="5" a="1"/>
  <c r="AL81" i="5" s="1"/>
  <c r="AY81" i="5" a="1"/>
  <c r="AY81" i="5" s="1"/>
  <c r="AE81" i="5" a="1"/>
  <c r="AE81" i="5" s="1"/>
  <c r="AM81" i="5" a="1"/>
  <c r="AM81" i="5" s="1"/>
  <c r="AX81" i="5" a="1"/>
  <c r="AX81" i="5" s="1"/>
  <c r="Y80" i="5"/>
  <c r="AC80" i="5"/>
  <c r="AG80" i="5"/>
  <c r="AO80" i="5"/>
  <c r="BA80" i="5"/>
  <c r="AF81" i="5" a="1"/>
  <c r="AF81" i="5" s="1"/>
  <c r="AS81" i="5" a="1"/>
  <c r="AS81" i="5" s="1"/>
  <c r="AT80" i="5"/>
  <c r="AD81" i="5" a="1"/>
  <c r="AD81" i="5" s="1"/>
  <c r="AQ81" i="5" a="1"/>
  <c r="AQ81" i="5" s="1"/>
  <c r="AK81" i="5" a="1"/>
  <c r="AK81" i="5" s="1"/>
  <c r="BA81" i="5" a="1"/>
  <c r="BA81" i="5" s="1"/>
  <c r="BT80" i="5"/>
  <c r="Z80" i="5"/>
  <c r="AD80" i="5"/>
  <c r="AH80" i="5"/>
  <c r="AL80" i="5"/>
  <c r="AX80" i="5"/>
  <c r="AT81" i="5" a="1"/>
  <c r="AT81" i="5" s="1"/>
  <c r="J39" i="5" a="1"/>
  <c r="J39" i="5" s="1"/>
  <c r="AC38" i="5"/>
  <c r="AG38" i="5"/>
  <c r="AK38" i="5"/>
  <c r="AO38" i="5"/>
  <c r="AS38" i="5"/>
  <c r="AW38" i="5"/>
  <c r="BA38" i="5"/>
  <c r="AG39" i="5" a="1"/>
  <c r="AG39" i="5" s="1"/>
  <c r="AJ39" i="5" a="1"/>
  <c r="AJ39" i="5" s="1"/>
  <c r="AM39" i="5" a="1"/>
  <c r="AM39" i="5" s="1"/>
  <c r="AP39" i="5" a="1"/>
  <c r="AP39" i="5" s="1"/>
  <c r="AW39" i="5" a="1"/>
  <c r="AW39" i="5" s="1"/>
  <c r="AZ39" i="5" a="1"/>
  <c r="AZ39" i="5" s="1"/>
  <c r="AE38" i="5"/>
  <c r="AI38" i="5"/>
  <c r="AM38" i="5"/>
  <c r="AQ38" i="5"/>
  <c r="AU38" i="5"/>
  <c r="AY38" i="5"/>
  <c r="AB39" i="5" a="1"/>
  <c r="AB39" i="5" s="1"/>
  <c r="AE39" i="5" a="1"/>
  <c r="AE39" i="5" s="1"/>
  <c r="AH39" i="5" a="1"/>
  <c r="AH39" i="5" s="1"/>
  <c r="AO39" i="5" a="1"/>
  <c r="AO39" i="5" s="1"/>
  <c r="AR39" i="5" a="1"/>
  <c r="AR39" i="5" s="1"/>
  <c r="AU39" i="5" a="1"/>
  <c r="AU39" i="5" s="1"/>
  <c r="AX39" i="5" a="1"/>
  <c r="AX39" i="5" s="1"/>
  <c r="AF38" i="5"/>
  <c r="AN38" i="5"/>
  <c r="AV38" i="5"/>
  <c r="AF39" i="5" a="1"/>
  <c r="AF39" i="5" s="1"/>
  <c r="AL39" i="5" a="1"/>
  <c r="AL39" i="5" s="1"/>
  <c r="AS39" i="5" a="1"/>
  <c r="AS39" i="5" s="1"/>
  <c r="AY39" i="5" a="1"/>
  <c r="AY39" i="5" s="1"/>
  <c r="AT38" i="5"/>
  <c r="AK39" i="5" a="1"/>
  <c r="AK39" i="5" s="1"/>
  <c r="AH38" i="5"/>
  <c r="AP38" i="5"/>
  <c r="AX38" i="5"/>
  <c r="AN39" i="5" a="1"/>
  <c r="AN39" i="5" s="1"/>
  <c r="AT39" i="5" a="1"/>
  <c r="AT39" i="5" s="1"/>
  <c r="BA39" i="5" a="1"/>
  <c r="BA39" i="5" s="1"/>
  <c r="AL38" i="5"/>
  <c r="AD39" i="5" a="1"/>
  <c r="AD39" i="5" s="1"/>
  <c r="AB38" i="5"/>
  <c r="AJ38" i="5"/>
  <c r="AR38" i="5"/>
  <c r="AZ38" i="5"/>
  <c r="AC39" i="5" a="1"/>
  <c r="AC39" i="5" s="1"/>
  <c r="AI39" i="5" a="1"/>
  <c r="AI39" i="5" s="1"/>
  <c r="AV39" i="5" a="1"/>
  <c r="AV39" i="5" s="1"/>
  <c r="AD38" i="5"/>
  <c r="AQ39" i="5" a="1"/>
  <c r="AQ39" i="5" s="1"/>
  <c r="M77" i="5"/>
  <c r="J78" i="5" a="1"/>
  <c r="J78" i="5" s="1"/>
  <c r="BT77" i="5"/>
  <c r="Z77" i="5"/>
  <c r="AD77" i="5"/>
  <c r="AH77" i="5"/>
  <c r="AL77" i="5"/>
  <c r="AP77" i="5"/>
  <c r="AT77" i="5"/>
  <c r="AX77" i="5"/>
  <c r="AF78" i="5" a="1"/>
  <c r="AF78" i="5" s="1"/>
  <c r="AI78" i="5" a="1"/>
  <c r="AI78" i="5" s="1"/>
  <c r="AN78" i="5" a="1"/>
  <c r="AN78" i="5" s="1"/>
  <c r="AQ78" i="5" a="1"/>
  <c r="AQ78" i="5" s="1"/>
  <c r="AV78" i="5" a="1"/>
  <c r="AV78" i="5" s="1"/>
  <c r="AY78" i="5" a="1"/>
  <c r="AY78" i="5" s="1"/>
  <c r="AE77" i="5"/>
  <c r="AM77" i="5"/>
  <c r="AQ77" i="5"/>
  <c r="AY77" i="5"/>
  <c r="AG78" i="5" a="1"/>
  <c r="AG78" i="5" s="1"/>
  <c r="AO78" i="5" a="1"/>
  <c r="AO78" i="5" s="1"/>
  <c r="AT78" i="5" a="1"/>
  <c r="AT78" i="5" s="1"/>
  <c r="AW78" i="5" a="1"/>
  <c r="AW78" i="5" s="1"/>
  <c r="X77" i="5"/>
  <c r="AR77" i="5"/>
  <c r="AE78" i="5" a="1"/>
  <c r="AE78" i="5" s="1"/>
  <c r="AJ78" i="5" a="1"/>
  <c r="AJ78" i="5" s="1"/>
  <c r="AU78" i="5" a="1"/>
  <c r="AU78" i="5" s="1"/>
  <c r="AC77" i="5"/>
  <c r="AK77" i="5"/>
  <c r="AO77" i="5"/>
  <c r="AW77" i="5"/>
  <c r="BA77" i="5"/>
  <c r="AC78" i="5" a="1"/>
  <c r="AC78" i="5" s="1"/>
  <c r="AK78" i="5" a="1"/>
  <c r="AK78" i="5" s="1"/>
  <c r="AS78" i="5" a="1"/>
  <c r="AS78" i="5" s="1"/>
  <c r="BA78" i="5" a="1"/>
  <c r="BA78" i="5" s="1"/>
  <c r="AA77" i="5"/>
  <c r="AI77" i="5"/>
  <c r="AU77" i="5"/>
  <c r="AD78" i="5" a="1"/>
  <c r="AD78" i="5" s="1"/>
  <c r="AL78" i="5" a="1"/>
  <c r="AL78" i="5" s="1"/>
  <c r="AM78" i="5" a="1"/>
  <c r="AM78" i="5" s="1"/>
  <c r="AH78" i="5" a="1"/>
  <c r="AH78" i="5" s="1"/>
  <c r="AX78" i="5" a="1"/>
  <c r="AX78" i="5" s="1"/>
  <c r="BS77" i="5"/>
  <c r="AB77" i="5"/>
  <c r="AF77" i="5"/>
  <c r="AJ77" i="5"/>
  <c r="AN77" i="5"/>
  <c r="AV77" i="5"/>
  <c r="AZ77" i="5"/>
  <c r="AB78" i="5" a="1"/>
  <c r="AB78" i="5" s="1"/>
  <c r="AR78" i="5" a="1"/>
  <c r="AR78" i="5" s="1"/>
  <c r="AZ78" i="5" a="1"/>
  <c r="AZ78" i="5" s="1"/>
  <c r="Y77" i="5"/>
  <c r="AG77" i="5"/>
  <c r="AS77" i="5"/>
  <c r="AP78" i="5" a="1"/>
  <c r="AP78" i="5" s="1"/>
  <c r="J33" i="5" a="1"/>
  <c r="J33" i="5" s="1"/>
  <c r="AC32" i="5"/>
  <c r="AG32" i="5"/>
  <c r="AK32" i="5"/>
  <c r="AO32" i="5"/>
  <c r="AS32" i="5"/>
  <c r="AW32" i="5"/>
  <c r="BA32" i="5"/>
  <c r="AG33" i="5" a="1"/>
  <c r="AG33" i="5" s="1"/>
  <c r="AJ33" i="5" a="1"/>
  <c r="AJ33" i="5" s="1"/>
  <c r="AM33" i="5" a="1"/>
  <c r="AM33" i="5" s="1"/>
  <c r="AP33" i="5" a="1"/>
  <c r="AP33" i="5" s="1"/>
  <c r="AW33" i="5" a="1"/>
  <c r="AW33" i="5" s="1"/>
  <c r="AZ33" i="5" a="1"/>
  <c r="AZ33" i="5" s="1"/>
  <c r="AE32" i="5"/>
  <c r="AI32" i="5"/>
  <c r="AM32" i="5"/>
  <c r="AQ32" i="5"/>
  <c r="AU32" i="5"/>
  <c r="AY32" i="5"/>
  <c r="AB33" i="5" a="1"/>
  <c r="AB33" i="5" s="1"/>
  <c r="AE33" i="5" a="1"/>
  <c r="AE33" i="5" s="1"/>
  <c r="AH33" i="5" a="1"/>
  <c r="AH33" i="5" s="1"/>
  <c r="AO33" i="5" a="1"/>
  <c r="AO33" i="5" s="1"/>
  <c r="AR33" i="5" a="1"/>
  <c r="AR33" i="5" s="1"/>
  <c r="AU33" i="5" a="1"/>
  <c r="AU33" i="5" s="1"/>
  <c r="AX33" i="5" a="1"/>
  <c r="AX33" i="5" s="1"/>
  <c r="AF32" i="5"/>
  <c r="AN32" i="5"/>
  <c r="AV32" i="5"/>
  <c r="AF33" i="5" a="1"/>
  <c r="AF33" i="5" s="1"/>
  <c r="AL33" i="5" a="1"/>
  <c r="AL33" i="5" s="1"/>
  <c r="AS33" i="5" a="1"/>
  <c r="AS33" i="5" s="1"/>
  <c r="AY33" i="5" a="1"/>
  <c r="AY33" i="5" s="1"/>
  <c r="AL32" i="5"/>
  <c r="AT32" i="5"/>
  <c r="AD33" i="5" a="1"/>
  <c r="AD33" i="5" s="1"/>
  <c r="AH32" i="5"/>
  <c r="AP32" i="5"/>
  <c r="AX32" i="5"/>
  <c r="AN33" i="5" a="1"/>
  <c r="AN33" i="5" s="1"/>
  <c r="AT33" i="5" a="1"/>
  <c r="AT33" i="5" s="1"/>
  <c r="BA33" i="5" a="1"/>
  <c r="BA33" i="5" s="1"/>
  <c r="AQ33" i="5" a="1"/>
  <c r="AQ33" i="5" s="1"/>
  <c r="AB32" i="5"/>
  <c r="AJ32" i="5"/>
  <c r="AR32" i="5"/>
  <c r="AZ32" i="5"/>
  <c r="AC33" i="5" a="1"/>
  <c r="AC33" i="5" s="1"/>
  <c r="AI33" i="5" a="1"/>
  <c r="AI33" i="5" s="1"/>
  <c r="AV33" i="5" a="1"/>
  <c r="AV33" i="5" s="1"/>
  <c r="AD32" i="5"/>
  <c r="AK33" i="5" a="1"/>
  <c r="AK33" i="5" s="1"/>
  <c r="J47" i="5" a="1"/>
  <c r="J47" i="5" s="1"/>
  <c r="AC46" i="5"/>
  <c r="AG46" i="5"/>
  <c r="AK46" i="5"/>
  <c r="AO46" i="5"/>
  <c r="AS46" i="5"/>
  <c r="AW46" i="5"/>
  <c r="BA46" i="5"/>
  <c r="AG47" i="5" a="1"/>
  <c r="AG47" i="5" s="1"/>
  <c r="AJ47" i="5" a="1"/>
  <c r="AJ47" i="5" s="1"/>
  <c r="AM47" i="5" a="1"/>
  <c r="AM47" i="5" s="1"/>
  <c r="AP47" i="5" a="1"/>
  <c r="AP47" i="5" s="1"/>
  <c r="AW47" i="5" a="1"/>
  <c r="AW47" i="5" s="1"/>
  <c r="AZ47" i="5" a="1"/>
  <c r="AZ47" i="5" s="1"/>
  <c r="AE46" i="5"/>
  <c r="AI46" i="5"/>
  <c r="AM46" i="5"/>
  <c r="AQ46" i="5"/>
  <c r="AU46" i="5"/>
  <c r="AY46" i="5"/>
  <c r="AB47" i="5" a="1"/>
  <c r="AB47" i="5" s="1"/>
  <c r="AE47" i="5" a="1"/>
  <c r="AE47" i="5" s="1"/>
  <c r="AH47" i="5" a="1"/>
  <c r="AH47" i="5" s="1"/>
  <c r="AO47" i="5" a="1"/>
  <c r="AO47" i="5" s="1"/>
  <c r="AR47" i="5" a="1"/>
  <c r="AR47" i="5" s="1"/>
  <c r="AU47" i="5" a="1"/>
  <c r="AU47" i="5" s="1"/>
  <c r="AX47" i="5" a="1"/>
  <c r="AX47" i="5" s="1"/>
  <c r="AF46" i="5"/>
  <c r="AN46" i="5"/>
  <c r="AV46" i="5"/>
  <c r="AF47" i="5" a="1"/>
  <c r="AF47" i="5" s="1"/>
  <c r="AL47" i="5" a="1"/>
  <c r="AL47" i="5" s="1"/>
  <c r="AS47" i="5" a="1"/>
  <c r="AS47" i="5" s="1"/>
  <c r="AY47" i="5" a="1"/>
  <c r="AY47" i="5" s="1"/>
  <c r="AD47" i="5" a="1"/>
  <c r="AD47" i="5" s="1"/>
  <c r="AH46" i="5"/>
  <c r="AP46" i="5"/>
  <c r="AX46" i="5"/>
  <c r="AN47" i="5" a="1"/>
  <c r="AN47" i="5" s="1"/>
  <c r="AT47" i="5" a="1"/>
  <c r="AT47" i="5" s="1"/>
  <c r="BA47" i="5" a="1"/>
  <c r="BA47" i="5" s="1"/>
  <c r="AL46" i="5"/>
  <c r="AK47" i="5" a="1"/>
  <c r="AK47" i="5" s="1"/>
  <c r="AB46" i="5"/>
  <c r="AJ46" i="5"/>
  <c r="AR46" i="5"/>
  <c r="AZ46" i="5"/>
  <c r="AC47" i="5" a="1"/>
  <c r="AC47" i="5" s="1"/>
  <c r="AI47" i="5" a="1"/>
  <c r="AI47" i="5" s="1"/>
  <c r="AV47" i="5" a="1"/>
  <c r="AV47" i="5" s="1"/>
  <c r="AD46" i="5"/>
  <c r="AT46" i="5"/>
  <c r="AQ47" i="5" a="1"/>
  <c r="AQ47" i="5" s="1"/>
  <c r="J63" i="5" a="1"/>
  <c r="J63" i="5" s="1"/>
  <c r="AB62" i="5"/>
  <c r="AF62" i="5"/>
  <c r="AJ62" i="5"/>
  <c r="AN62" i="5"/>
  <c r="AR62" i="5"/>
  <c r="AV62" i="5"/>
  <c r="AZ62" i="5"/>
  <c r="AD63" i="5" a="1"/>
  <c r="AD63" i="5" s="1"/>
  <c r="AH63" i="5" a="1"/>
  <c r="AH63" i="5" s="1"/>
  <c r="AL63" i="5" a="1"/>
  <c r="AL63" i="5" s="1"/>
  <c r="AP63" i="5" a="1"/>
  <c r="AP63" i="5" s="1"/>
  <c r="AT63" i="5" a="1"/>
  <c r="AT63" i="5" s="1"/>
  <c r="AX63" i="5" a="1"/>
  <c r="AX63" i="5" s="1"/>
  <c r="AE62" i="5"/>
  <c r="AK62" i="5"/>
  <c r="AP62" i="5"/>
  <c r="AU62" i="5"/>
  <c r="BA62" i="5"/>
  <c r="AB63" i="5" a="1"/>
  <c r="AB63" i="5" s="1"/>
  <c r="AG63" i="5" a="1"/>
  <c r="AG63" i="5" s="1"/>
  <c r="AM63" i="5" a="1"/>
  <c r="AM63" i="5" s="1"/>
  <c r="AR63" i="5" a="1"/>
  <c r="AR63" i="5" s="1"/>
  <c r="AW63" i="5" a="1"/>
  <c r="AW63" i="5" s="1"/>
  <c r="AI62" i="5"/>
  <c r="AO62" i="5"/>
  <c r="AY62" i="5"/>
  <c r="AQ63" i="5" a="1"/>
  <c r="AQ63" i="5" s="1"/>
  <c r="BA63" i="5" a="1"/>
  <c r="BA63" i="5" s="1"/>
  <c r="AG62" i="5"/>
  <c r="AL62" i="5"/>
  <c r="AQ62" i="5"/>
  <c r="AW62" i="5"/>
  <c r="AC63" i="5" a="1"/>
  <c r="AC63" i="5" s="1"/>
  <c r="AI63" i="5" a="1"/>
  <c r="AI63" i="5" s="1"/>
  <c r="AN63" i="5" a="1"/>
  <c r="AN63" i="5" s="1"/>
  <c r="AS63" i="5" a="1"/>
  <c r="AS63" i="5" s="1"/>
  <c r="AY63" i="5" a="1"/>
  <c r="AY63" i="5" s="1"/>
  <c r="AK63" i="5" a="1"/>
  <c r="AK63" i="5" s="1"/>
  <c r="AC62" i="5"/>
  <c r="AH62" i="5"/>
  <c r="AM62" i="5"/>
  <c r="AS62" i="5"/>
  <c r="AX62" i="5"/>
  <c r="AE63" i="5" a="1"/>
  <c r="AE63" i="5" s="1"/>
  <c r="AJ63" i="5" a="1"/>
  <c r="AJ63" i="5" s="1"/>
  <c r="AO63" i="5" a="1"/>
  <c r="AO63" i="5" s="1"/>
  <c r="AU63" i="5" a="1"/>
  <c r="AU63" i="5" s="1"/>
  <c r="AZ63" i="5" a="1"/>
  <c r="AZ63" i="5" s="1"/>
  <c r="AD62" i="5"/>
  <c r="AT62" i="5"/>
  <c r="AF63" i="5" a="1"/>
  <c r="AF63" i="5" s="1"/>
  <c r="AV63" i="5" a="1"/>
  <c r="AV63" i="5" s="1"/>
  <c r="J72" i="5" a="1"/>
  <c r="J72" i="5" s="1"/>
  <c r="M71" i="5"/>
  <c r="AB71" i="5"/>
  <c r="AF71" i="5"/>
  <c r="AJ71" i="5"/>
  <c r="AN71" i="5"/>
  <c r="AR71" i="5"/>
  <c r="AV71" i="5"/>
  <c r="AZ71" i="5"/>
  <c r="AB72" i="5" a="1"/>
  <c r="AB72" i="5" s="1"/>
  <c r="AE72" i="5" a="1"/>
  <c r="AE72" i="5" s="1"/>
  <c r="AJ72" i="5" a="1"/>
  <c r="AJ72" i="5" s="1"/>
  <c r="AM72" i="5" a="1"/>
  <c r="AM72" i="5" s="1"/>
  <c r="AR72" i="5" a="1"/>
  <c r="AR72" i="5" s="1"/>
  <c r="AU72" i="5" a="1"/>
  <c r="AU72" i="5" s="1"/>
  <c r="AZ72" i="5" a="1"/>
  <c r="AZ72" i="5" s="1"/>
  <c r="BS71" i="5"/>
  <c r="AA71" i="5"/>
  <c r="AG71" i="5"/>
  <c r="AL71" i="5"/>
  <c r="AQ71" i="5"/>
  <c r="AW71" i="5"/>
  <c r="AI72" i="5" a="1"/>
  <c r="AI72" i="5" s="1"/>
  <c r="AL72" i="5" a="1"/>
  <c r="AL72" i="5" s="1"/>
  <c r="AP72" i="5" a="1"/>
  <c r="AP72" i="5" s="1"/>
  <c r="AW72" i="5" a="1"/>
  <c r="AW72" i="5" s="1"/>
  <c r="BA72" i="5" a="1"/>
  <c r="BA72" i="5" s="1"/>
  <c r="X71" i="5"/>
  <c r="AM71" i="5"/>
  <c r="AX71" i="5"/>
  <c r="AC72" i="5" a="1"/>
  <c r="AC72" i="5" s="1"/>
  <c r="AF72" i="5" a="1"/>
  <c r="AF72" i="5" s="1"/>
  <c r="AT72" i="5" a="1"/>
  <c r="AT72" i="5" s="1"/>
  <c r="AX72" i="5" a="1"/>
  <c r="AX72" i="5" s="1"/>
  <c r="AE71" i="5"/>
  <c r="AK71" i="5"/>
  <c r="AU71" i="5"/>
  <c r="BA71" i="5"/>
  <c r="AD72" i="5" a="1"/>
  <c r="AD72" i="5" s="1"/>
  <c r="AO72" i="5" a="1"/>
  <c r="AO72" i="5" s="1"/>
  <c r="AV72" i="5" a="1"/>
  <c r="AV72" i="5" s="1"/>
  <c r="AC71" i="5"/>
  <c r="AH71" i="5"/>
  <c r="AS71" i="5"/>
  <c r="AQ72" i="5" a="1"/>
  <c r="AQ72" i="5" s="1"/>
  <c r="AH72" i="5" a="1"/>
  <c r="AH72" i="5" s="1"/>
  <c r="BT71" i="5"/>
  <c r="Y71" i="5"/>
  <c r="AD71" i="5"/>
  <c r="AI71" i="5"/>
  <c r="AO71" i="5"/>
  <c r="AT71" i="5"/>
  <c r="AY71" i="5"/>
  <c r="AG72" i="5" a="1"/>
  <c r="AG72" i="5" s="1"/>
  <c r="AK72" i="5" a="1"/>
  <c r="AK72" i="5" s="1"/>
  <c r="AN72" i="5" a="1"/>
  <c r="AN72" i="5" s="1"/>
  <c r="AY72" i="5" a="1"/>
  <c r="AY72" i="5" s="1"/>
  <c r="Z71" i="5"/>
  <c r="AP71" i="5"/>
  <c r="AS72" i="5" a="1"/>
  <c r="AS72" i="5" s="1"/>
  <c r="M83" i="5"/>
  <c r="J84" i="5" a="1"/>
  <c r="J84" i="5" s="1"/>
  <c r="BS83" i="5"/>
  <c r="AB83" i="5"/>
  <c r="AF83" i="5"/>
  <c r="AJ83" i="5"/>
  <c r="AN83" i="5"/>
  <c r="AR83" i="5"/>
  <c r="AV83" i="5"/>
  <c r="AZ83" i="5"/>
  <c r="AB84" i="5" a="1"/>
  <c r="AB84" i="5" s="1"/>
  <c r="AE84" i="5" a="1"/>
  <c r="AE84" i="5" s="1"/>
  <c r="AJ84" i="5" a="1"/>
  <c r="AJ84" i="5" s="1"/>
  <c r="AM84" i="5" a="1"/>
  <c r="AM84" i="5" s="1"/>
  <c r="AR84" i="5" a="1"/>
  <c r="AR84" i="5" s="1"/>
  <c r="AU84" i="5" a="1"/>
  <c r="AU84" i="5" s="1"/>
  <c r="AZ84" i="5" a="1"/>
  <c r="AZ84" i="5" s="1"/>
  <c r="Y83" i="5"/>
  <c r="AC83" i="5"/>
  <c r="AG83" i="5"/>
  <c r="AK83" i="5"/>
  <c r="AO83" i="5"/>
  <c r="AS83" i="5"/>
  <c r="AW83" i="5"/>
  <c r="BA83" i="5"/>
  <c r="AH84" i="5" a="1"/>
  <c r="AH84" i="5" s="1"/>
  <c r="AP84" i="5" a="1"/>
  <c r="AP84" i="5" s="1"/>
  <c r="AS84" i="5" a="1"/>
  <c r="AS84" i="5" s="1"/>
  <c r="BA84" i="5" a="1"/>
  <c r="BA84" i="5" s="1"/>
  <c r="Z83" i="5"/>
  <c r="AD83" i="5"/>
  <c r="AH83" i="5"/>
  <c r="AP83" i="5"/>
  <c r="AT83" i="5"/>
  <c r="AX83" i="5"/>
  <c r="AN84" i="5" a="1"/>
  <c r="AN84" i="5" s="1"/>
  <c r="AV84" i="5" a="1"/>
  <c r="AV84" i="5" s="1"/>
  <c r="AG84" i="5" a="1"/>
  <c r="AG84" i="5" s="1"/>
  <c r="AL84" i="5" a="1"/>
  <c r="AL84" i="5" s="1"/>
  <c r="AW84" i="5" a="1"/>
  <c r="AW84" i="5" s="1"/>
  <c r="AC84" i="5" a="1"/>
  <c r="AC84" i="5" s="1"/>
  <c r="AK84" i="5" a="1"/>
  <c r="AK84" i="5" s="1"/>
  <c r="AX84" i="5" a="1"/>
  <c r="AX84" i="5" s="1"/>
  <c r="AL83" i="5"/>
  <c r="AF84" i="5" a="1"/>
  <c r="AF84" i="5" s="1"/>
  <c r="AQ84" i="5" a="1"/>
  <c r="AQ84" i="5" s="1"/>
  <c r="AA83" i="5"/>
  <c r="AI83" i="5"/>
  <c r="AQ83" i="5"/>
  <c r="AY83" i="5"/>
  <c r="AD84" i="5" a="1"/>
  <c r="AD84" i="5" s="1"/>
  <c r="AT84" i="5" a="1"/>
  <c r="AT84" i="5" s="1"/>
  <c r="BT83" i="5"/>
  <c r="AI84" i="5" a="1"/>
  <c r="AI84" i="5" s="1"/>
  <c r="AY84" i="5" a="1"/>
  <c r="AY84" i="5" s="1"/>
  <c r="X83" i="5"/>
  <c r="AE83" i="5"/>
  <c r="AM83" i="5"/>
  <c r="AU83" i="5"/>
  <c r="AO84" i="5" a="1"/>
  <c r="AO84" i="5" s="1"/>
  <c r="J55" i="5" a="1"/>
  <c r="J55" i="5" s="1"/>
  <c r="AB54" i="5"/>
  <c r="AF54" i="5"/>
  <c r="AJ54" i="5"/>
  <c r="AN54" i="5"/>
  <c r="AR54" i="5"/>
  <c r="AV54" i="5"/>
  <c r="AZ54" i="5"/>
  <c r="AD55" i="5" a="1"/>
  <c r="AD55" i="5" s="1"/>
  <c r="AH55" i="5" a="1"/>
  <c r="AH55" i="5" s="1"/>
  <c r="AL55" i="5" a="1"/>
  <c r="AL55" i="5" s="1"/>
  <c r="AP55" i="5" a="1"/>
  <c r="AP55" i="5" s="1"/>
  <c r="AT55" i="5" a="1"/>
  <c r="AT55" i="5" s="1"/>
  <c r="AX55" i="5" a="1"/>
  <c r="AX55" i="5" s="1"/>
  <c r="AD54" i="5"/>
  <c r="AH54" i="5"/>
  <c r="AL54" i="5"/>
  <c r="AP54" i="5"/>
  <c r="AT54" i="5"/>
  <c r="AX54" i="5"/>
  <c r="AB55" i="5" a="1"/>
  <c r="AB55" i="5" s="1"/>
  <c r="AF55" i="5" a="1"/>
  <c r="AF55" i="5" s="1"/>
  <c r="AI54" i="5"/>
  <c r="AQ54" i="5"/>
  <c r="AY54" i="5"/>
  <c r="AC55" i="5" a="1"/>
  <c r="AC55" i="5" s="1"/>
  <c r="AJ55" i="5" a="1"/>
  <c r="AJ55" i="5" s="1"/>
  <c r="AO55" i="5" a="1"/>
  <c r="AO55" i="5" s="1"/>
  <c r="AU55" i="5" a="1"/>
  <c r="AU55" i="5" s="1"/>
  <c r="AZ55" i="5" a="1"/>
  <c r="AZ55" i="5" s="1"/>
  <c r="AO54" i="5"/>
  <c r="AI55" i="5" a="1"/>
  <c r="AI55" i="5" s="1"/>
  <c r="AS55" i="5" a="1"/>
  <c r="AS55" i="5" s="1"/>
  <c r="AC54" i="5"/>
  <c r="AK54" i="5"/>
  <c r="AS54" i="5"/>
  <c r="BA54" i="5"/>
  <c r="AE55" i="5" a="1"/>
  <c r="AE55" i="5" s="1"/>
  <c r="AK55" i="5" a="1"/>
  <c r="AK55" i="5" s="1"/>
  <c r="AQ55" i="5" a="1"/>
  <c r="AQ55" i="5" s="1"/>
  <c r="AV55" i="5" a="1"/>
  <c r="AV55" i="5" s="1"/>
  <c r="BA55" i="5" a="1"/>
  <c r="BA55" i="5" s="1"/>
  <c r="AW54" i="5"/>
  <c r="AN55" i="5" a="1"/>
  <c r="AN55" i="5" s="1"/>
  <c r="AE54" i="5"/>
  <c r="AM54" i="5"/>
  <c r="AU54" i="5"/>
  <c r="AG55" i="5" a="1"/>
  <c r="AG55" i="5" s="1"/>
  <c r="AM55" i="5" a="1"/>
  <c r="AM55" i="5" s="1"/>
  <c r="AR55" i="5" a="1"/>
  <c r="AR55" i="5" s="1"/>
  <c r="AW55" i="5" a="1"/>
  <c r="AW55" i="5" s="1"/>
  <c r="AG54" i="5"/>
  <c r="AY55" i="5" a="1"/>
  <c r="AY55" i="5" s="1"/>
  <c r="J36" i="5" a="1"/>
  <c r="J36" i="5" s="1"/>
  <c r="AC35" i="5"/>
  <c r="AG35" i="5"/>
  <c r="AK35" i="5"/>
  <c r="AO35" i="5"/>
  <c r="AS35" i="5"/>
  <c r="AW35" i="5"/>
  <c r="BA35" i="5"/>
  <c r="AD36" i="5" a="1"/>
  <c r="AD36" i="5" s="1"/>
  <c r="AG36" i="5" a="1"/>
  <c r="AG36" i="5" s="1"/>
  <c r="AJ36" i="5" a="1"/>
  <c r="AJ36" i="5" s="1"/>
  <c r="AM36" i="5" a="1"/>
  <c r="AM36" i="5" s="1"/>
  <c r="AT36" i="5" a="1"/>
  <c r="AT36" i="5" s="1"/>
  <c r="AW36" i="5" a="1"/>
  <c r="AW36" i="5" s="1"/>
  <c r="AZ36" i="5" a="1"/>
  <c r="AZ36" i="5" s="1"/>
  <c r="AE35" i="5"/>
  <c r="AI35" i="5"/>
  <c r="AM35" i="5"/>
  <c r="AQ35" i="5"/>
  <c r="AU35" i="5"/>
  <c r="AY35" i="5"/>
  <c r="AB36" i="5" a="1"/>
  <c r="AB36" i="5" s="1"/>
  <c r="AE36" i="5" a="1"/>
  <c r="AE36" i="5" s="1"/>
  <c r="AL36" i="5" a="1"/>
  <c r="AL36" i="5" s="1"/>
  <c r="AO36" i="5" a="1"/>
  <c r="AO36" i="5" s="1"/>
  <c r="AR36" i="5" a="1"/>
  <c r="AR36" i="5" s="1"/>
  <c r="AU36" i="5" a="1"/>
  <c r="AU36" i="5" s="1"/>
  <c r="AB35" i="5"/>
  <c r="AJ35" i="5"/>
  <c r="AR35" i="5"/>
  <c r="AZ35" i="5"/>
  <c r="AC36" i="5" a="1"/>
  <c r="AC36" i="5" s="1"/>
  <c r="AI36" i="5" a="1"/>
  <c r="AI36" i="5" s="1"/>
  <c r="AP36" i="5" a="1"/>
  <c r="AP36" i="5" s="1"/>
  <c r="AV36" i="5" a="1"/>
  <c r="AV36" i="5" s="1"/>
  <c r="AH35" i="5"/>
  <c r="AP35" i="5"/>
  <c r="AX35" i="5"/>
  <c r="BA36" i="5" a="1"/>
  <c r="BA36" i="5" s="1"/>
  <c r="AD35" i="5"/>
  <c r="AL35" i="5"/>
  <c r="AT35" i="5"/>
  <c r="AK36" i="5" a="1"/>
  <c r="AK36" i="5" s="1"/>
  <c r="AQ36" i="5" a="1"/>
  <c r="AQ36" i="5" s="1"/>
  <c r="AX36" i="5" a="1"/>
  <c r="AX36" i="5" s="1"/>
  <c r="AN36" i="5" a="1"/>
  <c r="AN36" i="5" s="1"/>
  <c r="AF35" i="5"/>
  <c r="AN35" i="5"/>
  <c r="AV35" i="5"/>
  <c r="AF36" i="5" a="1"/>
  <c r="AF36" i="5" s="1"/>
  <c r="AS36" i="5" a="1"/>
  <c r="AS36" i="5" s="1"/>
  <c r="AY36" i="5" a="1"/>
  <c r="AY36" i="5" s="1"/>
  <c r="AH36" i="5" a="1"/>
  <c r="AH36" i="5" s="1"/>
  <c r="J50" i="5" a="1"/>
  <c r="J50" i="5" s="1"/>
  <c r="AC49" i="5"/>
  <c r="AG49" i="5"/>
  <c r="AK49" i="5"/>
  <c r="AO49" i="5"/>
  <c r="AS49" i="5"/>
  <c r="AW49" i="5"/>
  <c r="BA49" i="5"/>
  <c r="AD50" i="5" a="1"/>
  <c r="AD50" i="5" s="1"/>
  <c r="AG50" i="5" a="1"/>
  <c r="AG50" i="5" s="1"/>
  <c r="AJ50" i="5" a="1"/>
  <c r="AJ50" i="5" s="1"/>
  <c r="AM50" i="5" a="1"/>
  <c r="AM50" i="5" s="1"/>
  <c r="AT50" i="5" a="1"/>
  <c r="AT50" i="5" s="1"/>
  <c r="AX50" i="5" a="1"/>
  <c r="AX50" i="5" s="1"/>
  <c r="AE49" i="5"/>
  <c r="AI49" i="5"/>
  <c r="AM49" i="5"/>
  <c r="AQ49" i="5"/>
  <c r="AU49" i="5"/>
  <c r="AY49" i="5"/>
  <c r="AB50" i="5" a="1"/>
  <c r="AB50" i="5" s="1"/>
  <c r="AE50" i="5" a="1"/>
  <c r="AE50" i="5" s="1"/>
  <c r="AL50" i="5" a="1"/>
  <c r="AL50" i="5" s="1"/>
  <c r="AO50" i="5" a="1"/>
  <c r="AO50" i="5" s="1"/>
  <c r="AR50" i="5" a="1"/>
  <c r="AR50" i="5" s="1"/>
  <c r="AV50" i="5" a="1"/>
  <c r="AV50" i="5" s="1"/>
  <c r="AZ50" i="5" a="1"/>
  <c r="AZ50" i="5" s="1"/>
  <c r="AB49" i="5"/>
  <c r="AJ49" i="5"/>
  <c r="AR49" i="5"/>
  <c r="AZ49" i="5"/>
  <c r="AC50" i="5" a="1"/>
  <c r="AC50" i="5" s="1"/>
  <c r="AI50" i="5" a="1"/>
  <c r="AI50" i="5" s="1"/>
  <c r="AP50" i="5" a="1"/>
  <c r="AP50" i="5" s="1"/>
  <c r="AW50" i="5" a="1"/>
  <c r="AW50" i="5" s="1"/>
  <c r="AH49" i="5"/>
  <c r="AP49" i="5"/>
  <c r="AX49" i="5"/>
  <c r="AU50" i="5" a="1"/>
  <c r="AU50" i="5" s="1"/>
  <c r="AD49" i="5"/>
  <c r="AL49" i="5"/>
  <c r="AT49" i="5"/>
  <c r="AK50" i="5" a="1"/>
  <c r="AK50" i="5" s="1"/>
  <c r="AQ50" i="5" a="1"/>
  <c r="AQ50" i="5" s="1"/>
  <c r="AY50" i="5" a="1"/>
  <c r="AY50" i="5" s="1"/>
  <c r="AH50" i="5" a="1"/>
  <c r="AH50" i="5" s="1"/>
  <c r="AF49" i="5"/>
  <c r="AN49" i="5"/>
  <c r="AV49" i="5"/>
  <c r="AF50" i="5" a="1"/>
  <c r="AF50" i="5" s="1"/>
  <c r="AS50" i="5" a="1"/>
  <c r="AS50" i="5" s="1"/>
  <c r="BA50" i="5" a="1"/>
  <c r="BA50" i="5" s="1"/>
  <c r="AN50" i="5" a="1"/>
  <c r="AN50" i="5" s="1"/>
  <c r="J66" i="5" a="1"/>
  <c r="J66" i="5" s="1"/>
  <c r="AB65" i="5"/>
  <c r="AF65" i="5"/>
  <c r="AJ65" i="5"/>
  <c r="AN65" i="5"/>
  <c r="AR65" i="5"/>
  <c r="AV65" i="5"/>
  <c r="AZ65" i="5"/>
  <c r="AD66" i="5" a="1"/>
  <c r="AD66" i="5" s="1"/>
  <c r="AH66" i="5" a="1"/>
  <c r="AH66" i="5" s="1"/>
  <c r="AL66" i="5" a="1"/>
  <c r="AL66" i="5" s="1"/>
  <c r="AP66" i="5" a="1"/>
  <c r="AP66" i="5" s="1"/>
  <c r="AT66" i="5" a="1"/>
  <c r="AT66" i="5" s="1"/>
  <c r="AX66" i="5" a="1"/>
  <c r="AX66" i="5" s="1"/>
  <c r="AD65" i="5"/>
  <c r="AI65" i="5"/>
  <c r="AO65" i="5"/>
  <c r="AT65" i="5"/>
  <c r="AY65" i="5"/>
  <c r="AF66" i="5" a="1"/>
  <c r="AF66" i="5" s="1"/>
  <c r="AK66" i="5" a="1"/>
  <c r="AK66" i="5" s="1"/>
  <c r="AQ66" i="5" a="1"/>
  <c r="AQ66" i="5" s="1"/>
  <c r="AV66" i="5" a="1"/>
  <c r="AV66" i="5" s="1"/>
  <c r="BA66" i="5" a="1"/>
  <c r="BA66" i="5" s="1"/>
  <c r="AR66" i="5" a="1"/>
  <c r="AR66" i="5" s="1"/>
  <c r="AX65" i="5"/>
  <c r="AJ66" i="5" a="1"/>
  <c r="AJ66" i="5" s="1"/>
  <c r="AO66" i="5" a="1"/>
  <c r="AO66" i="5" s="1"/>
  <c r="AE65" i="5"/>
  <c r="AK65" i="5"/>
  <c r="AP65" i="5"/>
  <c r="AU65" i="5"/>
  <c r="BA65" i="5"/>
  <c r="AB66" i="5" a="1"/>
  <c r="AB66" i="5" s="1"/>
  <c r="AG66" i="5" a="1"/>
  <c r="AG66" i="5" s="1"/>
  <c r="AM66" i="5" a="1"/>
  <c r="AM66" i="5" s="1"/>
  <c r="AW66" i="5" a="1"/>
  <c r="AW66" i="5" s="1"/>
  <c r="AC65" i="5"/>
  <c r="AH65" i="5"/>
  <c r="AM65" i="5"/>
  <c r="AS65" i="5"/>
  <c r="AU66" i="5" a="1"/>
  <c r="AU66" i="5" s="1"/>
  <c r="AG65" i="5"/>
  <c r="AL65" i="5"/>
  <c r="AQ65" i="5"/>
  <c r="AW65" i="5"/>
  <c r="AC66" i="5" a="1"/>
  <c r="AC66" i="5" s="1"/>
  <c r="AI66" i="5" a="1"/>
  <c r="AI66" i="5" s="1"/>
  <c r="AN66" i="5" a="1"/>
  <c r="AN66" i="5" s="1"/>
  <c r="AS66" i="5" a="1"/>
  <c r="AS66" i="5" s="1"/>
  <c r="AY66" i="5" a="1"/>
  <c r="AY66" i="5" s="1"/>
  <c r="AE66" i="5" a="1"/>
  <c r="AE66" i="5" s="1"/>
  <c r="AZ66" i="5" a="1"/>
  <c r="AZ66" i="5" s="1"/>
  <c r="J75" i="5" a="1"/>
  <c r="J75" i="5" s="1"/>
  <c r="M74" i="5"/>
  <c r="Y74" i="5"/>
  <c r="AC74" i="5"/>
  <c r="AG74" i="5"/>
  <c r="AK74" i="5"/>
  <c r="AO74" i="5"/>
  <c r="AS74" i="5"/>
  <c r="AW74" i="5"/>
  <c r="BA74" i="5"/>
  <c r="AC75" i="5" a="1"/>
  <c r="AC75" i="5" s="1"/>
  <c r="AF75" i="5" a="1"/>
  <c r="AF75" i="5" s="1"/>
  <c r="AK75" i="5" a="1"/>
  <c r="AK75" i="5" s="1"/>
  <c r="AN75" i="5" a="1"/>
  <c r="AN75" i="5" s="1"/>
  <c r="AS75" i="5" a="1"/>
  <c r="AS75" i="5" s="1"/>
  <c r="AV75" i="5" a="1"/>
  <c r="AV75" i="5" s="1"/>
  <c r="BA75" i="5" a="1"/>
  <c r="BA75" i="5" s="1"/>
  <c r="AA74" i="5"/>
  <c r="AF74" i="5"/>
  <c r="AL74" i="5"/>
  <c r="AQ74" i="5"/>
  <c r="AV74" i="5"/>
  <c r="AB75" i="5" a="1"/>
  <c r="AB75" i="5" s="1"/>
  <c r="AE75" i="5" a="1"/>
  <c r="AE75" i="5" s="1"/>
  <c r="AI75" i="5" a="1"/>
  <c r="AI75" i="5" s="1"/>
  <c r="AP75" i="5" a="1"/>
  <c r="AP75" i="5" s="1"/>
  <c r="AT75" i="5" a="1"/>
  <c r="AT75" i="5" s="1"/>
  <c r="AW75" i="5" a="1"/>
  <c r="AW75" i="5" s="1"/>
  <c r="AM74" i="5"/>
  <c r="AR74" i="5"/>
  <c r="AM75" i="5" a="1"/>
  <c r="AM75" i="5" s="1"/>
  <c r="AQ75" i="5" a="1"/>
  <c r="AQ75" i="5" s="1"/>
  <c r="AP74" i="5"/>
  <c r="AO75" i="5" a="1"/>
  <c r="AO75" i="5" s="1"/>
  <c r="BT74" i="5"/>
  <c r="BS74" i="5"/>
  <c r="AB74" i="5"/>
  <c r="AH74" i="5"/>
  <c r="AX74" i="5"/>
  <c r="AJ75" i="5" a="1"/>
  <c r="AJ75" i="5" s="1"/>
  <c r="AX75" i="5" a="1"/>
  <c r="AX75" i="5" s="1"/>
  <c r="Z74" i="5"/>
  <c r="AE74" i="5"/>
  <c r="AJ74" i="5"/>
  <c r="AZ74" i="5"/>
  <c r="AH75" i="5" a="1"/>
  <c r="AH75" i="5" s="1"/>
  <c r="AZ75" i="5" a="1"/>
  <c r="AZ75" i="5" s="1"/>
  <c r="AD74" i="5"/>
  <c r="AI74" i="5"/>
  <c r="AN74" i="5"/>
  <c r="AT74" i="5"/>
  <c r="AY74" i="5"/>
  <c r="AD75" i="5" a="1"/>
  <c r="AD75" i="5" s="1"/>
  <c r="AG75" i="5" a="1"/>
  <c r="AG75" i="5" s="1"/>
  <c r="AR75" i="5" a="1"/>
  <c r="AR75" i="5" s="1"/>
  <c r="AU75" i="5" a="1"/>
  <c r="AU75" i="5" s="1"/>
  <c r="AY75" i="5" a="1"/>
  <c r="AY75" i="5" s="1"/>
  <c r="X74" i="5"/>
  <c r="AU74" i="5"/>
  <c r="AL75" i="5" a="1"/>
  <c r="AL75" i="5" s="1"/>
  <c r="I68" i="15"/>
  <c r="BR80" i="5"/>
  <c r="W80" i="5"/>
  <c r="I35" i="15"/>
  <c r="I59" i="15"/>
  <c r="I41" i="15"/>
  <c r="I53" i="15"/>
  <c r="I47" i="15"/>
  <c r="I38" i="15"/>
  <c r="I50" i="15"/>
  <c r="I32" i="15"/>
  <c r="I44" i="15"/>
  <c r="I56" i="15"/>
  <c r="I46" i="5"/>
  <c r="I62" i="5"/>
  <c r="I49" i="5"/>
  <c r="I41" i="5"/>
  <c r="I57" i="5"/>
  <c r="I32" i="5"/>
  <c r="I65" i="5"/>
  <c r="I38" i="5"/>
  <c r="I54" i="5"/>
  <c r="I71" i="15"/>
  <c r="J77" i="5"/>
  <c r="I77" i="15"/>
  <c r="I62" i="15"/>
  <c r="I74" i="15"/>
  <c r="J80" i="5"/>
  <c r="BR68" i="5"/>
  <c r="H50" i="18"/>
  <c r="H78" i="18"/>
  <c r="J68" i="5"/>
  <c r="H94" i="18"/>
  <c r="H90" i="18"/>
  <c r="H86" i="18"/>
  <c r="H82" i="18"/>
  <c r="H74" i="18"/>
  <c r="H70" i="18"/>
  <c r="H66" i="18"/>
  <c r="H62" i="18"/>
  <c r="H58" i="18"/>
  <c r="H46" i="18"/>
  <c r="H42" i="18"/>
  <c r="H38" i="18"/>
  <c r="H34" i="18"/>
  <c r="K32" i="18"/>
  <c r="L32" i="18" s="1"/>
  <c r="M32" i="18" s="1"/>
  <c r="N32" i="18" s="1"/>
  <c r="O32" i="18" s="1"/>
  <c r="P32" i="18" s="1"/>
  <c r="Q32" i="18" s="1"/>
  <c r="R32" i="18" s="1"/>
  <c r="S32" i="18" s="1"/>
  <c r="T32" i="18" s="1"/>
  <c r="U32" i="18" s="1"/>
  <c r="V32" i="18" s="1"/>
  <c r="W32" i="18" s="1"/>
  <c r="X32" i="18" s="1"/>
  <c r="Y32" i="18" s="1"/>
  <c r="Z32" i="18" s="1"/>
  <c r="AA32" i="18" s="1"/>
  <c r="AB32" i="18" s="1"/>
  <c r="AC32" i="18" s="1"/>
  <c r="AD32" i="18" s="1"/>
  <c r="AE32" i="18" s="1"/>
  <c r="AF32" i="18" s="1"/>
  <c r="AG32" i="18" s="1"/>
  <c r="AH32" i="18" s="1"/>
  <c r="AI32" i="18" s="1"/>
  <c r="AJ32" i="18" s="1"/>
  <c r="AK32" i="18" s="1"/>
  <c r="I65" i="15"/>
  <c r="J83" i="5"/>
  <c r="I80" i="5"/>
  <c r="BR83" i="5"/>
  <c r="I83" i="5"/>
  <c r="W83" i="5"/>
  <c r="W74" i="5"/>
  <c r="W77" i="5"/>
  <c r="BR74" i="5"/>
  <c r="I74" i="5"/>
  <c r="J74" i="5"/>
  <c r="I77" i="5"/>
  <c r="BR77" i="5"/>
  <c r="BR71" i="5"/>
  <c r="W71" i="5"/>
  <c r="J71" i="5"/>
  <c r="I71" i="5"/>
  <c r="W68" i="5"/>
  <c r="I68" i="5"/>
  <c r="AL32" i="18" l="1"/>
  <c r="AM32" i="18" s="1"/>
  <c r="AN32" i="18" s="1"/>
  <c r="AO32" i="18" s="1"/>
  <c r="AP32" i="18" s="1"/>
  <c r="AQ32" i="18" s="1"/>
  <c r="AR32" i="18" s="1"/>
  <c r="AS32" i="18" s="1"/>
  <c r="AT32" i="18" s="1"/>
  <c r="AU32" i="18" s="1"/>
  <c r="AV32" i="18" s="1"/>
  <c r="AW32" i="18" s="1"/>
  <c r="AX32" i="18" s="1"/>
  <c r="AY32" i="18" s="1"/>
  <c r="AZ32" i="18" s="1"/>
  <c r="BA32" i="18" s="1"/>
  <c r="AA46" i="5"/>
  <c r="AA54" i="5"/>
  <c r="AA81" i="5" a="1"/>
  <c r="AA81" i="5" s="1"/>
  <c r="AA29" i="5"/>
  <c r="AA30" i="5"/>
  <c r="AA49" i="5"/>
  <c r="AA55" i="5" a="1"/>
  <c r="AA55" i="5" s="1"/>
  <c r="AA84" i="5" a="1"/>
  <c r="AA84" i="5" s="1"/>
  <c r="AA39" i="5" a="1"/>
  <c r="AA39" i="5" s="1"/>
  <c r="AA78" i="5" a="1"/>
  <c r="AA78" i="5" s="1"/>
  <c r="AA69" i="5" a="1"/>
  <c r="AA69" i="5" s="1"/>
  <c r="AA57" i="5"/>
  <c r="AA65" i="5"/>
  <c r="AA50" i="5" a="1"/>
  <c r="AA50" i="5" s="1"/>
  <c r="AA72" i="5" a="1"/>
  <c r="AA72" i="5" s="1"/>
  <c r="AA41" i="5"/>
  <c r="AA66" i="5" a="1"/>
  <c r="AA66" i="5" s="1"/>
  <c r="AA63" i="5" a="1"/>
  <c r="AA63" i="5" s="1"/>
  <c r="AA58" i="5" a="1"/>
  <c r="AA58" i="5" s="1"/>
  <c r="AA75" i="5" a="1"/>
  <c r="AA75" i="5" s="1"/>
  <c r="AA36" i="5" a="1"/>
  <c r="AA36" i="5" s="1"/>
  <c r="AA35" i="5"/>
  <c r="AA62" i="5"/>
  <c r="AA47" i="5" a="1"/>
  <c r="AA47" i="5" s="1"/>
  <c r="AA33" i="5" a="1"/>
  <c r="AA33" i="5" s="1"/>
  <c r="AA32" i="5"/>
  <c r="AA38" i="5"/>
  <c r="AA42" i="5" a="1"/>
  <c r="AA42" i="5" s="1"/>
  <c r="DN39" i="5" l="1"/>
  <c r="DM39" i="5"/>
  <c r="DM36" i="5"/>
  <c r="DL36" i="5"/>
  <c r="DP36" i="5"/>
  <c r="DO36" i="5"/>
  <c r="DN36" i="5"/>
  <c r="Y57" i="5"/>
  <c r="Y41" i="5"/>
  <c r="Y35" i="5"/>
  <c r="Z41" i="5"/>
  <c r="Y65" i="5"/>
  <c r="Y62" i="5"/>
  <c r="Z62" i="5"/>
  <c r="Z57" i="5"/>
  <c r="Y29" i="5"/>
  <c r="Y30" i="5"/>
  <c r="Y58" i="5" a="1"/>
  <c r="Y58" i="5" s="1"/>
  <c r="Y72" i="5" a="1"/>
  <c r="Y72" i="5" s="1"/>
  <c r="Y50" i="5" a="1"/>
  <c r="Y50" i="5" s="1"/>
  <c r="Y75" i="5" a="1"/>
  <c r="Y75" i="5" s="1"/>
  <c r="Y42" i="5" a="1"/>
  <c r="Y42" i="5" s="1"/>
  <c r="Y81" i="5" a="1"/>
  <c r="Y81" i="5" s="1"/>
  <c r="Y63" i="5" a="1"/>
  <c r="Y63" i="5" s="1"/>
  <c r="Y55" i="5" a="1"/>
  <c r="Y55" i="5" s="1"/>
  <c r="Y69" i="5" a="1"/>
  <c r="Y69" i="5" s="1"/>
  <c r="Y39" i="5" a="1"/>
  <c r="Y39" i="5" s="1"/>
  <c r="Y33" i="5" a="1"/>
  <c r="Y33" i="5" s="1"/>
  <c r="Y36" i="5" a="1"/>
  <c r="Y36" i="5" s="1"/>
  <c r="Y49" i="5"/>
  <c r="Y47" i="5" a="1"/>
  <c r="Y47" i="5" s="1"/>
  <c r="Y78" i="5" a="1"/>
  <c r="Y78" i="5" s="1"/>
  <c r="Y84" i="5" a="1"/>
  <c r="Y84" i="5" s="1"/>
  <c r="Y66" i="5" a="1"/>
  <c r="Y66" i="5" s="1"/>
  <c r="Y46" i="5"/>
  <c r="Y38" i="5"/>
  <c r="Y54" i="5"/>
  <c r="Z30" i="5"/>
  <c r="Z29" i="5"/>
  <c r="Z58" i="5" a="1"/>
  <c r="Z58" i="5" s="1"/>
  <c r="Z36" i="5" a="1"/>
  <c r="Z36" i="5" s="1"/>
  <c r="Z66" i="5" a="1"/>
  <c r="Z66" i="5" s="1"/>
  <c r="Z69" i="5" a="1"/>
  <c r="Z69" i="5" s="1"/>
  <c r="Z81" i="5" a="1"/>
  <c r="Z81" i="5" s="1"/>
  <c r="Z33" i="5" a="1"/>
  <c r="Z33" i="5" s="1"/>
  <c r="Z72" i="5" a="1"/>
  <c r="Z72" i="5" s="1"/>
  <c r="Z49" i="5"/>
  <c r="Z75" i="5" a="1"/>
  <c r="Z75" i="5" s="1"/>
  <c r="Z42" i="5" a="1"/>
  <c r="Z42" i="5" s="1"/>
  <c r="Z47" i="5" a="1"/>
  <c r="Z47" i="5" s="1"/>
  <c r="Z50" i="5" a="1"/>
  <c r="Z50" i="5" s="1"/>
  <c r="Z39" i="5" a="1"/>
  <c r="Z39" i="5" s="1"/>
  <c r="Z78" i="5" a="1"/>
  <c r="Z78" i="5" s="1"/>
  <c r="Z63" i="5" a="1"/>
  <c r="Z63" i="5" s="1"/>
  <c r="Z55" i="5" a="1"/>
  <c r="Z55" i="5" s="1"/>
  <c r="Z84" i="5" a="1"/>
  <c r="Z84" i="5" s="1"/>
  <c r="Z46" i="5"/>
  <c r="Z38" i="5"/>
  <c r="Z54" i="5"/>
  <c r="Z35" i="5"/>
  <c r="Z65" i="5"/>
  <c r="Y32" i="5"/>
  <c r="Z32" i="5"/>
  <c r="DN54" i="5"/>
  <c r="DL35" i="5"/>
  <c r="M35" i="5"/>
  <c r="M41" i="5"/>
  <c r="M46" i="5"/>
  <c r="DL54" i="5"/>
  <c r="DO38" i="5"/>
  <c r="DN35" i="5"/>
  <c r="DN46" i="5"/>
  <c r="DP46" i="5"/>
  <c r="DP54" i="5"/>
  <c r="DL38" i="5"/>
  <c r="DM38" i="5"/>
  <c r="DP38" i="5"/>
  <c r="DM54" i="5"/>
  <c r="M29" i="5"/>
  <c r="M30" i="5"/>
  <c r="M42" i="5" a="1"/>
  <c r="M42" i="5" s="1"/>
  <c r="M72" i="5" a="1"/>
  <c r="M72" i="5" s="1"/>
  <c r="M84" i="5" a="1"/>
  <c r="M84" i="5" s="1"/>
  <c r="M49" i="5"/>
  <c r="M69" i="5" a="1"/>
  <c r="M69" i="5" s="1"/>
  <c r="M66" i="5" a="1"/>
  <c r="M66" i="5" s="1"/>
  <c r="M75" i="5" a="1"/>
  <c r="M75" i="5" s="1"/>
  <c r="M58" i="5" a="1"/>
  <c r="M58" i="5" s="1"/>
  <c r="M81" i="5" a="1"/>
  <c r="M81" i="5" s="1"/>
  <c r="M39" i="5" a="1"/>
  <c r="M39" i="5" s="1"/>
  <c r="M78" i="5" a="1"/>
  <c r="M78" i="5" s="1"/>
  <c r="M47" i="5" a="1"/>
  <c r="M47" i="5" s="1"/>
  <c r="M55" i="5" a="1"/>
  <c r="M55" i="5" s="1"/>
  <c r="M63" i="5" a="1"/>
  <c r="M63" i="5" s="1"/>
  <c r="M50" i="5" a="1"/>
  <c r="M50" i="5" s="1"/>
  <c r="M33" i="5" a="1"/>
  <c r="M33" i="5" s="1"/>
  <c r="M36" i="5" a="1"/>
  <c r="M36" i="5" s="1"/>
  <c r="M38" i="5"/>
  <c r="M54" i="5"/>
  <c r="DO35" i="5"/>
  <c r="DO46" i="5"/>
  <c r="DN38" i="5"/>
  <c r="M32" i="5"/>
  <c r="M57" i="5"/>
  <c r="M62" i="5"/>
  <c r="M65" i="5"/>
  <c r="DO54" i="5"/>
  <c r="DP35" i="5"/>
  <c r="DL46" i="5"/>
  <c r="DM35" i="5"/>
  <c r="DM46" i="5"/>
  <c r="H7" i="14"/>
  <c r="H9" i="14"/>
  <c r="H10" i="14"/>
  <c r="H14" i="14"/>
  <c r="H12" i="14"/>
  <c r="H6" i="14"/>
  <c r="I9" i="14" a="1"/>
  <c r="I9" i="14" s="1"/>
  <c r="I12" i="14" a="1"/>
  <c r="I12" i="14" s="1"/>
  <c r="I17" i="14" a="1"/>
  <c r="I17" i="14" s="1"/>
  <c r="I20" i="14" a="1"/>
  <c r="I20" i="14" s="1"/>
  <c r="H11" i="14"/>
  <c r="I7" i="14" a="1"/>
  <c r="I7" i="14" s="1"/>
  <c r="I15" i="14" a="1"/>
  <c r="I15" i="14" s="1"/>
  <c r="I8" i="14" a="1"/>
  <c r="I8" i="14" s="1"/>
  <c r="I16" i="14" a="1"/>
  <c r="I16" i="14" s="1"/>
  <c r="I11" i="14" a="1"/>
  <c r="I11" i="14" s="1"/>
  <c r="I14" i="14" a="1"/>
  <c r="I14" i="14" s="1"/>
  <c r="I19" i="14" a="1"/>
  <c r="I19" i="14" s="1"/>
  <c r="I6" i="14" a="1"/>
  <c r="I6" i="14" s="1"/>
  <c r="I10" i="14" a="1"/>
  <c r="I10" i="14" s="1"/>
  <c r="I18" i="14" a="1"/>
  <c r="I18" i="14" s="1"/>
  <c r="I13" i="14" a="1"/>
  <c r="I13" i="14" s="1"/>
  <c r="I21" i="14" a="1"/>
  <c r="I21" i="14" s="1"/>
  <c r="H8" i="14"/>
  <c r="H13" i="14"/>
  <c r="H15" i="14"/>
  <c r="O20" i="5"/>
  <c r="O12" i="5"/>
  <c r="O23" i="5"/>
  <c r="O15" i="5"/>
  <c r="O7" i="5"/>
  <c r="O22" i="5"/>
  <c r="O18" i="5"/>
  <c r="O14" i="5"/>
  <c r="O10" i="5"/>
  <c r="O6" i="5"/>
  <c r="O26" i="5"/>
  <c r="O5" i="5"/>
  <c r="O16" i="5"/>
  <c r="O8" i="5"/>
  <c r="O24" i="5"/>
  <c r="O19" i="5"/>
  <c r="O11" i="5"/>
  <c r="O25" i="5"/>
  <c r="O21" i="5"/>
  <c r="O17" i="5"/>
  <c r="O13" i="5"/>
  <c r="O9" i="5"/>
  <c r="O27" i="5"/>
  <c r="N57" i="5"/>
  <c r="N35" i="5"/>
  <c r="O62" i="5" l="1"/>
  <c r="O57" i="5"/>
  <c r="O46" i="5"/>
  <c r="O38" i="5"/>
  <c r="N32" i="5"/>
  <c r="N38" i="5"/>
  <c r="N54" i="5"/>
  <c r="O54" i="5"/>
  <c r="N46" i="5"/>
  <c r="O32" i="5"/>
  <c r="N47" i="5" a="1"/>
  <c r="N47" i="5" s="1"/>
  <c r="N55" i="5" a="1"/>
  <c r="N55" i="5" s="1"/>
  <c r="N58" i="5" a="1"/>
  <c r="N58" i="5" s="1"/>
  <c r="N66" i="5" a="1"/>
  <c r="N66" i="5" s="1"/>
  <c r="N36" i="5" a="1"/>
  <c r="N36" i="5" s="1"/>
  <c r="N63" i="5" a="1"/>
  <c r="N63" i="5" s="1"/>
  <c r="N30" i="5"/>
  <c r="N69" i="5" a="1"/>
  <c r="N69" i="5" s="1"/>
  <c r="N75" i="5" a="1"/>
  <c r="N75" i="5" s="1"/>
  <c r="N78" i="5" a="1"/>
  <c r="N78" i="5" s="1"/>
  <c r="N81" i="5" a="1"/>
  <c r="N81" i="5" s="1"/>
  <c r="N84" i="5" a="1"/>
  <c r="N84" i="5" s="1"/>
  <c r="N29" i="5"/>
  <c r="N33" i="5" a="1"/>
  <c r="N33" i="5" s="1"/>
  <c r="N39" i="5" a="1"/>
  <c r="N39" i="5" s="1"/>
  <c r="N42" i="5" a="1"/>
  <c r="N42" i="5" s="1"/>
  <c r="N72" i="5" a="1"/>
  <c r="N72" i="5" s="1"/>
  <c r="N50" i="5" a="1"/>
  <c r="N50" i="5" s="1"/>
  <c r="O30" i="5"/>
  <c r="O69" i="5" a="1"/>
  <c r="O69" i="5" s="1"/>
  <c r="O72" i="5" a="1"/>
  <c r="O72" i="5" s="1"/>
  <c r="O75" i="5" a="1"/>
  <c r="O75" i="5" s="1"/>
  <c r="O78" i="5" a="1"/>
  <c r="O78" i="5" s="1"/>
  <c r="O39" i="5" a="1"/>
  <c r="O39" i="5" s="1"/>
  <c r="O42" i="5" a="1"/>
  <c r="O42" i="5" s="1"/>
  <c r="O47" i="5" a="1"/>
  <c r="O47" i="5" s="1"/>
  <c r="O50" i="5" a="1"/>
  <c r="O50" i="5" s="1"/>
  <c r="O36" i="5" a="1"/>
  <c r="O36" i="5" s="1"/>
  <c r="O58" i="5" a="1"/>
  <c r="O58" i="5" s="1"/>
  <c r="O55" i="5" a="1"/>
  <c r="O55" i="5" s="1"/>
  <c r="O81" i="5" a="1"/>
  <c r="O81" i="5" s="1"/>
  <c r="O84" i="5" a="1"/>
  <c r="O84" i="5" s="1"/>
  <c r="O29" i="5"/>
  <c r="O66" i="5" a="1"/>
  <c r="O66" i="5" s="1"/>
  <c r="O63" i="5" a="1"/>
  <c r="O63" i="5" s="1"/>
  <c r="O33" i="5" a="1"/>
  <c r="O33" i="5" s="1"/>
  <c r="N41" i="5"/>
  <c r="O41" i="5"/>
  <c r="O49" i="5"/>
  <c r="N49" i="5"/>
  <c r="O35" i="5"/>
  <c r="CP62" i="5"/>
  <c r="CK32" i="5"/>
  <c r="DM41" i="5"/>
  <c r="BV62" i="5"/>
  <c r="BV49" i="5"/>
  <c r="DM47" i="5"/>
  <c r="DM49" i="5" s="1"/>
  <c r="DM55" i="5"/>
  <c r="DM57" i="5" s="1"/>
  <c r="DN47" i="5"/>
  <c r="DN49" i="5" s="1"/>
  <c r="DL55" i="5"/>
  <c r="DL57" i="5" s="1"/>
  <c r="DO55" i="5"/>
  <c r="DO57" i="5" s="1"/>
  <c r="DL47" i="5"/>
  <c r="DL49" i="5" s="1"/>
  <c r="DO47" i="5"/>
  <c r="DO49" i="5" s="1"/>
  <c r="DN55" i="5"/>
  <c r="DN57" i="5" s="1"/>
  <c r="DP39" i="5"/>
  <c r="DP41" i="5" s="1"/>
  <c r="DN41" i="5"/>
  <c r="DL39" i="5"/>
  <c r="DL41" i="5" s="1"/>
  <c r="DP47" i="5"/>
  <c r="DP49" i="5" s="1"/>
  <c r="DP55" i="5"/>
  <c r="DP57" i="5" s="1"/>
  <c r="DO39" i="5"/>
  <c r="DO41" i="5" s="1"/>
  <c r="CD65" i="5"/>
  <c r="BU46" i="5"/>
  <c r="CB32" i="5"/>
  <c r="CE35" i="5"/>
  <c r="CF32" i="5"/>
  <c r="CE57" i="5"/>
  <c r="BU35" i="5"/>
  <c r="CD49" i="5"/>
  <c r="CO32" i="5"/>
  <c r="DD32" i="5"/>
  <c r="BZ54" i="5"/>
  <c r="BX32" i="5"/>
  <c r="DA32" i="5"/>
  <c r="CN62" i="5"/>
  <c r="CZ35" i="5"/>
  <c r="CR65" i="5"/>
  <c r="CL38" i="5"/>
  <c r="BV33" i="5" a="1"/>
  <c r="BV33" i="5" s="1"/>
  <c r="BV54" i="5"/>
  <c r="CN32" i="5"/>
  <c r="CT65" i="5"/>
  <c r="CX35" i="5"/>
  <c r="CU35" i="5"/>
  <c r="BU54" i="5"/>
  <c r="CF57" i="5"/>
  <c r="CB38" i="5"/>
  <c r="CD38" i="5"/>
  <c r="CK38" i="5"/>
  <c r="CU38" i="5"/>
  <c r="CE38" i="5"/>
  <c r="CR38" i="5"/>
  <c r="BW57" i="5"/>
  <c r="DC57" i="5"/>
  <c r="BX46" i="5"/>
  <c r="BZ46" i="5"/>
  <c r="CF46" i="5"/>
  <c r="CP46" i="5"/>
  <c r="CV46" i="5"/>
  <c r="DD54" i="5"/>
  <c r="CN54" i="5"/>
  <c r="CB35" i="5"/>
  <c r="BV46" i="5"/>
  <c r="CN57" i="5"/>
  <c r="CG38" i="5"/>
  <c r="CJ38" i="5"/>
  <c r="CZ41" i="5"/>
  <c r="CR54" i="5"/>
  <c r="CN35" i="5"/>
  <c r="CH49" i="5"/>
  <c r="CL49" i="5"/>
  <c r="CX49" i="5"/>
  <c r="CC32" i="5"/>
  <c r="CY41" i="5"/>
  <c r="CK35" i="5"/>
  <c r="CT32" i="5"/>
  <c r="CD32" i="5"/>
  <c r="BY54" i="5"/>
  <c r="CA65" i="5"/>
  <c r="CV65" i="5"/>
  <c r="CZ65" i="5"/>
  <c r="CS65" i="5"/>
  <c r="CS62" i="5"/>
  <c r="CI62" i="5"/>
  <c r="BZ57" i="5"/>
  <c r="DB57" i="5"/>
  <c r="DC32" i="5"/>
  <c r="CM54" i="5"/>
  <c r="DD57" i="5"/>
  <c r="X65" i="5"/>
  <c r="X57" i="5"/>
  <c r="X29" i="5"/>
  <c r="X30" i="5"/>
  <c r="X42" i="5" a="1"/>
  <c r="X42" i="5" s="1"/>
  <c r="X39" i="5" a="1"/>
  <c r="X39" i="5" s="1"/>
  <c r="X84" i="5" a="1"/>
  <c r="X84" i="5" s="1"/>
  <c r="X49" i="5"/>
  <c r="X58" i="5" a="1"/>
  <c r="X58" i="5" s="1"/>
  <c r="X78" i="5" a="1"/>
  <c r="X78" i="5" s="1"/>
  <c r="X72" i="5" a="1"/>
  <c r="X72" i="5" s="1"/>
  <c r="X50" i="5" a="1"/>
  <c r="X50" i="5" s="1"/>
  <c r="X75" i="5" a="1"/>
  <c r="X75" i="5" s="1"/>
  <c r="X33" i="5" a="1"/>
  <c r="X33" i="5" s="1"/>
  <c r="X47" i="5" a="1"/>
  <c r="X47" i="5" s="1"/>
  <c r="X55" i="5" a="1"/>
  <c r="X55" i="5" s="1"/>
  <c r="X36" i="5" a="1"/>
  <c r="X36" i="5" s="1"/>
  <c r="X66" i="5" a="1"/>
  <c r="X66" i="5" s="1"/>
  <c r="X81" i="5" a="1"/>
  <c r="X81" i="5" s="1"/>
  <c r="X69" i="5" a="1"/>
  <c r="X69" i="5" s="1"/>
  <c r="X63" i="5" a="1"/>
  <c r="X63" i="5" s="1"/>
  <c r="X46" i="5"/>
  <c r="X38" i="5"/>
  <c r="X54" i="5"/>
  <c r="W69" i="5" a="1"/>
  <c r="W69" i="5" s="1"/>
  <c r="W78" i="5" a="1"/>
  <c r="W78" i="5" s="1"/>
  <c r="W47" i="5" a="1"/>
  <c r="W47" i="5" s="1"/>
  <c r="W63" i="5" a="1"/>
  <c r="W63" i="5" s="1"/>
  <c r="W50" i="5" a="1"/>
  <c r="W50" i="5" s="1"/>
  <c r="W42" i="5" a="1"/>
  <c r="W42" i="5" s="1"/>
  <c r="W58" i="5" a="1"/>
  <c r="W58" i="5" s="1"/>
  <c r="W84" i="5" a="1"/>
  <c r="W84" i="5" s="1"/>
  <c r="W36" i="5" a="1"/>
  <c r="W36" i="5" s="1"/>
  <c r="W66" i="5" a="1"/>
  <c r="W66" i="5" s="1"/>
  <c r="W39" i="5" a="1"/>
  <c r="W39" i="5" s="1"/>
  <c r="W81" i="5" a="1"/>
  <c r="W81" i="5" s="1"/>
  <c r="W55" i="5" a="1"/>
  <c r="W55" i="5" s="1"/>
  <c r="W75" i="5" a="1"/>
  <c r="W75" i="5" s="1"/>
  <c r="W33" i="5" a="1"/>
  <c r="W33" i="5" s="1"/>
  <c r="W72" i="5" a="1"/>
  <c r="W72" i="5" s="1"/>
  <c r="BU32" i="5"/>
  <c r="CP49" i="5"/>
  <c r="CT49" i="5"/>
  <c r="CD54" i="5"/>
  <c r="CX54" i="5"/>
  <c r="BZ62" i="5"/>
  <c r="CX62" i="5"/>
  <c r="CS32" i="5"/>
  <c r="CR32" i="5"/>
  <c r="BX62" i="5"/>
  <c r="CB62" i="5"/>
  <c r="CF62" i="5"/>
  <c r="CR62" i="5"/>
  <c r="CJ62" i="5"/>
  <c r="DD62" i="5"/>
  <c r="CQ41" i="5"/>
  <c r="CA57" i="5"/>
  <c r="BW81" i="5" a="1"/>
  <c r="BW81" i="5" s="1"/>
  <c r="BW46" i="5"/>
  <c r="CA46" i="5"/>
  <c r="CE81" i="5" a="1"/>
  <c r="CE81" i="5" s="1"/>
  <c r="CE46" i="5"/>
  <c r="CX46" i="5"/>
  <c r="CZ46" i="5"/>
  <c r="CJ46" i="5"/>
  <c r="CQ46" i="5"/>
  <c r="BV50" i="5" a="1"/>
  <c r="BV50" i="5" s="1"/>
  <c r="BV84" i="5" a="1"/>
  <c r="BV84" i="5" s="1"/>
  <c r="BV66" i="5" a="1"/>
  <c r="BV66" i="5" s="1"/>
  <c r="BV81" i="5" a="1"/>
  <c r="BV81" i="5" s="1"/>
  <c r="CV54" i="5"/>
  <c r="BX35" i="5"/>
  <c r="CV35" i="5"/>
  <c r="BY41" i="5"/>
  <c r="CC84" i="5" a="1"/>
  <c r="CC84" i="5" s="1"/>
  <c r="CC41" i="5"/>
  <c r="CG41" i="5"/>
  <c r="CK41" i="5"/>
  <c r="DA84" i="5" a="1"/>
  <c r="DA84" i="5" s="1"/>
  <c r="DA41" i="5"/>
  <c r="DB78" i="5" a="1"/>
  <c r="DB78" i="5" s="1"/>
  <c r="DB41" i="5"/>
  <c r="CL78" i="5" a="1"/>
  <c r="CL78" i="5" s="1"/>
  <c r="CL41" i="5"/>
  <c r="CX65" i="5"/>
  <c r="CH65" i="5"/>
  <c r="CA35" i="5"/>
  <c r="CD35" i="5"/>
  <c r="CY35" i="5"/>
  <c r="CI35" i="5"/>
  <c r="BV57" i="5"/>
  <c r="BU29" i="5"/>
  <c r="BU30" i="5"/>
  <c r="BU84" i="5" a="1"/>
  <c r="BU84" i="5" s="1"/>
  <c r="BU39" i="5" a="1"/>
  <c r="BU39" i="5" s="1"/>
  <c r="BU55" i="5" a="1"/>
  <c r="BU55" i="5" s="1"/>
  <c r="BU58" i="5" a="1"/>
  <c r="BU58" i="5" s="1"/>
  <c r="BU69" i="5" a="1"/>
  <c r="BU69" i="5" s="1"/>
  <c r="BU49" i="5"/>
  <c r="BU81" i="5" a="1"/>
  <c r="BU81" i="5" s="1"/>
  <c r="BU63" i="5" a="1"/>
  <c r="BU63" i="5" s="1"/>
  <c r="BU36" i="5" a="1"/>
  <c r="BU36" i="5" s="1"/>
  <c r="BU33" i="5" a="1"/>
  <c r="BU33" i="5" s="1"/>
  <c r="BU72" i="5" a="1"/>
  <c r="BU72" i="5" s="1"/>
  <c r="BU78" i="5" a="1"/>
  <c r="BU78" i="5" s="1"/>
  <c r="BU50" i="5" a="1"/>
  <c r="BU50" i="5" s="1"/>
  <c r="BU75" i="5" a="1"/>
  <c r="BU75" i="5" s="1"/>
  <c r="BU47" i="5" a="1"/>
  <c r="BU47" i="5" s="1"/>
  <c r="BU66" i="5" a="1"/>
  <c r="BU66" i="5" s="1"/>
  <c r="BU42" i="5" a="1"/>
  <c r="BU42" i="5" s="1"/>
  <c r="CO35" i="5"/>
  <c r="BZ32" i="5"/>
  <c r="CX32" i="5"/>
  <c r="CH32" i="5"/>
  <c r="BY65" i="5"/>
  <c r="CC65" i="5"/>
  <c r="CU65" i="5"/>
  <c r="CM65" i="5"/>
  <c r="CI65" i="5"/>
  <c r="DB65" i="5"/>
  <c r="CW65" i="5"/>
  <c r="CG65" i="5"/>
  <c r="CS39" i="5" a="1"/>
  <c r="CS39" i="5" s="1"/>
  <c r="CW46" i="5"/>
  <c r="CA62" i="5"/>
  <c r="CO62" i="5"/>
  <c r="DA62" i="5"/>
  <c r="DC62" i="5"/>
  <c r="CM62" i="5"/>
  <c r="BY57" i="5"/>
  <c r="CD57" i="5"/>
  <c r="CH57" i="5"/>
  <c r="CL57" i="5"/>
  <c r="CZ57" i="5"/>
  <c r="CV57" i="5"/>
  <c r="CP57" i="5"/>
  <c r="CA32" i="5"/>
  <c r="CQ32" i="5"/>
  <c r="CI32" i="5"/>
  <c r="CE32" i="5"/>
  <c r="CA54" i="5"/>
  <c r="CP54" i="5"/>
  <c r="CU54" i="5"/>
  <c r="CC38" i="5"/>
  <c r="CX38" i="5"/>
  <c r="DB38" i="5"/>
  <c r="CY38" i="5"/>
  <c r="CI38" i="5"/>
  <c r="CF38" i="5"/>
  <c r="BW84" i="5" a="1"/>
  <c r="BW84" i="5" s="1"/>
  <c r="BW30" i="5"/>
  <c r="BW29" i="5"/>
  <c r="BW63" i="5" a="1"/>
  <c r="BW63" i="5" s="1"/>
  <c r="BW39" i="5" a="1"/>
  <c r="BW39" i="5" s="1"/>
  <c r="BW78" i="5" a="1"/>
  <c r="BW78" i="5" s="1"/>
  <c r="BW58" i="5" a="1"/>
  <c r="BW58" i="5" s="1"/>
  <c r="BW69" i="5" a="1"/>
  <c r="BW69" i="5" s="1"/>
  <c r="BW33" i="5" a="1"/>
  <c r="BW33" i="5" s="1"/>
  <c r="BW55" i="5" a="1"/>
  <c r="BW55" i="5" s="1"/>
  <c r="BW50" i="5" a="1"/>
  <c r="BW50" i="5" s="1"/>
  <c r="BW72" i="5" a="1"/>
  <c r="BW72" i="5" s="1"/>
  <c r="BW66" i="5" a="1"/>
  <c r="BW66" i="5" s="1"/>
  <c r="BW75" i="5" a="1"/>
  <c r="BW75" i="5" s="1"/>
  <c r="BW42" i="5" a="1"/>
  <c r="BW42" i="5" s="1"/>
  <c r="BW47" i="5" a="1"/>
  <c r="BW47" i="5" s="1"/>
  <c r="BW36" i="5" a="1"/>
  <c r="BW36" i="5" s="1"/>
  <c r="BW49" i="5"/>
  <c r="CA49" i="5"/>
  <c r="CA29" i="5"/>
  <c r="CA30" i="5"/>
  <c r="CA63" i="5" a="1"/>
  <c r="CA63" i="5" s="1"/>
  <c r="CA55" i="5" a="1"/>
  <c r="CA55" i="5" s="1"/>
  <c r="CA42" i="5" a="1"/>
  <c r="CA42" i="5" s="1"/>
  <c r="CA81" i="5" a="1"/>
  <c r="CA81" i="5" s="1"/>
  <c r="CA78" i="5" a="1"/>
  <c r="CA78" i="5" s="1"/>
  <c r="CA58" i="5" a="1"/>
  <c r="CA58" i="5" s="1"/>
  <c r="CA66" i="5" a="1"/>
  <c r="CA66" i="5" s="1"/>
  <c r="CA75" i="5" a="1"/>
  <c r="CA75" i="5" s="1"/>
  <c r="CA33" i="5" a="1"/>
  <c r="CA33" i="5" s="1"/>
  <c r="CA84" i="5" a="1"/>
  <c r="CA84" i="5" s="1"/>
  <c r="CA47" i="5" a="1"/>
  <c r="CA47" i="5" s="1"/>
  <c r="CA36" i="5" a="1"/>
  <c r="CA36" i="5" s="1"/>
  <c r="CA50" i="5" a="1"/>
  <c r="CA50" i="5" s="1"/>
  <c r="CA69" i="5" a="1"/>
  <c r="CA69" i="5" s="1"/>
  <c r="CA72" i="5" a="1"/>
  <c r="CA72" i="5" s="1"/>
  <c r="CA39" i="5" a="1"/>
  <c r="CA39" i="5" s="1"/>
  <c r="CE49" i="5"/>
  <c r="CE30" i="5"/>
  <c r="CE29" i="5"/>
  <c r="CE69" i="5" a="1"/>
  <c r="CE69" i="5" s="1"/>
  <c r="CE33" i="5" a="1"/>
  <c r="CE33" i="5" s="1"/>
  <c r="CE63" i="5" a="1"/>
  <c r="CE63" i="5" s="1"/>
  <c r="CE36" i="5" a="1"/>
  <c r="CE36" i="5" s="1"/>
  <c r="CE42" i="5" a="1"/>
  <c r="CE42" i="5" s="1"/>
  <c r="CE58" i="5" a="1"/>
  <c r="CE58" i="5" s="1"/>
  <c r="CE47" i="5" a="1"/>
  <c r="CE47" i="5" s="1"/>
  <c r="CE50" i="5" a="1"/>
  <c r="CE50" i="5" s="1"/>
  <c r="CE66" i="5" a="1"/>
  <c r="CE66" i="5" s="1"/>
  <c r="CE55" i="5" a="1"/>
  <c r="CE55" i="5" s="1"/>
  <c r="CE78" i="5" a="1"/>
  <c r="CE78" i="5" s="1"/>
  <c r="CE75" i="5" a="1"/>
  <c r="CE75" i="5" s="1"/>
  <c r="CE72" i="5" a="1"/>
  <c r="CE72" i="5" s="1"/>
  <c r="CE39" i="5" a="1"/>
  <c r="CE39" i="5" s="1"/>
  <c r="CE84" i="5" a="1"/>
  <c r="CE84" i="5" s="1"/>
  <c r="CI29" i="5"/>
  <c r="CI30" i="5"/>
  <c r="CI42" i="5" a="1"/>
  <c r="CI42" i="5" s="1"/>
  <c r="CI47" i="5" a="1"/>
  <c r="CI47" i="5" s="1"/>
  <c r="CI72" i="5" a="1"/>
  <c r="CI72" i="5" s="1"/>
  <c r="CI58" i="5" a="1"/>
  <c r="CI58" i="5" s="1"/>
  <c r="CI49" i="5"/>
  <c r="CI50" i="5" a="1"/>
  <c r="CI50" i="5" s="1"/>
  <c r="CI81" i="5" a="1"/>
  <c r="CI81" i="5" s="1"/>
  <c r="CI84" i="5" a="1"/>
  <c r="CI84" i="5" s="1"/>
  <c r="CI75" i="5" a="1"/>
  <c r="CI75" i="5" s="1"/>
  <c r="CI69" i="5" a="1"/>
  <c r="CI69" i="5" s="1"/>
  <c r="CI33" i="5" a="1"/>
  <c r="CI33" i="5" s="1"/>
  <c r="CI39" i="5" a="1"/>
  <c r="CI39" i="5" s="1"/>
  <c r="CI66" i="5" a="1"/>
  <c r="CI66" i="5" s="1"/>
  <c r="CI55" i="5" a="1"/>
  <c r="CI55" i="5" s="1"/>
  <c r="CI78" i="5" a="1"/>
  <c r="CI78" i="5" s="1"/>
  <c r="CI36" i="5" a="1"/>
  <c r="CI36" i="5" s="1"/>
  <c r="CM84" i="5" a="1"/>
  <c r="CM84" i="5" s="1"/>
  <c r="CM30" i="5"/>
  <c r="CM29" i="5"/>
  <c r="CM33" i="5" a="1"/>
  <c r="CM33" i="5" s="1"/>
  <c r="CM39" i="5" a="1"/>
  <c r="CM39" i="5" s="1"/>
  <c r="CM55" i="5" a="1"/>
  <c r="CM55" i="5" s="1"/>
  <c r="CM42" i="5" a="1"/>
  <c r="CM42" i="5" s="1"/>
  <c r="CM47" i="5" a="1"/>
  <c r="CM47" i="5" s="1"/>
  <c r="CM58" i="5" a="1"/>
  <c r="CM58" i="5" s="1"/>
  <c r="CM36" i="5" a="1"/>
  <c r="CM36" i="5" s="1"/>
  <c r="CM63" i="5" a="1"/>
  <c r="CM63" i="5" s="1"/>
  <c r="CM49" i="5"/>
  <c r="CM66" i="5" a="1"/>
  <c r="CM66" i="5" s="1"/>
  <c r="CM69" i="5" a="1"/>
  <c r="CM69" i="5" s="1"/>
  <c r="CM72" i="5" a="1"/>
  <c r="CM72" i="5" s="1"/>
  <c r="CM78" i="5" a="1"/>
  <c r="CM78" i="5" s="1"/>
  <c r="CM50" i="5" a="1"/>
  <c r="CM50" i="5" s="1"/>
  <c r="CM75" i="5" a="1"/>
  <c r="CM75" i="5" s="1"/>
  <c r="CQ49" i="5"/>
  <c r="CQ30" i="5"/>
  <c r="CQ29" i="5"/>
  <c r="CQ42" i="5" a="1"/>
  <c r="CQ42" i="5" s="1"/>
  <c r="CQ84" i="5" a="1"/>
  <c r="CQ84" i="5" s="1"/>
  <c r="CQ36" i="5" a="1"/>
  <c r="CQ36" i="5" s="1"/>
  <c r="CQ50" i="5" a="1"/>
  <c r="CQ50" i="5" s="1"/>
  <c r="CQ69" i="5" a="1"/>
  <c r="CQ69" i="5" s="1"/>
  <c r="CQ72" i="5" a="1"/>
  <c r="CQ72" i="5" s="1"/>
  <c r="CQ33" i="5" a="1"/>
  <c r="CQ33" i="5" s="1"/>
  <c r="CQ47" i="5" a="1"/>
  <c r="CQ47" i="5" s="1"/>
  <c r="CQ55" i="5" a="1"/>
  <c r="CQ55" i="5" s="1"/>
  <c r="CQ58" i="5" a="1"/>
  <c r="CQ58" i="5" s="1"/>
  <c r="CQ75" i="5" a="1"/>
  <c r="CQ75" i="5" s="1"/>
  <c r="CQ63" i="5" a="1"/>
  <c r="CQ63" i="5" s="1"/>
  <c r="CQ78" i="5" a="1"/>
  <c r="CQ78" i="5" s="1"/>
  <c r="CQ66" i="5" a="1"/>
  <c r="CQ66" i="5" s="1"/>
  <c r="CQ81" i="5" a="1"/>
  <c r="CQ81" i="5" s="1"/>
  <c r="CQ39" i="5" a="1"/>
  <c r="CQ39" i="5" s="1"/>
  <c r="DA30" i="5"/>
  <c r="DA29" i="5"/>
  <c r="DA63" i="5" a="1"/>
  <c r="DA63" i="5" s="1"/>
  <c r="DA66" i="5" a="1"/>
  <c r="DA66" i="5" s="1"/>
  <c r="DA42" i="5" a="1"/>
  <c r="DA42" i="5" s="1"/>
  <c r="DA55" i="5" a="1"/>
  <c r="DA55" i="5" s="1"/>
  <c r="DA69" i="5" a="1"/>
  <c r="DA69" i="5" s="1"/>
  <c r="DA33" i="5" a="1"/>
  <c r="DA33" i="5" s="1"/>
  <c r="DA72" i="5" a="1"/>
  <c r="DA72" i="5" s="1"/>
  <c r="DA78" i="5" a="1"/>
  <c r="DA78" i="5" s="1"/>
  <c r="DA36" i="5" a="1"/>
  <c r="DA36" i="5" s="1"/>
  <c r="DA50" i="5" a="1"/>
  <c r="DA50" i="5" s="1"/>
  <c r="DA49" i="5"/>
  <c r="DA47" i="5" a="1"/>
  <c r="DA47" i="5" s="1"/>
  <c r="DA39" i="5" a="1"/>
  <c r="DA39" i="5" s="1"/>
  <c r="DA58" i="5" a="1"/>
  <c r="DA58" i="5" s="1"/>
  <c r="DA75" i="5" a="1"/>
  <c r="DA75" i="5" s="1"/>
  <c r="DD78" i="5" a="1"/>
  <c r="DD78" i="5" s="1"/>
  <c r="DD30" i="5"/>
  <c r="DD29" i="5"/>
  <c r="DD69" i="5" a="1"/>
  <c r="DD69" i="5" s="1"/>
  <c r="DD63" i="5" a="1"/>
  <c r="DD63" i="5" s="1"/>
  <c r="DD39" i="5" a="1"/>
  <c r="DD39" i="5" s="1"/>
  <c r="DD50" i="5" a="1"/>
  <c r="DD50" i="5" s="1"/>
  <c r="DD42" i="5" a="1"/>
  <c r="DD42" i="5" s="1"/>
  <c r="DD33" i="5" a="1"/>
  <c r="DD33" i="5" s="1"/>
  <c r="DD84" i="5" a="1"/>
  <c r="DD84" i="5" s="1"/>
  <c r="DD55" i="5" a="1"/>
  <c r="DD55" i="5" s="1"/>
  <c r="DD49" i="5"/>
  <c r="DD66" i="5" a="1"/>
  <c r="DD66" i="5" s="1"/>
  <c r="DD75" i="5" a="1"/>
  <c r="DD75" i="5" s="1"/>
  <c r="DD36" i="5" a="1"/>
  <c r="DD36" i="5" s="1"/>
  <c r="DD81" i="5" a="1"/>
  <c r="DD81" i="5" s="1"/>
  <c r="DD47" i="5" a="1"/>
  <c r="DD47" i="5" s="1"/>
  <c r="DD72" i="5" a="1"/>
  <c r="DD72" i="5" s="1"/>
  <c r="DD58" i="5" a="1"/>
  <c r="DD58" i="5" s="1"/>
  <c r="DC84" i="5" a="1"/>
  <c r="DC84" i="5" s="1"/>
  <c r="DC30" i="5"/>
  <c r="DC29" i="5"/>
  <c r="DC81" i="5" a="1"/>
  <c r="DC81" i="5" s="1"/>
  <c r="DC33" i="5" a="1"/>
  <c r="DC33" i="5" s="1"/>
  <c r="DC47" i="5" a="1"/>
  <c r="DC47" i="5" s="1"/>
  <c r="DC63" i="5" a="1"/>
  <c r="DC63" i="5" s="1"/>
  <c r="DC39" i="5" a="1"/>
  <c r="DC39" i="5" s="1"/>
  <c r="DC78" i="5" a="1"/>
  <c r="DC78" i="5" s="1"/>
  <c r="DC49" i="5"/>
  <c r="DC66" i="5" a="1"/>
  <c r="DC66" i="5" s="1"/>
  <c r="DC69" i="5" a="1"/>
  <c r="DC69" i="5" s="1"/>
  <c r="DC58" i="5" a="1"/>
  <c r="DC58" i="5" s="1"/>
  <c r="DC50" i="5" a="1"/>
  <c r="DC50" i="5" s="1"/>
  <c r="DC75" i="5" a="1"/>
  <c r="DC75" i="5" s="1"/>
  <c r="DC42" i="5" a="1"/>
  <c r="DC42" i="5" s="1"/>
  <c r="DC55" i="5" a="1"/>
  <c r="DC55" i="5" s="1"/>
  <c r="DC36" i="5" a="1"/>
  <c r="DC36" i="5" s="1"/>
  <c r="DC72" i="5" a="1"/>
  <c r="DC72" i="5" s="1"/>
  <c r="BU41" i="5"/>
  <c r="X41" i="5"/>
  <c r="CM41" i="5"/>
  <c r="DC46" i="5"/>
  <c r="BV58" i="5" a="1"/>
  <c r="BV58" i="5" s="1"/>
  <c r="BV72" i="5" a="1"/>
  <c r="BV72" i="5" s="1"/>
  <c r="BV30" i="5"/>
  <c r="CJ35" i="5"/>
  <c r="CD78" i="5" a="1"/>
  <c r="CD78" i="5" s="1"/>
  <c r="CD41" i="5"/>
  <c r="CH78" i="5" a="1"/>
  <c r="CH78" i="5" s="1"/>
  <c r="CH41" i="5"/>
  <c r="CS84" i="5" a="1"/>
  <c r="CS84" i="5" s="1"/>
  <c r="CS41" i="5"/>
  <c r="CO54" i="5"/>
  <c r="CN65" i="5"/>
  <c r="CS46" i="5"/>
  <c r="CY62" i="5"/>
  <c r="BU62" i="5"/>
  <c r="BV32" i="5"/>
  <c r="BZ49" i="5"/>
  <c r="DB54" i="5"/>
  <c r="CH54" i="5"/>
  <c r="CT62" i="5"/>
  <c r="CD62" i="5"/>
  <c r="CZ32" i="5"/>
  <c r="CJ32" i="5"/>
  <c r="BU65" i="5"/>
  <c r="DB46" i="5"/>
  <c r="CH46" i="5"/>
  <c r="CR46" i="5"/>
  <c r="CY63" i="5" a="1"/>
  <c r="CY63" i="5" s="1"/>
  <c r="CY46" i="5"/>
  <c r="CI63" i="5" a="1"/>
  <c r="CI63" i="5" s="1"/>
  <c r="CI46" i="5"/>
  <c r="BV69" i="5" a="1"/>
  <c r="BV69" i="5" s="1"/>
  <c r="BV63" i="5" a="1"/>
  <c r="BV63" i="5" s="1"/>
  <c r="BV36" i="5" a="1"/>
  <c r="BV36" i="5" s="1"/>
  <c r="BV47" i="5" a="1"/>
  <c r="BV47" i="5" s="1"/>
  <c r="BV29" i="5"/>
  <c r="BX54" i="5"/>
  <c r="CF54" i="5"/>
  <c r="CR35" i="5"/>
  <c r="CF35" i="5"/>
  <c r="BZ78" i="5" a="1"/>
  <c r="BZ78" i="5" s="1"/>
  <c r="BZ41" i="5"/>
  <c r="CV41" i="5"/>
  <c r="CO41" i="5"/>
  <c r="CT78" i="5" a="1"/>
  <c r="CT78" i="5" s="1"/>
  <c r="CT41" i="5"/>
  <c r="CT38" i="5"/>
  <c r="CP65" i="5"/>
  <c r="BZ65" i="5"/>
  <c r="BZ35" i="5"/>
  <c r="CP35" i="5"/>
  <c r="CQ35" i="5"/>
  <c r="BU38" i="5"/>
  <c r="CW35" i="5"/>
  <c r="CG35" i="5"/>
  <c r="CP32" i="5"/>
  <c r="CG49" i="5"/>
  <c r="CW54" i="5"/>
  <c r="BW65" i="5"/>
  <c r="CE65" i="5"/>
  <c r="DD65" i="5"/>
  <c r="CY65" i="5"/>
  <c r="CO65" i="5"/>
  <c r="DA81" i="5" a="1"/>
  <c r="DA81" i="5" s="1"/>
  <c r="CK75" i="5" a="1"/>
  <c r="CK75" i="5" s="1"/>
  <c r="BY46" i="5"/>
  <c r="CC46" i="5"/>
  <c r="CG46" i="5"/>
  <c r="CK46" i="5"/>
  <c r="CO46" i="5"/>
  <c r="CK62" i="5"/>
  <c r="CU62" i="5"/>
  <c r="CE62" i="5"/>
  <c r="CJ57" i="5"/>
  <c r="DA57" i="5"/>
  <c r="CW57" i="5"/>
  <c r="CX57" i="5"/>
  <c r="CU32" i="5"/>
  <c r="CY54" i="5"/>
  <c r="BW38" i="5"/>
  <c r="CA38" i="5"/>
  <c r="DA38" i="5"/>
  <c r="CP38" i="5"/>
  <c r="CO38" i="5"/>
  <c r="CQ38" i="5"/>
  <c r="BY30" i="5"/>
  <c r="BY29" i="5"/>
  <c r="BY72" i="5" a="1"/>
  <c r="BY72" i="5" s="1"/>
  <c r="BY58" i="5" a="1"/>
  <c r="BY58" i="5" s="1"/>
  <c r="BY75" i="5" a="1"/>
  <c r="BY75" i="5" s="1"/>
  <c r="BY33" i="5" a="1"/>
  <c r="BY33" i="5" s="1"/>
  <c r="BY78" i="5" a="1"/>
  <c r="BY78" i="5" s="1"/>
  <c r="BY50" i="5" a="1"/>
  <c r="BY50" i="5" s="1"/>
  <c r="BY69" i="5" a="1"/>
  <c r="BY69" i="5" s="1"/>
  <c r="BY84" i="5" a="1"/>
  <c r="BY84" i="5" s="1"/>
  <c r="BY42" i="5" a="1"/>
  <c r="BY42" i="5" s="1"/>
  <c r="BY47" i="5" a="1"/>
  <c r="BY47" i="5" s="1"/>
  <c r="BY39" i="5" a="1"/>
  <c r="BY39" i="5" s="1"/>
  <c r="BY55" i="5" a="1"/>
  <c r="BY55" i="5" s="1"/>
  <c r="BY49" i="5"/>
  <c r="BY36" i="5" a="1"/>
  <c r="BY36" i="5" s="1"/>
  <c r="BY66" i="5" a="1"/>
  <c r="BY66" i="5" s="1"/>
  <c r="BY63" i="5" a="1"/>
  <c r="BY63" i="5" s="1"/>
  <c r="CC29" i="5"/>
  <c r="CC30" i="5"/>
  <c r="CC42" i="5" a="1"/>
  <c r="CC42" i="5" s="1"/>
  <c r="CC49" i="5"/>
  <c r="CC69" i="5" a="1"/>
  <c r="CC69" i="5" s="1"/>
  <c r="CC72" i="5" a="1"/>
  <c r="CC72" i="5" s="1"/>
  <c r="CC55" i="5" a="1"/>
  <c r="CC55" i="5" s="1"/>
  <c r="CC36" i="5" a="1"/>
  <c r="CC36" i="5" s="1"/>
  <c r="CC66" i="5" a="1"/>
  <c r="CC66" i="5" s="1"/>
  <c r="CC81" i="5" a="1"/>
  <c r="CC81" i="5" s="1"/>
  <c r="CC50" i="5" a="1"/>
  <c r="CC50" i="5" s="1"/>
  <c r="CC33" i="5" a="1"/>
  <c r="CC33" i="5" s="1"/>
  <c r="CC47" i="5" a="1"/>
  <c r="CC47" i="5" s="1"/>
  <c r="CC63" i="5" a="1"/>
  <c r="CC63" i="5" s="1"/>
  <c r="CC39" i="5" a="1"/>
  <c r="CC39" i="5" s="1"/>
  <c r="CC78" i="5" a="1"/>
  <c r="CC78" i="5" s="1"/>
  <c r="CC58" i="5" a="1"/>
  <c r="CC58" i="5" s="1"/>
  <c r="CG29" i="5"/>
  <c r="CG30" i="5"/>
  <c r="CG69" i="5" a="1"/>
  <c r="CG69" i="5" s="1"/>
  <c r="CG33" i="5" a="1"/>
  <c r="CG33" i="5" s="1"/>
  <c r="CG47" i="5" a="1"/>
  <c r="CG47" i="5" s="1"/>
  <c r="CG84" i="5" a="1"/>
  <c r="CG84" i="5" s="1"/>
  <c r="CG78" i="5" a="1"/>
  <c r="CG78" i="5" s="1"/>
  <c r="CG50" i="5" a="1"/>
  <c r="CG50" i="5" s="1"/>
  <c r="CG66" i="5" a="1"/>
  <c r="CG66" i="5" s="1"/>
  <c r="CG81" i="5" a="1"/>
  <c r="CG81" i="5" s="1"/>
  <c r="CG39" i="5" a="1"/>
  <c r="CG39" i="5" s="1"/>
  <c r="CG42" i="5" a="1"/>
  <c r="CG42" i="5" s="1"/>
  <c r="CG72" i="5" a="1"/>
  <c r="CG72" i="5" s="1"/>
  <c r="CG55" i="5" a="1"/>
  <c r="CG55" i="5" s="1"/>
  <c r="CG58" i="5" a="1"/>
  <c r="CG58" i="5" s="1"/>
  <c r="CG75" i="5" a="1"/>
  <c r="CG75" i="5" s="1"/>
  <c r="CG36" i="5" a="1"/>
  <c r="CG36" i="5" s="1"/>
  <c r="CG63" i="5" a="1"/>
  <c r="CG63" i="5" s="1"/>
  <c r="CK30" i="5"/>
  <c r="CK29" i="5"/>
  <c r="CK69" i="5" a="1"/>
  <c r="CK69" i="5" s="1"/>
  <c r="CK81" i="5" a="1"/>
  <c r="CK81" i="5" s="1"/>
  <c r="CK33" i="5" a="1"/>
  <c r="CK33" i="5" s="1"/>
  <c r="CK39" i="5" a="1"/>
  <c r="CK39" i="5" s="1"/>
  <c r="CK50" i="5" a="1"/>
  <c r="CK50" i="5" s="1"/>
  <c r="CK63" i="5" a="1"/>
  <c r="CK63" i="5" s="1"/>
  <c r="CK72" i="5" a="1"/>
  <c r="CK72" i="5" s="1"/>
  <c r="CK55" i="5" a="1"/>
  <c r="CK55" i="5" s="1"/>
  <c r="CK78" i="5" a="1"/>
  <c r="CK78" i="5" s="1"/>
  <c r="CK42" i="5" a="1"/>
  <c r="CK42" i="5" s="1"/>
  <c r="CK84" i="5" a="1"/>
  <c r="CK84" i="5" s="1"/>
  <c r="CK58" i="5" a="1"/>
  <c r="CK58" i="5" s="1"/>
  <c r="CK36" i="5" a="1"/>
  <c r="CK36" i="5" s="1"/>
  <c r="CK66" i="5" a="1"/>
  <c r="CK66" i="5" s="1"/>
  <c r="CK47" i="5" a="1"/>
  <c r="CK47" i="5" s="1"/>
  <c r="CK49" i="5"/>
  <c r="CO30" i="5"/>
  <c r="CO29" i="5"/>
  <c r="CO33" i="5" a="1"/>
  <c r="CO33" i="5" s="1"/>
  <c r="CO75" i="5" a="1"/>
  <c r="CO75" i="5" s="1"/>
  <c r="CO42" i="5" a="1"/>
  <c r="CO42" i="5" s="1"/>
  <c r="CO63" i="5" a="1"/>
  <c r="CO63" i="5" s="1"/>
  <c r="CO84" i="5" a="1"/>
  <c r="CO84" i="5" s="1"/>
  <c r="CO58" i="5" a="1"/>
  <c r="CO58" i="5" s="1"/>
  <c r="CO36" i="5" a="1"/>
  <c r="CO36" i="5" s="1"/>
  <c r="CO81" i="5" a="1"/>
  <c r="CO81" i="5" s="1"/>
  <c r="CO47" i="5" a="1"/>
  <c r="CO47" i="5" s="1"/>
  <c r="CO72" i="5" a="1"/>
  <c r="CO72" i="5" s="1"/>
  <c r="CO69" i="5" a="1"/>
  <c r="CO69" i="5" s="1"/>
  <c r="CO39" i="5" a="1"/>
  <c r="CO39" i="5" s="1"/>
  <c r="CO55" i="5" a="1"/>
  <c r="CO55" i="5" s="1"/>
  <c r="CO78" i="5" a="1"/>
  <c r="CO78" i="5" s="1"/>
  <c r="CO49" i="5"/>
  <c r="CO50" i="5" a="1"/>
  <c r="CO50" i="5" s="1"/>
  <c r="CO66" i="5" a="1"/>
  <c r="CO66" i="5" s="1"/>
  <c r="CX30" i="5"/>
  <c r="CX29" i="5"/>
  <c r="CX33" i="5" a="1"/>
  <c r="CX33" i="5" s="1"/>
  <c r="CX47" i="5" a="1"/>
  <c r="CX47" i="5" s="1"/>
  <c r="CX72" i="5" a="1"/>
  <c r="CX72" i="5" s="1"/>
  <c r="CX58" i="5" a="1"/>
  <c r="CX58" i="5" s="1"/>
  <c r="CX39" i="5" a="1"/>
  <c r="CX39" i="5" s="1"/>
  <c r="CX50" i="5" a="1"/>
  <c r="CX50" i="5" s="1"/>
  <c r="CX66" i="5" a="1"/>
  <c r="CX66" i="5" s="1"/>
  <c r="CX69" i="5" a="1"/>
  <c r="CX69" i="5" s="1"/>
  <c r="CX81" i="5" a="1"/>
  <c r="CX81" i="5" s="1"/>
  <c r="CX63" i="5" a="1"/>
  <c r="CX63" i="5" s="1"/>
  <c r="CX36" i="5" a="1"/>
  <c r="CX36" i="5" s="1"/>
  <c r="CX84" i="5" a="1"/>
  <c r="CX84" i="5" s="1"/>
  <c r="CX55" i="5" a="1"/>
  <c r="CX55" i="5" s="1"/>
  <c r="CX75" i="5" a="1"/>
  <c r="CX75" i="5" s="1"/>
  <c r="CX42" i="5" a="1"/>
  <c r="CX42" i="5" s="1"/>
  <c r="DB30" i="5"/>
  <c r="DB29" i="5"/>
  <c r="DB47" i="5" a="1"/>
  <c r="DB47" i="5" s="1"/>
  <c r="DB58" i="5" a="1"/>
  <c r="DB58" i="5" s="1"/>
  <c r="DB66" i="5" a="1"/>
  <c r="DB66" i="5" s="1"/>
  <c r="DB75" i="5" a="1"/>
  <c r="DB75" i="5" s="1"/>
  <c r="DB69" i="5" a="1"/>
  <c r="DB69" i="5" s="1"/>
  <c r="DB33" i="5" a="1"/>
  <c r="DB33" i="5" s="1"/>
  <c r="DB84" i="5" a="1"/>
  <c r="DB84" i="5" s="1"/>
  <c r="DB39" i="5" a="1"/>
  <c r="DB39" i="5" s="1"/>
  <c r="DB55" i="5" a="1"/>
  <c r="DB55" i="5" s="1"/>
  <c r="DB36" i="5" a="1"/>
  <c r="DB36" i="5" s="1"/>
  <c r="DB42" i="5" a="1"/>
  <c r="DB42" i="5" s="1"/>
  <c r="DB81" i="5" a="1"/>
  <c r="DB81" i="5" s="1"/>
  <c r="DB50" i="5" a="1"/>
  <c r="DB50" i="5" s="1"/>
  <c r="DB63" i="5" a="1"/>
  <c r="DB63" i="5" s="1"/>
  <c r="DB72" i="5" a="1"/>
  <c r="DB72" i="5" s="1"/>
  <c r="CV78" i="5" a="1"/>
  <c r="CV78" i="5" s="1"/>
  <c r="CV30" i="5"/>
  <c r="CV29" i="5"/>
  <c r="CV81" i="5" a="1"/>
  <c r="CV81" i="5" s="1"/>
  <c r="CV47" i="5" a="1"/>
  <c r="CV47" i="5" s="1"/>
  <c r="CV84" i="5" a="1"/>
  <c r="CV84" i="5" s="1"/>
  <c r="CV58" i="5" a="1"/>
  <c r="CV58" i="5" s="1"/>
  <c r="CV42" i="5" a="1"/>
  <c r="CV42" i="5" s="1"/>
  <c r="CV33" i="5" a="1"/>
  <c r="CV33" i="5" s="1"/>
  <c r="CV72" i="5" a="1"/>
  <c r="CV72" i="5" s="1"/>
  <c r="CV39" i="5" a="1"/>
  <c r="CV39" i="5" s="1"/>
  <c r="CV75" i="5" a="1"/>
  <c r="CV75" i="5" s="1"/>
  <c r="CV49" i="5"/>
  <c r="CV36" i="5" a="1"/>
  <c r="CV36" i="5" s="1"/>
  <c r="CV50" i="5" a="1"/>
  <c r="CV50" i="5" s="1"/>
  <c r="CV66" i="5" a="1"/>
  <c r="CV66" i="5" s="1"/>
  <c r="CV63" i="5" a="1"/>
  <c r="CV63" i="5" s="1"/>
  <c r="CV55" i="5" a="1"/>
  <c r="CV55" i="5" s="1"/>
  <c r="CV69" i="5" a="1"/>
  <c r="CV69" i="5" s="1"/>
  <c r="CU49" i="5"/>
  <c r="CU29" i="5"/>
  <c r="CU30" i="5"/>
  <c r="CU75" i="5" a="1"/>
  <c r="CU75" i="5" s="1"/>
  <c r="CU84" i="5" a="1"/>
  <c r="CU84" i="5" s="1"/>
  <c r="CU55" i="5" a="1"/>
  <c r="CU55" i="5" s="1"/>
  <c r="CU78" i="5" a="1"/>
  <c r="CU78" i="5" s="1"/>
  <c r="CU36" i="5" a="1"/>
  <c r="CU36" i="5" s="1"/>
  <c r="CU69" i="5" a="1"/>
  <c r="CU69" i="5" s="1"/>
  <c r="CU33" i="5" a="1"/>
  <c r="CU33" i="5" s="1"/>
  <c r="CU63" i="5" a="1"/>
  <c r="CU63" i="5" s="1"/>
  <c r="CU42" i="5" a="1"/>
  <c r="CU42" i="5" s="1"/>
  <c r="CU47" i="5" a="1"/>
  <c r="CU47" i="5" s="1"/>
  <c r="CU72" i="5" a="1"/>
  <c r="CU72" i="5" s="1"/>
  <c r="CU39" i="5" a="1"/>
  <c r="CU39" i="5" s="1"/>
  <c r="CU58" i="5" a="1"/>
  <c r="CU58" i="5" s="1"/>
  <c r="CU50" i="5" a="1"/>
  <c r="CU50" i="5" s="1"/>
  <c r="CU66" i="5" a="1"/>
  <c r="CU66" i="5" s="1"/>
  <c r="CN38" i="5"/>
  <c r="CW38" i="5"/>
  <c r="CJ41" i="5"/>
  <c r="CN41" i="5"/>
  <c r="DD41" i="5"/>
  <c r="CF41" i="5"/>
  <c r="X35" i="5"/>
  <c r="CV62" i="5"/>
  <c r="DC41" i="5"/>
  <c r="CM81" i="5" a="1"/>
  <c r="CM81" i="5" s="1"/>
  <c r="CM46" i="5"/>
  <c r="BV55" i="5" a="1"/>
  <c r="BV55" i="5" s="1"/>
  <c r="CB54" i="5"/>
  <c r="CW41" i="5"/>
  <c r="CX78" i="5" a="1"/>
  <c r="CX78" i="5" s="1"/>
  <c r="CX41" i="5"/>
  <c r="DB35" i="5"/>
  <c r="DA35" i="5"/>
  <c r="CS54" i="5"/>
  <c r="BY62" i="5"/>
  <c r="CW62" i="5"/>
  <c r="BW32" i="5"/>
  <c r="BX47" i="5" a="1"/>
  <c r="BX47" i="5" s="1"/>
  <c r="BX30" i="5"/>
  <c r="BX29" i="5"/>
  <c r="BX42" i="5" a="1"/>
  <c r="BX42" i="5" s="1"/>
  <c r="BX81" i="5" a="1"/>
  <c r="BX81" i="5" s="1"/>
  <c r="BX84" i="5" a="1"/>
  <c r="BX84" i="5" s="1"/>
  <c r="BX36" i="5" a="1"/>
  <c r="BX36" i="5" s="1"/>
  <c r="BX50" i="5" a="1"/>
  <c r="BX50" i="5" s="1"/>
  <c r="BX75" i="5" a="1"/>
  <c r="BX75" i="5" s="1"/>
  <c r="BX69" i="5" a="1"/>
  <c r="BX69" i="5" s="1"/>
  <c r="BX63" i="5" a="1"/>
  <c r="BX63" i="5" s="1"/>
  <c r="BX55" i="5" a="1"/>
  <c r="BX55" i="5" s="1"/>
  <c r="BX33" i="5" a="1"/>
  <c r="BX33" i="5" s="1"/>
  <c r="BX72" i="5" a="1"/>
  <c r="BX72" i="5" s="1"/>
  <c r="BX78" i="5" a="1"/>
  <c r="BX78" i="5" s="1"/>
  <c r="BX58" i="5" a="1"/>
  <c r="BX58" i="5" s="1"/>
  <c r="BX49" i="5"/>
  <c r="BX66" i="5" a="1"/>
  <c r="BX66" i="5" s="1"/>
  <c r="BX39" i="5" a="1"/>
  <c r="BX39" i="5" s="1"/>
  <c r="BZ29" i="5"/>
  <c r="BZ30" i="5"/>
  <c r="BZ69" i="5" a="1"/>
  <c r="BZ69" i="5" s="1"/>
  <c r="BZ47" i="5" a="1"/>
  <c r="BZ47" i="5" s="1"/>
  <c r="BZ72" i="5" a="1"/>
  <c r="BZ72" i="5" s="1"/>
  <c r="BZ55" i="5" a="1"/>
  <c r="BZ55" i="5" s="1"/>
  <c r="BZ75" i="5" a="1"/>
  <c r="BZ75" i="5" s="1"/>
  <c r="BZ33" i="5" a="1"/>
  <c r="BZ33" i="5" s="1"/>
  <c r="BZ39" i="5" a="1"/>
  <c r="BZ39" i="5" s="1"/>
  <c r="BZ42" i="5" a="1"/>
  <c r="BZ42" i="5" s="1"/>
  <c r="BZ81" i="5" a="1"/>
  <c r="BZ81" i="5" s="1"/>
  <c r="BZ36" i="5" a="1"/>
  <c r="BZ36" i="5" s="1"/>
  <c r="BZ50" i="5" a="1"/>
  <c r="BZ50" i="5" s="1"/>
  <c r="BZ63" i="5" a="1"/>
  <c r="BZ63" i="5" s="1"/>
  <c r="BZ84" i="5" a="1"/>
  <c r="BZ84" i="5" s="1"/>
  <c r="BZ58" i="5" a="1"/>
  <c r="BZ58" i="5" s="1"/>
  <c r="BZ66" i="5" a="1"/>
  <c r="BZ66" i="5" s="1"/>
  <c r="CF78" i="5" a="1"/>
  <c r="CF78" i="5" s="1"/>
  <c r="CF30" i="5"/>
  <c r="CF29" i="5"/>
  <c r="CF42" i="5" a="1"/>
  <c r="CF42" i="5" s="1"/>
  <c r="CF47" i="5" a="1"/>
  <c r="CF47" i="5" s="1"/>
  <c r="CF72" i="5" a="1"/>
  <c r="CF72" i="5" s="1"/>
  <c r="CF39" i="5" a="1"/>
  <c r="CF39" i="5" s="1"/>
  <c r="CF36" i="5" a="1"/>
  <c r="CF36" i="5" s="1"/>
  <c r="CF55" i="5" a="1"/>
  <c r="CF55" i="5" s="1"/>
  <c r="CF49" i="5"/>
  <c r="CF66" i="5" a="1"/>
  <c r="CF66" i="5" s="1"/>
  <c r="CF50" i="5" a="1"/>
  <c r="CF50" i="5" s="1"/>
  <c r="CF75" i="5" a="1"/>
  <c r="CF75" i="5" s="1"/>
  <c r="CF69" i="5" a="1"/>
  <c r="CF69" i="5" s="1"/>
  <c r="CF81" i="5" a="1"/>
  <c r="CF81" i="5" s="1"/>
  <c r="CF33" i="5" a="1"/>
  <c r="CF33" i="5" s="1"/>
  <c r="CF63" i="5" a="1"/>
  <c r="CF63" i="5" s="1"/>
  <c r="CF84" i="5" a="1"/>
  <c r="CF84" i="5" s="1"/>
  <c r="CF58" i="5" a="1"/>
  <c r="CF58" i="5" s="1"/>
  <c r="CJ72" i="5" a="1"/>
  <c r="CJ72" i="5" s="1"/>
  <c r="CJ30" i="5"/>
  <c r="CJ29" i="5"/>
  <c r="CJ42" i="5" a="1"/>
  <c r="CJ42" i="5" s="1"/>
  <c r="CJ47" i="5" a="1"/>
  <c r="CJ47" i="5" s="1"/>
  <c r="CJ58" i="5" a="1"/>
  <c r="CJ58" i="5" s="1"/>
  <c r="CJ75" i="5" a="1"/>
  <c r="CJ75" i="5" s="1"/>
  <c r="CJ63" i="5" a="1"/>
  <c r="CJ63" i="5" s="1"/>
  <c r="CJ69" i="5" a="1"/>
  <c r="CJ69" i="5" s="1"/>
  <c r="CJ81" i="5" a="1"/>
  <c r="CJ81" i="5" s="1"/>
  <c r="CJ50" i="5" a="1"/>
  <c r="CJ50" i="5" s="1"/>
  <c r="CJ33" i="5" a="1"/>
  <c r="CJ33" i="5" s="1"/>
  <c r="CJ39" i="5" a="1"/>
  <c r="CJ39" i="5" s="1"/>
  <c r="CJ78" i="5" a="1"/>
  <c r="CJ78" i="5" s="1"/>
  <c r="CJ36" i="5" a="1"/>
  <c r="CJ36" i="5" s="1"/>
  <c r="CJ49" i="5"/>
  <c r="CJ66" i="5" a="1"/>
  <c r="CJ66" i="5" s="1"/>
  <c r="CJ84" i="5" a="1"/>
  <c r="CJ84" i="5" s="1"/>
  <c r="CJ55" i="5" a="1"/>
  <c r="CJ55" i="5" s="1"/>
  <c r="CN55" i="5" a="1"/>
  <c r="CN55" i="5" s="1"/>
  <c r="CN29" i="5"/>
  <c r="CN30" i="5"/>
  <c r="CN39" i="5" a="1"/>
  <c r="CN39" i="5" s="1"/>
  <c r="CN66" i="5" a="1"/>
  <c r="CN66" i="5" s="1"/>
  <c r="CN33" i="5" a="1"/>
  <c r="CN33" i="5" s="1"/>
  <c r="CN72" i="5" a="1"/>
  <c r="CN72" i="5" s="1"/>
  <c r="CN42" i="5" a="1"/>
  <c r="CN42" i="5" s="1"/>
  <c r="CN63" i="5" a="1"/>
  <c r="CN63" i="5" s="1"/>
  <c r="CN84" i="5" a="1"/>
  <c r="CN84" i="5" s="1"/>
  <c r="CN78" i="5" a="1"/>
  <c r="CN78" i="5" s="1"/>
  <c r="CN58" i="5" a="1"/>
  <c r="CN58" i="5" s="1"/>
  <c r="CN69" i="5" a="1"/>
  <c r="CN69" i="5" s="1"/>
  <c r="CN81" i="5" a="1"/>
  <c r="CN81" i="5" s="1"/>
  <c r="CN47" i="5" a="1"/>
  <c r="CN47" i="5" s="1"/>
  <c r="CN50" i="5" a="1"/>
  <c r="CN50" i="5" s="1"/>
  <c r="CN75" i="5" a="1"/>
  <c r="CN75" i="5" s="1"/>
  <c r="CN36" i="5" a="1"/>
  <c r="CN36" i="5" s="1"/>
  <c r="CN49" i="5"/>
  <c r="CS29" i="5"/>
  <c r="CS30" i="5"/>
  <c r="CS55" i="5" a="1"/>
  <c r="CS55" i="5" s="1"/>
  <c r="CS78" i="5" a="1"/>
  <c r="CS78" i="5" s="1"/>
  <c r="CS36" i="5" a="1"/>
  <c r="CS36" i="5" s="1"/>
  <c r="CS50" i="5" a="1"/>
  <c r="CS50" i="5" s="1"/>
  <c r="CS69" i="5" a="1"/>
  <c r="CS69" i="5" s="1"/>
  <c r="CS81" i="5" a="1"/>
  <c r="CS81" i="5" s="1"/>
  <c r="CS49" i="5"/>
  <c r="CS66" i="5" a="1"/>
  <c r="CS66" i="5" s="1"/>
  <c r="CS75" i="5" a="1"/>
  <c r="CS75" i="5" s="1"/>
  <c r="CS42" i="5" a="1"/>
  <c r="CS42" i="5" s="1"/>
  <c r="CS58" i="5" a="1"/>
  <c r="CS58" i="5" s="1"/>
  <c r="CS33" i="5" a="1"/>
  <c r="CS33" i="5" s="1"/>
  <c r="CS47" i="5" a="1"/>
  <c r="CS47" i="5" s="1"/>
  <c r="CS63" i="5" a="1"/>
  <c r="CS63" i="5" s="1"/>
  <c r="CS72" i="5" a="1"/>
  <c r="CS72" i="5" s="1"/>
  <c r="CZ69" i="5" a="1"/>
  <c r="CZ69" i="5" s="1"/>
  <c r="CZ30" i="5"/>
  <c r="CZ29" i="5"/>
  <c r="CZ33" i="5" a="1"/>
  <c r="CZ33" i="5" s="1"/>
  <c r="CZ63" i="5" a="1"/>
  <c r="CZ63" i="5" s="1"/>
  <c r="CZ84" i="5" a="1"/>
  <c r="CZ84" i="5" s="1"/>
  <c r="CZ55" i="5" a="1"/>
  <c r="CZ55" i="5" s="1"/>
  <c r="CZ36" i="5" a="1"/>
  <c r="CZ36" i="5" s="1"/>
  <c r="CZ75" i="5" a="1"/>
  <c r="CZ75" i="5" s="1"/>
  <c r="CZ42" i="5" a="1"/>
  <c r="CZ42" i="5" s="1"/>
  <c r="CZ81" i="5" a="1"/>
  <c r="CZ81" i="5" s="1"/>
  <c r="CZ58" i="5" a="1"/>
  <c r="CZ58" i="5" s="1"/>
  <c r="CZ49" i="5"/>
  <c r="CZ78" i="5" a="1"/>
  <c r="CZ78" i="5" s="1"/>
  <c r="CZ47" i="5" a="1"/>
  <c r="CZ47" i="5" s="1"/>
  <c r="CZ72" i="5" a="1"/>
  <c r="CZ72" i="5" s="1"/>
  <c r="CZ39" i="5" a="1"/>
  <c r="CZ39" i="5" s="1"/>
  <c r="CZ66" i="5" a="1"/>
  <c r="CZ66" i="5" s="1"/>
  <c r="CZ50" i="5" a="1"/>
  <c r="CZ50" i="5" s="1"/>
  <c r="CY66" i="5" a="1"/>
  <c r="CY66" i="5" s="1"/>
  <c r="CY29" i="5"/>
  <c r="CY30" i="5"/>
  <c r="CY78" i="5" a="1"/>
  <c r="CY78" i="5" s="1"/>
  <c r="CY36" i="5" a="1"/>
  <c r="CY36" i="5" s="1"/>
  <c r="CY50" i="5" a="1"/>
  <c r="CY50" i="5" s="1"/>
  <c r="CY69" i="5" a="1"/>
  <c r="CY69" i="5" s="1"/>
  <c r="CY81" i="5" a="1"/>
  <c r="CY81" i="5" s="1"/>
  <c r="CY33" i="5" a="1"/>
  <c r="CY33" i="5" s="1"/>
  <c r="CY47" i="5" a="1"/>
  <c r="CY47" i="5" s="1"/>
  <c r="CY55" i="5" a="1"/>
  <c r="CY55" i="5" s="1"/>
  <c r="CY49" i="5"/>
  <c r="CY72" i="5" a="1"/>
  <c r="CY72" i="5" s="1"/>
  <c r="CY84" i="5" a="1"/>
  <c r="CY84" i="5" s="1"/>
  <c r="CY39" i="5" a="1"/>
  <c r="CY39" i="5" s="1"/>
  <c r="CY58" i="5" a="1"/>
  <c r="CY58" i="5" s="1"/>
  <c r="CY42" i="5" a="1"/>
  <c r="CY42" i="5" s="1"/>
  <c r="CY75" i="5" a="1"/>
  <c r="CY75" i="5" s="1"/>
  <c r="BX57" i="5"/>
  <c r="CR57" i="5"/>
  <c r="BY38" i="5"/>
  <c r="X62" i="5"/>
  <c r="X32" i="5"/>
  <c r="DB49" i="5"/>
  <c r="CT54" i="5"/>
  <c r="CL54" i="5"/>
  <c r="CH62" i="5"/>
  <c r="BY32" i="5"/>
  <c r="CW32" i="5"/>
  <c r="CG32" i="5"/>
  <c r="CV32" i="5"/>
  <c r="CZ62" i="5"/>
  <c r="BV35" i="5"/>
  <c r="BW41" i="5"/>
  <c r="CA41" i="5"/>
  <c r="CE41" i="5"/>
  <c r="CI41" i="5"/>
  <c r="CU41" i="5"/>
  <c r="CI57" i="5"/>
  <c r="CM57" i="5"/>
  <c r="CQ57" i="5"/>
  <c r="CU57" i="5"/>
  <c r="CY57" i="5"/>
  <c r="CB46" i="5"/>
  <c r="CD46" i="5"/>
  <c r="CT46" i="5"/>
  <c r="CL46" i="5"/>
  <c r="DD46" i="5"/>
  <c r="CN46" i="5"/>
  <c r="CU81" i="5" a="1"/>
  <c r="CU81" i="5" s="1"/>
  <c r="CU46" i="5"/>
  <c r="BV75" i="5" a="1"/>
  <c r="BV75" i="5" s="1"/>
  <c r="BV39" i="5" a="1"/>
  <c r="BV39" i="5" s="1"/>
  <c r="BV42" i="5" a="1"/>
  <c r="BV42" i="5" s="1"/>
  <c r="BV78" i="5" a="1"/>
  <c r="BV78" i="5" s="1"/>
  <c r="BV41" i="5"/>
  <c r="CZ54" i="5"/>
  <c r="CJ54" i="5"/>
  <c r="DD35" i="5"/>
  <c r="CP78" i="5" a="1"/>
  <c r="CP78" i="5" s="1"/>
  <c r="CP41" i="5"/>
  <c r="CL65" i="5"/>
  <c r="BW35" i="5"/>
  <c r="CL35" i="5"/>
  <c r="CT35" i="5"/>
  <c r="CH35" i="5"/>
  <c r="DC35" i="5"/>
  <c r="CM35" i="5"/>
  <c r="BV65" i="5"/>
  <c r="BY35" i="5"/>
  <c r="CS35" i="5"/>
  <c r="CC35" i="5"/>
  <c r="DB32" i="5"/>
  <c r="CL32" i="5"/>
  <c r="CC54" i="5"/>
  <c r="CG54" i="5"/>
  <c r="CK54" i="5"/>
  <c r="DA54" i="5"/>
  <c r="BX65" i="5"/>
  <c r="CB65" i="5"/>
  <c r="CF65" i="5"/>
  <c r="DC65" i="5"/>
  <c r="CQ65" i="5"/>
  <c r="CJ65" i="5"/>
  <c r="DA65" i="5"/>
  <c r="CK65" i="5"/>
  <c r="BY81" i="5" a="1"/>
  <c r="BY81" i="5" s="1"/>
  <c r="CC75" i="5" a="1"/>
  <c r="CC75" i="5" s="1"/>
  <c r="DA46" i="5"/>
  <c r="BW62" i="5"/>
  <c r="CG62" i="5"/>
  <c r="CC62" i="5"/>
  <c r="CQ62" i="5"/>
  <c r="DB62" i="5"/>
  <c r="CL62" i="5"/>
  <c r="CC57" i="5"/>
  <c r="CG57" i="5"/>
  <c r="CK57" i="5"/>
  <c r="CS57" i="5"/>
  <c r="CO57" i="5"/>
  <c r="CT57" i="5"/>
  <c r="BV38" i="5"/>
  <c r="BU57" i="5"/>
  <c r="CY32" i="5"/>
  <c r="CM32" i="5"/>
  <c r="BW54" i="5"/>
  <c r="CE54" i="5"/>
  <c r="CI54" i="5"/>
  <c r="CQ54" i="5"/>
  <c r="DC54" i="5"/>
  <c r="BX38" i="5"/>
  <c r="BZ38" i="5"/>
  <c r="CH38" i="5"/>
  <c r="CS38" i="5"/>
  <c r="DC38" i="5"/>
  <c r="CM38" i="5"/>
  <c r="CB69" i="5" a="1"/>
  <c r="CB69" i="5" s="1"/>
  <c r="CB29" i="5"/>
  <c r="CB30" i="5"/>
  <c r="CB39" i="5" a="1"/>
  <c r="CB39" i="5" s="1"/>
  <c r="CB36" i="5" a="1"/>
  <c r="CB36" i="5" s="1"/>
  <c r="CB66" i="5" a="1"/>
  <c r="CB66" i="5" s="1"/>
  <c r="CB42" i="5" a="1"/>
  <c r="CB42" i="5" s="1"/>
  <c r="CB47" i="5" a="1"/>
  <c r="CB47" i="5" s="1"/>
  <c r="CB50" i="5" a="1"/>
  <c r="CB50" i="5" s="1"/>
  <c r="CB81" i="5" a="1"/>
  <c r="CB81" i="5" s="1"/>
  <c r="CB33" i="5" a="1"/>
  <c r="CB33" i="5" s="1"/>
  <c r="CB63" i="5" a="1"/>
  <c r="CB63" i="5" s="1"/>
  <c r="CB84" i="5" a="1"/>
  <c r="CB84" i="5" s="1"/>
  <c r="CB55" i="5" a="1"/>
  <c r="CB55" i="5" s="1"/>
  <c r="CB78" i="5" a="1"/>
  <c r="CB78" i="5" s="1"/>
  <c r="CB75" i="5" a="1"/>
  <c r="CB75" i="5" s="1"/>
  <c r="CB72" i="5" a="1"/>
  <c r="CB72" i="5" s="1"/>
  <c r="CB58" i="5" a="1"/>
  <c r="CB58" i="5" s="1"/>
  <c r="CD29" i="5"/>
  <c r="CD30" i="5"/>
  <c r="CD69" i="5" a="1"/>
  <c r="CD69" i="5" s="1"/>
  <c r="CD42" i="5" a="1"/>
  <c r="CD42" i="5" s="1"/>
  <c r="CD81" i="5" a="1"/>
  <c r="CD81" i="5" s="1"/>
  <c r="CD47" i="5" a="1"/>
  <c r="CD47" i="5" s="1"/>
  <c r="CD36" i="5" a="1"/>
  <c r="CD36" i="5" s="1"/>
  <c r="CD72" i="5" a="1"/>
  <c r="CD72" i="5" s="1"/>
  <c r="CD55" i="5" a="1"/>
  <c r="CD55" i="5" s="1"/>
  <c r="CD66" i="5" a="1"/>
  <c r="CD66" i="5" s="1"/>
  <c r="CD33" i="5" a="1"/>
  <c r="CD33" i="5" s="1"/>
  <c r="CD63" i="5" a="1"/>
  <c r="CD63" i="5" s="1"/>
  <c r="CD84" i="5" a="1"/>
  <c r="CD84" i="5" s="1"/>
  <c r="CD39" i="5" a="1"/>
  <c r="CD39" i="5" s="1"/>
  <c r="CD58" i="5" a="1"/>
  <c r="CD58" i="5" s="1"/>
  <c r="CD50" i="5" a="1"/>
  <c r="CD50" i="5" s="1"/>
  <c r="CD75" i="5" a="1"/>
  <c r="CD75" i="5" s="1"/>
  <c r="CH30" i="5"/>
  <c r="CH29" i="5"/>
  <c r="CH42" i="5" a="1"/>
  <c r="CH42" i="5" s="1"/>
  <c r="CH72" i="5" a="1"/>
  <c r="CH72" i="5" s="1"/>
  <c r="CH50" i="5" a="1"/>
  <c r="CH50" i="5" s="1"/>
  <c r="CH33" i="5" a="1"/>
  <c r="CH33" i="5" s="1"/>
  <c r="CH36" i="5" a="1"/>
  <c r="CH36" i="5" s="1"/>
  <c r="CH39" i="5" a="1"/>
  <c r="CH39" i="5" s="1"/>
  <c r="CH69" i="5" a="1"/>
  <c r="CH69" i="5" s="1"/>
  <c r="CH47" i="5" a="1"/>
  <c r="CH47" i="5" s="1"/>
  <c r="CH63" i="5" a="1"/>
  <c r="CH63" i="5" s="1"/>
  <c r="CH75" i="5" a="1"/>
  <c r="CH75" i="5" s="1"/>
  <c r="CH55" i="5" a="1"/>
  <c r="CH55" i="5" s="1"/>
  <c r="CH81" i="5" a="1"/>
  <c r="CH81" i="5" s="1"/>
  <c r="CH84" i="5" a="1"/>
  <c r="CH84" i="5" s="1"/>
  <c r="CH58" i="5" a="1"/>
  <c r="CH58" i="5" s="1"/>
  <c r="CH66" i="5" a="1"/>
  <c r="CH66" i="5" s="1"/>
  <c r="CL29" i="5"/>
  <c r="CL30" i="5"/>
  <c r="CL72" i="5" a="1"/>
  <c r="CL72" i="5" s="1"/>
  <c r="CL84" i="5" a="1"/>
  <c r="CL84" i="5" s="1"/>
  <c r="CL50" i="5" a="1"/>
  <c r="CL50" i="5" s="1"/>
  <c r="CL75" i="5" a="1"/>
  <c r="CL75" i="5" s="1"/>
  <c r="CL42" i="5" a="1"/>
  <c r="CL42" i="5" s="1"/>
  <c r="CL81" i="5" a="1"/>
  <c r="CL81" i="5" s="1"/>
  <c r="CL69" i="5" a="1"/>
  <c r="CL69" i="5" s="1"/>
  <c r="CL33" i="5" a="1"/>
  <c r="CL33" i="5" s="1"/>
  <c r="CL47" i="5" a="1"/>
  <c r="CL47" i="5" s="1"/>
  <c r="CL39" i="5" a="1"/>
  <c r="CL39" i="5" s="1"/>
  <c r="CL55" i="5" a="1"/>
  <c r="CL55" i="5" s="1"/>
  <c r="CL58" i="5" a="1"/>
  <c r="CL58" i="5" s="1"/>
  <c r="CL36" i="5" a="1"/>
  <c r="CL36" i="5" s="1"/>
  <c r="CL66" i="5" a="1"/>
  <c r="CL66" i="5" s="1"/>
  <c r="CL63" i="5" a="1"/>
  <c r="CL63" i="5" s="1"/>
  <c r="CP30" i="5"/>
  <c r="CP29" i="5"/>
  <c r="CP69" i="5" a="1"/>
  <c r="CP69" i="5" s="1"/>
  <c r="CP63" i="5" a="1"/>
  <c r="CP63" i="5" s="1"/>
  <c r="CP84" i="5" a="1"/>
  <c r="CP84" i="5" s="1"/>
  <c r="CP58" i="5" a="1"/>
  <c r="CP58" i="5" s="1"/>
  <c r="CP50" i="5" a="1"/>
  <c r="CP50" i="5" s="1"/>
  <c r="CP75" i="5" a="1"/>
  <c r="CP75" i="5" s="1"/>
  <c r="CP39" i="5" a="1"/>
  <c r="CP39" i="5" s="1"/>
  <c r="CP36" i="5" a="1"/>
  <c r="CP36" i="5" s="1"/>
  <c r="CP42" i="5" a="1"/>
  <c r="CP42" i="5" s="1"/>
  <c r="CP47" i="5" a="1"/>
  <c r="CP47" i="5" s="1"/>
  <c r="CP33" i="5" a="1"/>
  <c r="CP33" i="5" s="1"/>
  <c r="CP72" i="5" a="1"/>
  <c r="CP72" i="5" s="1"/>
  <c r="CP81" i="5" a="1"/>
  <c r="CP81" i="5" s="1"/>
  <c r="CP55" i="5" a="1"/>
  <c r="CP55" i="5" s="1"/>
  <c r="CP66" i="5" a="1"/>
  <c r="CP66" i="5" s="1"/>
  <c r="CW30" i="5"/>
  <c r="CW29" i="5"/>
  <c r="CW69" i="5" a="1"/>
  <c r="CW69" i="5" s="1"/>
  <c r="CW33" i="5" a="1"/>
  <c r="CW33" i="5" s="1"/>
  <c r="CW39" i="5" a="1"/>
  <c r="CW39" i="5" s="1"/>
  <c r="CW49" i="5"/>
  <c r="CW58" i="5" a="1"/>
  <c r="CW58" i="5" s="1"/>
  <c r="CW66" i="5" a="1"/>
  <c r="CW66" i="5" s="1"/>
  <c r="CW63" i="5" a="1"/>
  <c r="CW63" i="5" s="1"/>
  <c r="CW81" i="5" a="1"/>
  <c r="CW81" i="5" s="1"/>
  <c r="CW47" i="5" a="1"/>
  <c r="CW47" i="5" s="1"/>
  <c r="CW72" i="5" a="1"/>
  <c r="CW72" i="5" s="1"/>
  <c r="CW75" i="5" a="1"/>
  <c r="CW75" i="5" s="1"/>
  <c r="CW84" i="5" a="1"/>
  <c r="CW84" i="5" s="1"/>
  <c r="CW42" i="5" a="1"/>
  <c r="CW42" i="5" s="1"/>
  <c r="CW55" i="5" a="1"/>
  <c r="CW55" i="5" s="1"/>
  <c r="CW78" i="5" a="1"/>
  <c r="CW78" i="5" s="1"/>
  <c r="CW36" i="5" a="1"/>
  <c r="CW36" i="5" s="1"/>
  <c r="CW50" i="5" a="1"/>
  <c r="CW50" i="5" s="1"/>
  <c r="CT30" i="5"/>
  <c r="CT29" i="5"/>
  <c r="CT42" i="5" a="1"/>
  <c r="CT42" i="5" s="1"/>
  <c r="CT81" i="5" a="1"/>
  <c r="CT81" i="5" s="1"/>
  <c r="CT47" i="5" a="1"/>
  <c r="CT47" i="5" s="1"/>
  <c r="CT39" i="5" a="1"/>
  <c r="CT39" i="5" s="1"/>
  <c r="CT66" i="5" a="1"/>
  <c r="CT66" i="5" s="1"/>
  <c r="CT69" i="5" a="1"/>
  <c r="CT69" i="5" s="1"/>
  <c r="CT55" i="5" a="1"/>
  <c r="CT55" i="5" s="1"/>
  <c r="CT75" i="5" a="1"/>
  <c r="CT75" i="5" s="1"/>
  <c r="CT33" i="5" a="1"/>
  <c r="CT33" i="5" s="1"/>
  <c r="CT72" i="5" a="1"/>
  <c r="CT72" i="5" s="1"/>
  <c r="CT58" i="5" a="1"/>
  <c r="CT58" i="5" s="1"/>
  <c r="CT63" i="5" a="1"/>
  <c r="CT63" i="5" s="1"/>
  <c r="CT36" i="5" a="1"/>
  <c r="CT36" i="5" s="1"/>
  <c r="CT50" i="5" a="1"/>
  <c r="CT50" i="5" s="1"/>
  <c r="CT84" i="5" a="1"/>
  <c r="CT84" i="5" s="1"/>
  <c r="CR69" i="5" a="1"/>
  <c r="CR69" i="5" s="1"/>
  <c r="CR29" i="5"/>
  <c r="CR30" i="5"/>
  <c r="CR33" i="5" a="1"/>
  <c r="CR33" i="5" s="1"/>
  <c r="CR72" i="5" a="1"/>
  <c r="CR72" i="5" s="1"/>
  <c r="CR78" i="5" a="1"/>
  <c r="CR78" i="5" s="1"/>
  <c r="CR36" i="5" a="1"/>
  <c r="CR36" i="5" s="1"/>
  <c r="CR66" i="5" a="1"/>
  <c r="CR66" i="5" s="1"/>
  <c r="CR81" i="5" a="1"/>
  <c r="CR81" i="5" s="1"/>
  <c r="CR63" i="5" a="1"/>
  <c r="CR63" i="5" s="1"/>
  <c r="CR49" i="5"/>
  <c r="CR42" i="5" a="1"/>
  <c r="CR42" i="5" s="1"/>
  <c r="CR39" i="5" a="1"/>
  <c r="CR39" i="5" s="1"/>
  <c r="CR47" i="5" a="1"/>
  <c r="CR47" i="5" s="1"/>
  <c r="CR84" i="5" a="1"/>
  <c r="CR84" i="5" s="1"/>
  <c r="CR55" i="5" a="1"/>
  <c r="CR55" i="5" s="1"/>
  <c r="CR58" i="5" a="1"/>
  <c r="CR58" i="5" s="1"/>
  <c r="CR75" i="5" a="1"/>
  <c r="CR75" i="5" s="1"/>
  <c r="CR50" i="5" a="1"/>
  <c r="CR50" i="5" s="1"/>
  <c r="CB57" i="5"/>
  <c r="DD38" i="5"/>
  <c r="CV38" i="5"/>
  <c r="CZ38" i="5"/>
  <c r="BX41" i="5"/>
  <c r="CB41" i="5"/>
  <c r="CR41" i="5"/>
  <c r="BT57" i="5"/>
  <c r="BT35" i="5"/>
  <c r="BT32" i="5"/>
  <c r="BT46" i="5"/>
  <c r="BT65" i="5"/>
  <c r="BT38" i="5"/>
  <c r="BT62" i="5"/>
  <c r="BS62" i="5"/>
  <c r="BT30" i="5"/>
  <c r="BT29" i="5"/>
  <c r="BT58" i="5" a="1"/>
  <c r="BT58" i="5" s="1"/>
  <c r="BT84" i="5" a="1"/>
  <c r="BT84" i="5" s="1"/>
  <c r="BT36" i="5" a="1"/>
  <c r="BT36" i="5" s="1"/>
  <c r="BT39" i="5" a="1"/>
  <c r="BT39" i="5" s="1"/>
  <c r="BT81" i="5" a="1"/>
  <c r="BT81" i="5" s="1"/>
  <c r="BT63" i="5" a="1"/>
  <c r="BT63" i="5" s="1"/>
  <c r="BT72" i="5" a="1"/>
  <c r="BT72" i="5" s="1"/>
  <c r="BT55" i="5" a="1"/>
  <c r="BT55" i="5" s="1"/>
  <c r="BT49" i="5"/>
  <c r="BT50" i="5" a="1"/>
  <c r="BT50" i="5" s="1"/>
  <c r="BT66" i="5" a="1"/>
  <c r="BT66" i="5" s="1"/>
  <c r="BT75" i="5" a="1"/>
  <c r="BT75" i="5" s="1"/>
  <c r="BT42" i="5" a="1"/>
  <c r="BT42" i="5" s="1"/>
  <c r="BT69" i="5" a="1"/>
  <c r="BT69" i="5" s="1"/>
  <c r="BT78" i="5" a="1"/>
  <c r="BT78" i="5" s="1"/>
  <c r="BT47" i="5" a="1"/>
  <c r="BT47" i="5" s="1"/>
  <c r="BT33" i="5" a="1"/>
  <c r="BT33" i="5" s="1"/>
  <c r="BT41" i="5"/>
  <c r="BT54" i="5"/>
  <c r="W32" i="5"/>
  <c r="AC32" i="16"/>
  <c r="AB32" i="16"/>
  <c r="AA32" i="16"/>
  <c r="Z32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J32" i="16"/>
  <c r="AC31" i="16"/>
  <c r="AB31" i="16"/>
  <c r="AA31" i="16"/>
  <c r="Z31" i="16"/>
  <c r="Y31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J31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BS41" i="5" l="1"/>
  <c r="BS57" i="5"/>
  <c r="BS42" i="5" a="1"/>
  <c r="BS42" i="5" s="1"/>
  <c r="BS81" i="5" a="1"/>
  <c r="BS81" i="5" s="1"/>
  <c r="BS49" i="5"/>
  <c r="BS84" i="5" a="1"/>
  <c r="BS84" i="5" s="1"/>
  <c r="BS38" i="5"/>
  <c r="BS54" i="5"/>
  <c r="BS32" i="5"/>
  <c r="BS65" i="5"/>
  <c r="BS39" i="5" a="1"/>
  <c r="BS39" i="5" s="1"/>
  <c r="BS46" i="5"/>
  <c r="BS29" i="5"/>
  <c r="BS36" i="5" a="1"/>
  <c r="BS36" i="5" s="1"/>
  <c r="BS72" i="5" a="1"/>
  <c r="BS72" i="5" s="1"/>
  <c r="BS78" i="5" a="1"/>
  <c r="BS78" i="5" s="1"/>
  <c r="BS69" i="5" a="1"/>
  <c r="BS69" i="5" s="1"/>
  <c r="BS63" i="5" a="1"/>
  <c r="BS63" i="5" s="1"/>
  <c r="BS58" i="5" a="1"/>
  <c r="BS58" i="5" s="1"/>
  <c r="BS66" i="5" a="1"/>
  <c r="BS66" i="5" s="1"/>
  <c r="BS50" i="5" a="1"/>
  <c r="BS50" i="5" s="1"/>
  <c r="BS35" i="5"/>
  <c r="BS30" i="5"/>
  <c r="BS33" i="5" a="1"/>
  <c r="BS33" i="5" s="1"/>
  <c r="BS75" i="5" a="1"/>
  <c r="BS75" i="5" s="1"/>
  <c r="BS47" i="5" a="1"/>
  <c r="BS47" i="5" s="1"/>
  <c r="BS55" i="5" a="1"/>
  <c r="BS55" i="5" s="1"/>
  <c r="BR81" i="5" a="1"/>
  <c r="BR81" i="5" s="1"/>
  <c r="BR78" i="5" a="1"/>
  <c r="BR78" i="5" s="1"/>
  <c r="BR63" i="5" a="1"/>
  <c r="BR63" i="5" s="1"/>
  <c r="BR50" i="5" a="1"/>
  <c r="BR50" i="5" s="1"/>
  <c r="BR75" i="5" a="1"/>
  <c r="BR75" i="5" s="1"/>
  <c r="BR39" i="5" a="1"/>
  <c r="BR39" i="5" s="1"/>
  <c r="BR33" i="5" a="1"/>
  <c r="BR33" i="5" s="1"/>
  <c r="BR55" i="5" a="1"/>
  <c r="BR55" i="5" s="1"/>
  <c r="BR66" i="5" a="1"/>
  <c r="BR66" i="5" s="1"/>
  <c r="BR42" i="5" a="1"/>
  <c r="BR42" i="5" s="1"/>
  <c r="BR69" i="5" a="1"/>
  <c r="BR69" i="5" s="1"/>
  <c r="BR47" i="5" a="1"/>
  <c r="BR47" i="5" s="1"/>
  <c r="BR36" i="5" a="1"/>
  <c r="BR36" i="5" s="1"/>
  <c r="BR58" i="5" a="1"/>
  <c r="BR58" i="5" s="1"/>
  <c r="BR72" i="5" a="1"/>
  <c r="BR72" i="5" s="1"/>
  <c r="BR84" i="5" a="1"/>
  <c r="BR84" i="5" s="1"/>
  <c r="AM31" i="16"/>
  <c r="AH32" i="16"/>
  <c r="AQ31" i="16"/>
  <c r="AU31" i="16"/>
  <c r="AL31" i="16"/>
  <c r="AL32" i="16"/>
  <c r="AH31" i="16"/>
  <c r="AX31" i="16"/>
  <c r="AX32" i="16"/>
  <c r="AP31" i="16"/>
  <c r="AP32" i="16"/>
  <c r="AT31" i="16"/>
  <c r="AT32" i="16"/>
  <c r="AK31" i="16"/>
  <c r="AS31" i="16"/>
  <c r="AI32" i="16"/>
  <c r="AQ32" i="16"/>
  <c r="AO31" i="16"/>
  <c r="AW31" i="16"/>
  <c r="AM32" i="16"/>
  <c r="AU32" i="16"/>
  <c r="AI31" i="16"/>
  <c r="AJ32" i="16"/>
  <c r="AN32" i="16"/>
  <c r="AR32" i="16"/>
  <c r="AV32" i="16"/>
  <c r="AJ31" i="16"/>
  <c r="AN31" i="16"/>
  <c r="AR31" i="16"/>
  <c r="AV31" i="16"/>
  <c r="AK32" i="16"/>
  <c r="AO32" i="16"/>
  <c r="AS32" i="16"/>
  <c r="AW32" i="16"/>
  <c r="J29" i="15"/>
  <c r="J30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W65" i="5"/>
  <c r="J65" i="5"/>
  <c r="W62" i="5"/>
  <c r="J62" i="5"/>
  <c r="W57" i="5"/>
  <c r="J57" i="5"/>
  <c r="W54" i="5"/>
  <c r="J54" i="5"/>
  <c r="W49" i="5"/>
  <c r="J49" i="5"/>
  <c r="W46" i="5"/>
  <c r="J46" i="5"/>
  <c r="W41" i="5"/>
  <c r="J41" i="5"/>
  <c r="W38" i="5"/>
  <c r="J38" i="5"/>
  <c r="E7" i="14"/>
  <c r="E8" i="14"/>
  <c r="E9" i="14"/>
  <c r="E10" i="14"/>
  <c r="E11" i="14"/>
  <c r="E12" i="14"/>
  <c r="E13" i="14"/>
  <c r="E14" i="14"/>
  <c r="E15" i="14"/>
  <c r="E6" i="14"/>
  <c r="W35" i="5"/>
  <c r="J35" i="5"/>
  <c r="J32" i="5"/>
  <c r="W29" i="5"/>
  <c r="W30" i="5"/>
  <c r="J30" i="5"/>
  <c r="J29" i="5"/>
  <c r="Q6" i="5"/>
  <c r="R6" i="5"/>
  <c r="Q7" i="5"/>
  <c r="R7" i="5"/>
  <c r="Q8" i="5"/>
  <c r="R8" i="5"/>
  <c r="Q9" i="5"/>
  <c r="R9" i="5"/>
  <c r="Q10" i="5"/>
  <c r="R10" i="5"/>
  <c r="Q11" i="5"/>
  <c r="R11" i="5"/>
  <c r="Q12" i="5"/>
  <c r="R12" i="5"/>
  <c r="Q13" i="5"/>
  <c r="R13" i="5"/>
  <c r="Q14" i="5"/>
  <c r="R14" i="5"/>
  <c r="Q15" i="5"/>
  <c r="R15" i="5"/>
  <c r="Q16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Q27" i="5"/>
  <c r="R27" i="5"/>
  <c r="R5" i="5"/>
  <c r="Q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5" i="5"/>
  <c r="R62" i="5" l="1"/>
  <c r="Q62" i="5"/>
  <c r="R46" i="5"/>
  <c r="Q57" i="5"/>
  <c r="R57" i="5"/>
  <c r="Q46" i="5"/>
  <c r="Q38" i="5"/>
  <c r="R38" i="5"/>
  <c r="R54" i="5"/>
  <c r="Q54" i="5"/>
  <c r="R49" i="5"/>
  <c r="R32" i="5"/>
  <c r="Q32" i="5"/>
  <c r="Q49" i="5"/>
  <c r="Q39" i="5" a="1"/>
  <c r="Q39" i="5" s="1"/>
  <c r="Q47" i="5" a="1"/>
  <c r="Q47" i="5" s="1"/>
  <c r="Q72" i="5" a="1"/>
  <c r="Q72" i="5" s="1"/>
  <c r="Q78" i="5" a="1"/>
  <c r="Q78" i="5" s="1"/>
  <c r="Q29" i="5"/>
  <c r="Q42" i="5" a="1"/>
  <c r="Q42" i="5" s="1"/>
  <c r="Q50" i="5" a="1"/>
  <c r="Q50" i="5" s="1"/>
  <c r="Q55" i="5" a="1"/>
  <c r="Q55" i="5" s="1"/>
  <c r="Q63" i="5" a="1"/>
  <c r="Q63" i="5" s="1"/>
  <c r="Q81" i="5" a="1"/>
  <c r="Q81" i="5" s="1"/>
  <c r="Q58" i="5" a="1"/>
  <c r="Q58" i="5" s="1"/>
  <c r="Q69" i="5" a="1"/>
  <c r="Q69" i="5" s="1"/>
  <c r="Q84" i="5" a="1"/>
  <c r="Q84" i="5" s="1"/>
  <c r="Q33" i="5" a="1"/>
  <c r="Q33" i="5" s="1"/>
  <c r="Q30" i="5"/>
  <c r="Q66" i="5" a="1"/>
  <c r="Q66" i="5" s="1"/>
  <c r="Q36" i="5" a="1"/>
  <c r="Q36" i="5" s="1"/>
  <c r="Q75" i="5" a="1"/>
  <c r="Q75" i="5" s="1"/>
  <c r="R35" i="5"/>
  <c r="R41" i="5"/>
  <c r="R33" i="5" a="1"/>
  <c r="R33" i="5" s="1"/>
  <c r="R58" i="5" a="1"/>
  <c r="R58" i="5" s="1"/>
  <c r="R66" i="5" a="1"/>
  <c r="R66" i="5" s="1"/>
  <c r="R69" i="5" a="1"/>
  <c r="R69" i="5" s="1"/>
  <c r="R36" i="5" a="1"/>
  <c r="R36" i="5" s="1"/>
  <c r="R39" i="5" a="1"/>
  <c r="R39" i="5" s="1"/>
  <c r="R75" i="5" a="1"/>
  <c r="R75" i="5" s="1"/>
  <c r="R29" i="5"/>
  <c r="R55" i="5" a="1"/>
  <c r="R55" i="5" s="1"/>
  <c r="R78" i="5" a="1"/>
  <c r="R78" i="5" s="1"/>
  <c r="R81" i="5" a="1"/>
  <c r="R81" i="5" s="1"/>
  <c r="R47" i="5" a="1"/>
  <c r="R47" i="5" s="1"/>
  <c r="R42" i="5" a="1"/>
  <c r="R42" i="5" s="1"/>
  <c r="R30" i="5"/>
  <c r="R50" i="5" a="1"/>
  <c r="R50" i="5" s="1"/>
  <c r="R63" i="5" a="1"/>
  <c r="R63" i="5" s="1"/>
  <c r="R72" i="5" a="1"/>
  <c r="R72" i="5" s="1"/>
  <c r="R84" i="5" a="1"/>
  <c r="R84" i="5" s="1"/>
  <c r="Q35" i="5"/>
  <c r="Q41" i="5"/>
  <c r="DP34" i="5"/>
  <c r="DL34" i="5"/>
  <c r="DO34" i="5"/>
  <c r="DN34" i="5"/>
  <c r="DM34" i="5"/>
  <c r="J12" i="14"/>
  <c r="J9" i="14"/>
  <c r="J11" i="14"/>
  <c r="J15" i="14"/>
  <c r="J6" i="14"/>
  <c r="J7" i="14"/>
  <c r="K14" i="14" a="1"/>
  <c r="K14" i="14" s="1"/>
  <c r="K16" i="14" a="1"/>
  <c r="K16" i="14" s="1"/>
  <c r="K18" i="14" a="1"/>
  <c r="K18" i="14" s="1"/>
  <c r="K10" i="14" a="1"/>
  <c r="K10" i="14" s="1"/>
  <c r="K15" i="14" a="1"/>
  <c r="K15" i="14" s="1"/>
  <c r="K8" i="14" a="1"/>
  <c r="K8" i="14" s="1"/>
  <c r="K11" i="14" a="1"/>
  <c r="K11" i="14" s="1"/>
  <c r="K13" i="14" a="1"/>
  <c r="K13" i="14" s="1"/>
  <c r="K9" i="14" a="1"/>
  <c r="K9" i="14" s="1"/>
  <c r="K17" i="14" a="1"/>
  <c r="K17" i="14" s="1"/>
  <c r="K19" i="14" a="1"/>
  <c r="K19" i="14" s="1"/>
  <c r="K6" i="14" a="1"/>
  <c r="K6" i="14" s="1"/>
  <c r="K20" i="14" a="1"/>
  <c r="K20" i="14" s="1"/>
  <c r="K12" i="14" a="1"/>
  <c r="K12" i="14" s="1"/>
  <c r="K21" i="14" a="1"/>
  <c r="K21" i="14" s="1"/>
  <c r="K7" i="14" a="1"/>
  <c r="K7" i="14" s="1"/>
  <c r="J14" i="14"/>
  <c r="J13" i="14"/>
  <c r="J8" i="14"/>
  <c r="J10" i="14"/>
  <c r="L30" i="15"/>
  <c r="L29" i="15"/>
  <c r="AZ97" i="16" l="1"/>
  <c r="AZ90" i="16"/>
  <c r="AZ83" i="16"/>
  <c r="BA76" i="16"/>
  <c r="AY70" i="16" a="1"/>
  <c r="AY70" i="16" s="1"/>
  <c r="AY62" i="16"/>
  <c r="AY49" i="16" a="1"/>
  <c r="AY49" i="16" s="1"/>
  <c r="AY41" i="16"/>
  <c r="AY34" i="16"/>
  <c r="AY97" i="16"/>
  <c r="AY90" i="16"/>
  <c r="AY83" i="16"/>
  <c r="AZ76" i="16"/>
  <c r="AZ69" i="16"/>
  <c r="BB56" i="16" a="1"/>
  <c r="BB56" i="16" s="1"/>
  <c r="BB42" i="16" a="1"/>
  <c r="BB42" i="16" s="1"/>
  <c r="BB35" i="16" a="1"/>
  <c r="BB35" i="16" s="1"/>
  <c r="BB97" i="16"/>
  <c r="BB90" i="16"/>
  <c r="BB83" i="16"/>
  <c r="BB77" i="16" a="1"/>
  <c r="BB77" i="16" s="1"/>
  <c r="AY76" i="16"/>
  <c r="BB63" i="16" a="1"/>
  <c r="BB63" i="16" s="1"/>
  <c r="AY55" i="16"/>
  <c r="AZ42" i="16" a="1"/>
  <c r="AZ42" i="16" s="1"/>
  <c r="AZ35" i="16" a="1"/>
  <c r="AZ35" i="16" s="1"/>
  <c r="BA97" i="16"/>
  <c r="BA90" i="16"/>
  <c r="BA83" i="16"/>
  <c r="BB76" i="16"/>
  <c r="BB70" i="16" a="1"/>
  <c r="BB70" i="16" s="1"/>
  <c r="AZ62" i="16"/>
  <c r="BB49" i="16" a="1"/>
  <c r="BB49" i="16" s="1"/>
  <c r="AZ41" i="16"/>
  <c r="AZ34" i="16"/>
  <c r="BA34" i="16"/>
  <c r="AY69" i="16"/>
  <c r="BA41" i="16"/>
  <c r="BB55" i="16"/>
  <c r="BA77" i="16" a="1"/>
  <c r="BA77" i="16" s="1"/>
  <c r="AZ49" i="16" a="1"/>
  <c r="AZ49" i="16" s="1"/>
  <c r="AZ70" i="16" a="1"/>
  <c r="AZ70" i="16" s="1"/>
  <c r="AY42" i="16" a="1"/>
  <c r="AY42" i="16" s="1"/>
  <c r="AY84" i="16" a="1"/>
  <c r="AY84" i="16" s="1"/>
  <c r="BA91" i="16" a="1"/>
  <c r="BA91" i="16" s="1"/>
  <c r="BA62" i="16"/>
  <c r="AZ55" i="16"/>
  <c r="BA69" i="16"/>
  <c r="BB41" i="16"/>
  <c r="BA35" i="16" a="1"/>
  <c r="BA35" i="16" s="1"/>
  <c r="AZ56" i="16" a="1"/>
  <c r="AZ56" i="16" s="1"/>
  <c r="BA70" i="16" a="1"/>
  <c r="BA70" i="16" s="1"/>
  <c r="BA48" i="16"/>
  <c r="BB62" i="16"/>
  <c r="AZ77" i="16" a="1"/>
  <c r="AZ77" i="16" s="1"/>
  <c r="BA56" i="16" a="1"/>
  <c r="BA56" i="16" s="1"/>
  <c r="AY77" i="16" a="1"/>
  <c r="AY77" i="16" s="1"/>
  <c r="BA55" i="16"/>
  <c r="BB34" i="16"/>
  <c r="BB69" i="16"/>
  <c r="BA63" i="16" a="1"/>
  <c r="BA63" i="16" s="1"/>
  <c r="AZ63" i="16" a="1"/>
  <c r="AZ63" i="16" s="1"/>
  <c r="AZ84" i="16" a="1"/>
  <c r="AZ84" i="16" s="1"/>
  <c r="AY56" i="16" a="1"/>
  <c r="AY56" i="16" s="1"/>
  <c r="AY98" i="16" a="1"/>
  <c r="AY98" i="16" s="1"/>
  <c r="BA42" i="16" a="1"/>
  <c r="BA42" i="16" s="1"/>
  <c r="AY63" i="16" a="1"/>
  <c r="AY63" i="16" s="1"/>
  <c r="BB84" i="16" a="1"/>
  <c r="BB84" i="16" s="1"/>
  <c r="BB91" i="16" a="1"/>
  <c r="BB91" i="16" s="1"/>
  <c r="BB98" i="16" a="1"/>
  <c r="BB98" i="16" s="1"/>
  <c r="AZ98" i="16" a="1"/>
  <c r="AZ98" i="16" s="1"/>
  <c r="AZ48" i="16"/>
  <c r="AY91" i="16" a="1"/>
  <c r="AY91" i="16" s="1"/>
  <c r="AY48" i="16"/>
  <c r="BB48" i="16"/>
  <c r="AZ91" i="16" a="1"/>
  <c r="AZ91" i="16" s="1"/>
  <c r="BA84" i="16" a="1"/>
  <c r="BA84" i="16" s="1"/>
  <c r="BA98" i="16" a="1"/>
  <c r="BA98" i="16" s="1"/>
  <c r="AY35" i="16" a="1"/>
  <c r="AY35" i="16" s="1"/>
  <c r="BA49" i="16" a="1"/>
  <c r="BA49" i="16" s="1"/>
  <c r="AF35" i="16" a="1"/>
  <c r="AF35" i="16" s="1"/>
  <c r="AF63" i="16" a="1"/>
  <c r="AF63" i="16" s="1"/>
  <c r="AF91" i="16" a="1"/>
  <c r="AF91" i="16" s="1"/>
  <c r="AD35" i="16" a="1"/>
  <c r="AD35" i="16" s="1"/>
  <c r="AD42" i="16" a="1"/>
  <c r="AD42" i="16" s="1"/>
  <c r="AF42" i="16" a="1"/>
  <c r="AF42" i="16" s="1"/>
  <c r="AF49" i="16" a="1"/>
  <c r="AF49" i="16" s="1"/>
  <c r="AD56" i="16" a="1"/>
  <c r="AD56" i="16" s="1"/>
  <c r="AD63" i="16" a="1"/>
  <c r="AD63" i="16" s="1"/>
  <c r="AF70" i="16" a="1"/>
  <c r="AF70" i="16" s="1"/>
  <c r="AD84" i="16" a="1"/>
  <c r="AD84" i="16" s="1"/>
  <c r="AD91" i="16" a="1"/>
  <c r="AD91" i="16" s="1"/>
  <c r="AF98" i="16" a="1"/>
  <c r="AF98" i="16" s="1"/>
  <c r="AD77" i="16" a="1"/>
  <c r="AD77" i="16" s="1"/>
  <c r="AE35" i="16" a="1"/>
  <c r="AE35" i="16" s="1"/>
  <c r="AE42" i="16" a="1"/>
  <c r="AE42" i="16" s="1"/>
  <c r="AE49" i="16" a="1"/>
  <c r="AE49" i="16" s="1"/>
  <c r="AE56" i="16" a="1"/>
  <c r="AE56" i="16" s="1"/>
  <c r="AE63" i="16" a="1"/>
  <c r="AE63" i="16" s="1"/>
  <c r="AE70" i="16" a="1"/>
  <c r="AE70" i="16" s="1"/>
  <c r="AE77" i="16" a="1"/>
  <c r="AE77" i="16" s="1"/>
  <c r="AE84" i="16" a="1"/>
  <c r="AE84" i="16" s="1"/>
  <c r="AE91" i="16" a="1"/>
  <c r="AE91" i="16" s="1"/>
  <c r="AE98" i="16" a="1"/>
  <c r="AE98" i="16" s="1"/>
  <c r="AF56" i="16" a="1"/>
  <c r="AF56" i="16" s="1"/>
  <c r="AD70" i="16" a="1"/>
  <c r="AD70" i="16" s="1"/>
  <c r="AF77" i="16" a="1"/>
  <c r="AF77" i="16" s="1"/>
  <c r="AF84" i="16" a="1"/>
  <c r="AF84" i="16" s="1"/>
  <c r="AD98" i="16" a="1"/>
  <c r="AD98" i="16" s="1"/>
  <c r="AD49" i="16" a="1"/>
  <c r="AD49" i="16" s="1"/>
  <c r="AE48" i="16"/>
  <c r="AD34" i="16"/>
  <c r="AE62" i="16"/>
  <c r="AF41" i="16"/>
  <c r="AD69" i="16"/>
  <c r="AE97" i="16"/>
  <c r="AF55" i="16"/>
  <c r="AE83" i="16"/>
  <c r="AD48" i="16"/>
  <c r="AE90" i="16"/>
  <c r="AF97" i="16"/>
  <c r="AD62" i="16"/>
  <c r="AD97" i="16"/>
  <c r="AF83" i="16"/>
  <c r="AF48" i="16"/>
  <c r="AE34" i="16"/>
  <c r="AF90" i="16"/>
  <c r="AD41" i="16"/>
  <c r="AE69" i="16"/>
  <c r="AE76" i="16"/>
  <c r="AD55" i="16"/>
  <c r="AD83" i="16"/>
  <c r="AF62" i="16"/>
  <c r="AE41" i="16"/>
  <c r="AD76" i="16"/>
  <c r="AE55" i="16"/>
  <c r="AF34" i="16"/>
  <c r="AD90" i="16"/>
  <c r="AF69" i="16"/>
  <c r="AF76" i="16"/>
  <c r="F16" i="14"/>
  <c r="G19" i="14" a="1"/>
  <c r="G19" i="14" s="1"/>
  <c r="F20" i="14"/>
  <c r="F18" i="14"/>
  <c r="G21" i="14" a="1"/>
  <c r="G21" i="14" s="1"/>
  <c r="G18" i="14" a="1"/>
  <c r="G18" i="14" s="1"/>
  <c r="G16" i="14" a="1"/>
  <c r="G16" i="14" s="1"/>
  <c r="F17" i="14"/>
  <c r="G20" i="14" a="1"/>
  <c r="G20" i="14" s="1"/>
  <c r="F21" i="14"/>
  <c r="G17" i="14" a="1"/>
  <c r="G17" i="14" s="1"/>
  <c r="F19" i="14"/>
  <c r="CN77" i="15"/>
  <c r="CO77" i="15"/>
  <c r="CM78" i="15" a="1"/>
  <c r="CM78" i="15" s="1"/>
  <c r="CP78" i="15" a="1"/>
  <c r="CP78" i="15" s="1"/>
  <c r="CN68" i="15"/>
  <c r="CO68" i="15"/>
  <c r="CJ69" i="15" a="1"/>
  <c r="CJ69" i="15" s="1"/>
  <c r="CP69" i="15" a="1"/>
  <c r="CP69" i="15" s="1"/>
  <c r="CN71" i="15"/>
  <c r="CO71" i="15"/>
  <c r="CP72" i="15" a="1"/>
  <c r="CP72" i="15" s="1"/>
  <c r="CK72" i="15" a="1"/>
  <c r="CK72" i="15" s="1"/>
  <c r="CN65" i="15"/>
  <c r="CO65" i="15"/>
  <c r="CP66" i="15" a="1"/>
  <c r="CP66" i="15" s="1"/>
  <c r="CN62" i="15"/>
  <c r="CL62" i="15"/>
  <c r="CJ63" i="15" a="1"/>
  <c r="CJ63" i="15" s="1"/>
  <c r="CN74" i="15"/>
  <c r="CO74" i="15"/>
  <c r="CL75" i="15" a="1"/>
  <c r="CL75" i="15" s="1"/>
  <c r="CK32" i="15"/>
  <c r="CK33" i="15" a="1"/>
  <c r="CK33" i="15" s="1"/>
  <c r="CN32" i="15"/>
  <c r="CM39" i="15" a="1"/>
  <c r="CM39" i="15" s="1"/>
  <c r="CO38" i="15"/>
  <c r="CP38" i="15"/>
  <c r="CN50" i="15"/>
  <c r="CJ50" i="15"/>
  <c r="CN51" i="15" a="1"/>
  <c r="CN51" i="15" s="1"/>
  <c r="CL51" i="15" a="1"/>
  <c r="CL51" i="15" s="1"/>
  <c r="CN41" i="15"/>
  <c r="CM42" i="15" a="1"/>
  <c r="CM42" i="15" s="1"/>
  <c r="CO53" i="15"/>
  <c r="CP53" i="15"/>
  <c r="CM44" i="15"/>
  <c r="CM45" i="15" a="1"/>
  <c r="CM45" i="15" s="1"/>
  <c r="CL44" i="15"/>
  <c r="CP44" i="15"/>
  <c r="CP56" i="15"/>
  <c r="CK56" i="15"/>
  <c r="CM56" i="15"/>
  <c r="CN56" i="15"/>
  <c r="CM35" i="15"/>
  <c r="CM36" i="15" a="1"/>
  <c r="CM36" i="15" s="1"/>
  <c r="CK35" i="15"/>
  <c r="CN47" i="15"/>
  <c r="CP48" i="15" a="1"/>
  <c r="CP48" i="15" s="1"/>
  <c r="CM47" i="15"/>
  <c r="CK48" i="15" a="1"/>
  <c r="CK48" i="15" s="1"/>
  <c r="CM59" i="15"/>
  <c r="CO59" i="15"/>
  <c r="CP59" i="15"/>
  <c r="CK60" i="15" a="1"/>
  <c r="CK60" i="15" s="1"/>
  <c r="AT51" i="15" a="1"/>
  <c r="AT51" i="15" s="1"/>
  <c r="AS51" i="15" a="1"/>
  <c r="AS51" i="15" s="1"/>
  <c r="AW51" i="15" a="1"/>
  <c r="AW51" i="15" s="1"/>
  <c r="AT63" i="15" a="1"/>
  <c r="AT63" i="15" s="1"/>
  <c r="AV63" i="15" a="1"/>
  <c r="AV63" i="15" s="1"/>
  <c r="AS63" i="15" a="1"/>
  <c r="AS63" i="15" s="1"/>
  <c r="AT54" i="15" a="1"/>
  <c r="AT54" i="15" s="1"/>
  <c r="AV53" i="15"/>
  <c r="AT66" i="15" a="1"/>
  <c r="AT66" i="15" s="1"/>
  <c r="AV65" i="15"/>
  <c r="AV66" i="15" a="1"/>
  <c r="AV66" i="15" s="1"/>
  <c r="AT78" i="15" a="1"/>
  <c r="AT78" i="15" s="1"/>
  <c r="AV78" i="15" a="1"/>
  <c r="AV78" i="15" s="1"/>
  <c r="AT33" i="15" a="1"/>
  <c r="AT33" i="15" s="1"/>
  <c r="AW33" i="15" a="1"/>
  <c r="AW33" i="15" s="1"/>
  <c r="AV33" i="15" a="1"/>
  <c r="AV33" i="15" s="1"/>
  <c r="AT45" i="15" a="1"/>
  <c r="AT45" i="15" s="1"/>
  <c r="AV45" i="15" a="1"/>
  <c r="AV45" i="15" s="1"/>
  <c r="AS45" i="15" a="1"/>
  <c r="AS45" i="15" s="1"/>
  <c r="AT57" i="15" a="1"/>
  <c r="AT57" i="15" s="1"/>
  <c r="AV57" i="15" a="1"/>
  <c r="AV57" i="15" s="1"/>
  <c r="AS57" i="15" a="1"/>
  <c r="AS57" i="15" s="1"/>
  <c r="AT69" i="15" a="1"/>
  <c r="AT69" i="15" s="1"/>
  <c r="AS69" i="15" a="1"/>
  <c r="AS69" i="15" s="1"/>
  <c r="AW69" i="15" a="1"/>
  <c r="AW69" i="15" s="1"/>
  <c r="AT39" i="15" a="1"/>
  <c r="AT39" i="15" s="1"/>
  <c r="AS39" i="15" a="1"/>
  <c r="AS39" i="15" s="1"/>
  <c r="AR39" i="15" a="1"/>
  <c r="AR39" i="15" s="1"/>
  <c r="AT75" i="15" a="1"/>
  <c r="AT75" i="15" s="1"/>
  <c r="AS75" i="15" a="1"/>
  <c r="AS75" i="15" s="1"/>
  <c r="AT42" i="15" a="1"/>
  <c r="AT42" i="15" s="1"/>
  <c r="AV42" i="15" a="1"/>
  <c r="AV42" i="15" s="1"/>
  <c r="AT36" i="15" a="1"/>
  <c r="AT36" i="15" s="1"/>
  <c r="AV36" i="15" a="1"/>
  <c r="AV36" i="15" s="1"/>
  <c r="AT48" i="15" a="1"/>
  <c r="AT48" i="15" s="1"/>
  <c r="AV47" i="15"/>
  <c r="AV48" i="15" a="1"/>
  <c r="AV48" i="15" s="1"/>
  <c r="AT60" i="15" a="1"/>
  <c r="AT60" i="15" s="1"/>
  <c r="AV59" i="15"/>
  <c r="AS60" i="15" a="1"/>
  <c r="AS60" i="15" s="1"/>
  <c r="AT72" i="15" a="1"/>
  <c r="AT72" i="15" s="1"/>
  <c r="AV71" i="15"/>
  <c r="CE38" i="15"/>
  <c r="CE39" i="15" a="1"/>
  <c r="CE39" i="15" s="1"/>
  <c r="CG38" i="15"/>
  <c r="CD51" i="15" a="1"/>
  <c r="CD51" i="15" s="1"/>
  <c r="CF50" i="15"/>
  <c r="CF51" i="15" a="1"/>
  <c r="CF51" i="15" s="1"/>
  <c r="CE62" i="15"/>
  <c r="CE63" i="15" a="1"/>
  <c r="CE63" i="15" s="1"/>
  <c r="CG63" i="15" a="1"/>
  <c r="CG63" i="15" s="1"/>
  <c r="CP77" i="15"/>
  <c r="CL77" i="15"/>
  <c r="CN78" i="15" a="1"/>
  <c r="CN78" i="15" s="1"/>
  <c r="CP68" i="15"/>
  <c r="CL68" i="15"/>
  <c r="CL69" i="15" a="1"/>
  <c r="CL69" i="15" s="1"/>
  <c r="CK69" i="15" a="1"/>
  <c r="CK69" i="15" s="1"/>
  <c r="CP71" i="15"/>
  <c r="CL71" i="15"/>
  <c r="CO72" i="15" a="1"/>
  <c r="CO72" i="15" s="1"/>
  <c r="CL72" i="15" a="1"/>
  <c r="CL72" i="15" s="1"/>
  <c r="CP65" i="15"/>
  <c r="CL65" i="15"/>
  <c r="CK66" i="15" a="1"/>
  <c r="CK66" i="15" s="1"/>
  <c r="CN66" i="15" a="1"/>
  <c r="CN66" i="15" s="1"/>
  <c r="CM62" i="15"/>
  <c r="CP62" i="15"/>
  <c r="CM63" i="15" a="1"/>
  <c r="CM63" i="15" s="1"/>
  <c r="CP63" i="15" a="1"/>
  <c r="CP63" i="15" s="1"/>
  <c r="CP74" i="15"/>
  <c r="CL74" i="15"/>
  <c r="CK75" i="15" a="1"/>
  <c r="CK75" i="15" s="1"/>
  <c r="CM75" i="15" a="1"/>
  <c r="CM75" i="15" s="1"/>
  <c r="CP33" i="15" a="1"/>
  <c r="CP33" i="15" s="1"/>
  <c r="CL32" i="15"/>
  <c r="CM33" i="15" a="1"/>
  <c r="CM33" i="15" s="1"/>
  <c r="CM32" i="15"/>
  <c r="CL38" i="15"/>
  <c r="CN39" i="15" a="1"/>
  <c r="CN39" i="15" s="1"/>
  <c r="CM38" i="15"/>
  <c r="CK50" i="15"/>
  <c r="CP50" i="15"/>
  <c r="CO50" i="15"/>
  <c r="CP41" i="15"/>
  <c r="CJ41" i="15"/>
  <c r="CJ42" i="15" a="1"/>
  <c r="CJ42" i="15" s="1"/>
  <c r="CO42" i="15" a="1"/>
  <c r="CO42" i="15" s="1"/>
  <c r="CM53" i="15"/>
  <c r="CL54" i="15" a="1"/>
  <c r="CL54" i="15" s="1"/>
  <c r="CK53" i="15"/>
  <c r="CK54" i="15" a="1"/>
  <c r="CK54" i="15" s="1"/>
  <c r="CO44" i="15"/>
  <c r="CN44" i="15"/>
  <c r="CJ45" i="15" a="1"/>
  <c r="CJ45" i="15" s="1"/>
  <c r="CP45" i="15" a="1"/>
  <c r="CP45" i="15" s="1"/>
  <c r="CO56" i="15"/>
  <c r="CL56" i="15"/>
  <c r="CP57" i="15" a="1"/>
  <c r="CP57" i="15" s="1"/>
  <c r="CM57" i="15" a="1"/>
  <c r="CM57" i="15" s="1"/>
  <c r="CJ36" i="15" a="1"/>
  <c r="CJ36" i="15" s="1"/>
  <c r="CO35" i="15"/>
  <c r="CN35" i="15"/>
  <c r="CN48" i="15" a="1"/>
  <c r="CN48" i="15" s="1"/>
  <c r="CK47" i="15"/>
  <c r="CJ48" i="15" a="1"/>
  <c r="CJ48" i="15" s="1"/>
  <c r="CL48" i="15" a="1"/>
  <c r="CL48" i="15" s="1"/>
  <c r="CN59" i="15"/>
  <c r="CM60" i="15" a="1"/>
  <c r="CM60" i="15" s="1"/>
  <c r="CK59" i="15"/>
  <c r="AQ50" i="15"/>
  <c r="AS50" i="15"/>
  <c r="AV50" i="15"/>
  <c r="AQ62" i="15"/>
  <c r="AS62" i="15"/>
  <c r="AV62" i="15"/>
  <c r="AR62" i="15"/>
  <c r="AQ53" i="15"/>
  <c r="AS53" i="15"/>
  <c r="AR53" i="15"/>
  <c r="AV54" i="15" a="1"/>
  <c r="AV54" i="15" s="1"/>
  <c r="AQ65" i="15"/>
  <c r="AS65" i="15"/>
  <c r="AR65" i="15"/>
  <c r="AQ77" i="15"/>
  <c r="AS77" i="15"/>
  <c r="AR77" i="15"/>
  <c r="AT77" i="15"/>
  <c r="AQ32" i="15"/>
  <c r="AR32" i="15"/>
  <c r="AS32" i="15"/>
  <c r="AT32" i="15"/>
  <c r="AQ44" i="15"/>
  <c r="AS44" i="15"/>
  <c r="AV44" i="15"/>
  <c r="AR44" i="15"/>
  <c r="AQ56" i="15"/>
  <c r="AS56" i="15"/>
  <c r="AV56" i="15"/>
  <c r="AR56" i="15"/>
  <c r="AQ68" i="15"/>
  <c r="AS68" i="15"/>
  <c r="AV68" i="15"/>
  <c r="AQ38" i="15"/>
  <c r="AS38" i="15"/>
  <c r="AV38" i="15"/>
  <c r="AQ74" i="15"/>
  <c r="AS74" i="15"/>
  <c r="AV74" i="15"/>
  <c r="AV75" i="15" a="1"/>
  <c r="AV75" i="15" s="1"/>
  <c r="AQ41" i="15"/>
  <c r="AS41" i="15"/>
  <c r="AR41" i="15"/>
  <c r="AT41" i="15"/>
  <c r="AQ35" i="15"/>
  <c r="AS35" i="15"/>
  <c r="AR35" i="15"/>
  <c r="AT35" i="15"/>
  <c r="AQ47" i="15"/>
  <c r="AS47" i="15"/>
  <c r="AR47" i="15"/>
  <c r="AQ59" i="15"/>
  <c r="AS59" i="15"/>
  <c r="AR59" i="15"/>
  <c r="AQ71" i="15"/>
  <c r="AS71" i="15"/>
  <c r="AR71" i="15"/>
  <c r="AV72" i="15" a="1"/>
  <c r="AV72" i="15" s="1"/>
  <c r="CI38" i="15"/>
  <c r="CI39" i="15" a="1"/>
  <c r="CI39" i="15" s="1"/>
  <c r="CH38" i="15"/>
  <c r="CE50" i="15"/>
  <c r="CH50" i="15"/>
  <c r="CH51" i="15" a="1"/>
  <c r="CH51" i="15" s="1"/>
  <c r="CD62" i="15"/>
  <c r="CI62" i="15"/>
  <c r="CF63" i="15" a="1"/>
  <c r="CF63" i="15" s="1"/>
  <c r="CG74" i="15"/>
  <c r="CI74" i="15"/>
  <c r="CH75" i="15" a="1"/>
  <c r="CH75" i="15" s="1"/>
  <c r="CF41" i="15"/>
  <c r="CH42" i="15" a="1"/>
  <c r="CH42" i="15" s="1"/>
  <c r="CH41" i="15"/>
  <c r="CG53" i="15"/>
  <c r="CI54" i="15" a="1"/>
  <c r="CI54" i="15" s="1"/>
  <c r="CF54" i="15" a="1"/>
  <c r="CF54" i="15" s="1"/>
  <c r="CG65" i="15"/>
  <c r="CH65" i="15"/>
  <c r="CI66" i="15" a="1"/>
  <c r="CI66" i="15" s="1"/>
  <c r="CF77" i="15"/>
  <c r="CH78" i="15" a="1"/>
  <c r="CH78" i="15" s="1"/>
  <c r="CG78" i="15" a="1"/>
  <c r="CG78" i="15" s="1"/>
  <c r="CE33" i="15" a="1"/>
  <c r="CE33" i="15" s="1"/>
  <c r="CI32" i="15"/>
  <c r="CG33" i="15" a="1"/>
  <c r="CG33" i="15" s="1"/>
  <c r="CG45" i="15" a="1"/>
  <c r="CG45" i="15" s="1"/>
  <c r="CH45" i="15" a="1"/>
  <c r="CH45" i="15" s="1"/>
  <c r="CF45" i="15" a="1"/>
  <c r="CF45" i="15" s="1"/>
  <c r="CD56" i="15"/>
  <c r="CG56" i="15"/>
  <c r="CG57" i="15" a="1"/>
  <c r="CG57" i="15" s="1"/>
  <c r="CF68" i="15"/>
  <c r="CD68" i="15"/>
  <c r="CI69" i="15" a="1"/>
  <c r="CI69" i="15" s="1"/>
  <c r="CD35" i="15"/>
  <c r="CF35" i="15"/>
  <c r="CG36" i="15" a="1"/>
  <c r="CG36" i="15" s="1"/>
  <c r="CE48" i="15" a="1"/>
  <c r="CE48" i="15" s="1"/>
  <c r="CE47" i="15"/>
  <c r="CI48" i="15" a="1"/>
  <c r="CI48" i="15" s="1"/>
  <c r="CD59" i="15"/>
  <c r="CD60" i="15" a="1"/>
  <c r="CD60" i="15" s="1"/>
  <c r="CE59" i="15"/>
  <c r="CD71" i="15"/>
  <c r="CI71" i="15"/>
  <c r="CG72" i="15" a="1"/>
  <c r="CG72" i="15" s="1"/>
  <c r="CL78" i="15" a="1"/>
  <c r="CL78" i="15" s="1"/>
  <c r="CM69" i="15" a="1"/>
  <c r="CM69" i="15" s="1"/>
  <c r="CJ72" i="15" a="1"/>
  <c r="CJ72" i="15" s="1"/>
  <c r="CJ66" i="15" a="1"/>
  <c r="CJ66" i="15" s="1"/>
  <c r="CK62" i="15"/>
  <c r="CL63" i="15" a="1"/>
  <c r="CL63" i="15" s="1"/>
  <c r="CJ75" i="15" a="1"/>
  <c r="CJ75" i="15" s="1"/>
  <c r="CN33" i="15" a="1"/>
  <c r="CN33" i="15" s="1"/>
  <c r="CJ39" i="15" a="1"/>
  <c r="CJ39" i="15" s="1"/>
  <c r="CK38" i="15"/>
  <c r="CO51" i="15" a="1"/>
  <c r="CO51" i="15" s="1"/>
  <c r="CL42" i="15" a="1"/>
  <c r="CL42" i="15" s="1"/>
  <c r="CK41" i="15"/>
  <c r="CN54" i="15" a="1"/>
  <c r="CN54" i="15" s="1"/>
  <c r="CO54" i="15" a="1"/>
  <c r="CO54" i="15" s="1"/>
  <c r="CO45" i="15" a="1"/>
  <c r="CO45" i="15" s="1"/>
  <c r="CK44" i="15"/>
  <c r="CN57" i="15" a="1"/>
  <c r="CN57" i="15" s="1"/>
  <c r="CJ57" i="15" a="1"/>
  <c r="CJ57" i="15" s="1"/>
  <c r="CP36" i="15" a="1"/>
  <c r="CP36" i="15" s="1"/>
  <c r="CO36" i="15" a="1"/>
  <c r="CO36" i="15" s="1"/>
  <c r="CL47" i="15"/>
  <c r="CO48" i="15" a="1"/>
  <c r="CO48" i="15" s="1"/>
  <c r="CO60" i="15" a="1"/>
  <c r="CO60" i="15" s="1"/>
  <c r="CP60" i="15" a="1"/>
  <c r="CP60" i="15" s="1"/>
  <c r="AW50" i="15"/>
  <c r="AV51" i="15" a="1"/>
  <c r="AV51" i="15" s="1"/>
  <c r="AW62" i="15"/>
  <c r="AW63" i="15" a="1"/>
  <c r="AW63" i="15" s="1"/>
  <c r="AW53" i="15"/>
  <c r="AT53" i="15"/>
  <c r="AW65" i="15"/>
  <c r="AT65" i="15"/>
  <c r="AW77" i="15"/>
  <c r="AS78" i="15" a="1"/>
  <c r="AS78" i="15" s="1"/>
  <c r="AV32" i="15"/>
  <c r="AW44" i="15"/>
  <c r="AW45" i="15" a="1"/>
  <c r="AW45" i="15" s="1"/>
  <c r="AW56" i="15"/>
  <c r="AW57" i="15" a="1"/>
  <c r="AW57" i="15" s="1"/>
  <c r="AW68" i="15"/>
  <c r="AV69" i="15" a="1"/>
  <c r="AV69" i="15" s="1"/>
  <c r="AW38" i="15"/>
  <c r="AV39" i="15" a="1"/>
  <c r="AV39" i="15" s="1"/>
  <c r="AW74" i="15"/>
  <c r="AR75" i="15" a="1"/>
  <c r="AR75" i="15" s="1"/>
  <c r="AW41" i="15"/>
  <c r="AS42" i="15" a="1"/>
  <c r="AS42" i="15" s="1"/>
  <c r="AW35" i="15"/>
  <c r="AS36" i="15" a="1"/>
  <c r="AS36" i="15" s="1"/>
  <c r="AW47" i="15"/>
  <c r="AT47" i="15"/>
  <c r="AW59" i="15"/>
  <c r="AV60" i="15" a="1"/>
  <c r="AV60" i="15" s="1"/>
  <c r="AW71" i="15"/>
  <c r="AT71" i="15"/>
  <c r="CD39" i="15" a="1"/>
  <c r="CD39" i="15" s="1"/>
  <c r="CD50" i="15"/>
  <c r="CE51" i="15" a="1"/>
  <c r="CE51" i="15" s="1"/>
  <c r="CF62" i="15"/>
  <c r="CE74" i="15"/>
  <c r="CI75" i="15" a="1"/>
  <c r="CI75" i="15" s="1"/>
  <c r="CG75" i="15" a="1"/>
  <c r="CG75" i="15" s="1"/>
  <c r="CD42" i="15" a="1"/>
  <c r="CD42" i="15" s="1"/>
  <c r="CE41" i="15"/>
  <c r="CF53" i="15"/>
  <c r="CE53" i="15"/>
  <c r="CF65" i="15"/>
  <c r="CE66" i="15" a="1"/>
  <c r="CE66" i="15" s="1"/>
  <c r="CD77" i="15"/>
  <c r="CE77" i="15"/>
  <c r="CE78" i="15" a="1"/>
  <c r="CE78" i="15" s="1"/>
  <c r="CD33" i="15" a="1"/>
  <c r="CD33" i="15" s="1"/>
  <c r="CF33" i="15" a="1"/>
  <c r="CF33" i="15" s="1"/>
  <c r="CG44" i="15"/>
  <c r="CI45" i="15" a="1"/>
  <c r="CI45" i="15" s="1"/>
  <c r="CE56" i="15"/>
  <c r="CF57" i="15" a="1"/>
  <c r="CF57" i="15" s="1"/>
  <c r="CH68" i="15"/>
  <c r="CG69" i="15" a="1"/>
  <c r="CG69" i="15" s="1"/>
  <c r="CD69" i="15" a="1"/>
  <c r="CD69" i="15" s="1"/>
  <c r="CI36" i="15" a="1"/>
  <c r="CI36" i="15" s="1"/>
  <c r="CE36" i="15" a="1"/>
  <c r="CE36" i="15" s="1"/>
  <c r="CI47" i="15"/>
  <c r="CG47" i="15"/>
  <c r="CF59" i="15"/>
  <c r="CI60" i="15" a="1"/>
  <c r="CI60" i="15" s="1"/>
  <c r="CH71" i="15"/>
  <c r="CI72" i="15" a="1"/>
  <c r="CI72" i="15" s="1"/>
  <c r="CF72" i="15" a="1"/>
  <c r="CF72" i="15" s="1"/>
  <c r="CM77" i="15"/>
  <c r="CJ78" i="15" a="1"/>
  <c r="CJ78" i="15" s="1"/>
  <c r="CM68" i="15"/>
  <c r="CM71" i="15"/>
  <c r="CM72" i="15" a="1"/>
  <c r="CM72" i="15" s="1"/>
  <c r="CM65" i="15"/>
  <c r="CL66" i="15" a="1"/>
  <c r="CL66" i="15" s="1"/>
  <c r="CK63" i="15" a="1"/>
  <c r="CK63" i="15" s="1"/>
  <c r="CM74" i="15"/>
  <c r="CO75" i="15" a="1"/>
  <c r="CO75" i="15" s="1"/>
  <c r="CP32" i="15"/>
  <c r="CJ33" i="15" a="1"/>
  <c r="CJ33" i="15" s="1"/>
  <c r="CJ38" i="15"/>
  <c r="CP39" i="15" a="1"/>
  <c r="CP39" i="15" s="1"/>
  <c r="CM51" i="15" a="1"/>
  <c r="CM51" i="15" s="1"/>
  <c r="CM50" i="15"/>
  <c r="CO41" i="15"/>
  <c r="CN42" i="15" a="1"/>
  <c r="CN42" i="15" s="1"/>
  <c r="CL53" i="15"/>
  <c r="CP54" i="15" a="1"/>
  <c r="CP54" i="15" s="1"/>
  <c r="CL45" i="15" a="1"/>
  <c r="CL45" i="15" s="1"/>
  <c r="CJ44" i="15"/>
  <c r="CO57" i="15" a="1"/>
  <c r="CO57" i="15" s="1"/>
  <c r="CK57" i="15" a="1"/>
  <c r="CK57" i="15" s="1"/>
  <c r="CJ35" i="15"/>
  <c r="CL36" i="15" a="1"/>
  <c r="CL36" i="15" s="1"/>
  <c r="CP47" i="15"/>
  <c r="CJ47" i="15"/>
  <c r="CL60" i="15" a="1"/>
  <c r="CL60" i="15" s="1"/>
  <c r="CN60" i="15" a="1"/>
  <c r="CN60" i="15" s="1"/>
  <c r="AU50" i="15"/>
  <c r="AR51" i="15" a="1"/>
  <c r="AR51" i="15" s="1"/>
  <c r="AU62" i="15"/>
  <c r="AR63" i="15" a="1"/>
  <c r="AR63" i="15" s="1"/>
  <c r="AU53" i="15"/>
  <c r="AR54" i="15" a="1"/>
  <c r="AR54" i="15" s="1"/>
  <c r="AU65" i="15"/>
  <c r="AR66" i="15" a="1"/>
  <c r="AR66" i="15" s="1"/>
  <c r="AU77" i="15"/>
  <c r="AR78" i="15" a="1"/>
  <c r="AR78" i="15" s="1"/>
  <c r="AU32" i="15"/>
  <c r="AW32" i="15"/>
  <c r="AU44" i="15"/>
  <c r="AR45" i="15" a="1"/>
  <c r="AR45" i="15" s="1"/>
  <c r="AU56" i="15"/>
  <c r="AR57" i="15" a="1"/>
  <c r="AR57" i="15" s="1"/>
  <c r="AU68" i="15"/>
  <c r="AR69" i="15" a="1"/>
  <c r="AR69" i="15" s="1"/>
  <c r="AU38" i="15"/>
  <c r="AW39" i="15" a="1"/>
  <c r="AW39" i="15" s="1"/>
  <c r="AU74" i="15"/>
  <c r="AR74" i="15"/>
  <c r="AU41" i="15"/>
  <c r="AR42" i="15" a="1"/>
  <c r="AR42" i="15" s="1"/>
  <c r="AU35" i="15"/>
  <c r="AR36" i="15" a="1"/>
  <c r="AR36" i="15" s="1"/>
  <c r="AU47" i="15"/>
  <c r="AR48" i="15" a="1"/>
  <c r="AR48" i="15" s="1"/>
  <c r="AU59" i="15"/>
  <c r="AR60" i="15" a="1"/>
  <c r="AR60" i="15" s="1"/>
  <c r="AU71" i="15"/>
  <c r="AR72" i="15" a="1"/>
  <c r="AR72" i="15" s="1"/>
  <c r="CF38" i="15"/>
  <c r="CH39" i="15" a="1"/>
  <c r="CH39" i="15" s="1"/>
  <c r="CI50" i="15"/>
  <c r="CH62" i="15"/>
  <c r="CH63" i="15" a="1"/>
  <c r="CH63" i="15" s="1"/>
  <c r="CH74" i="15"/>
  <c r="CD75" i="15" a="1"/>
  <c r="CD75" i="15" s="1"/>
  <c r="CI41" i="15"/>
  <c r="CI42" i="15" a="1"/>
  <c r="CI42" i="15" s="1"/>
  <c r="CH53" i="15"/>
  <c r="CE54" i="15" a="1"/>
  <c r="CE54" i="15" s="1"/>
  <c r="CI53" i="15"/>
  <c r="CI65" i="15"/>
  <c r="CD66" i="15" a="1"/>
  <c r="CD66" i="15" s="1"/>
  <c r="CI77" i="15"/>
  <c r="CF78" i="15" a="1"/>
  <c r="CF78" i="15" s="1"/>
  <c r="CD32" i="15"/>
  <c r="CF32" i="15"/>
  <c r="CF44" i="15"/>
  <c r="CI44" i="15"/>
  <c r="CE45" i="15" a="1"/>
  <c r="CE45" i="15" s="1"/>
  <c r="CH57" i="15" a="1"/>
  <c r="CH57" i="15" s="1"/>
  <c r="CK77" i="15"/>
  <c r="CK68" i="15"/>
  <c r="CK71" i="15"/>
  <c r="CK65" i="15"/>
  <c r="CO62" i="15"/>
  <c r="CK74" i="15"/>
  <c r="CJ32" i="15"/>
  <c r="CO39" i="15" a="1"/>
  <c r="CO39" i="15" s="1"/>
  <c r="CP51" i="15" a="1"/>
  <c r="CP51" i="15" s="1"/>
  <c r="CK42" i="15" a="1"/>
  <c r="CK42" i="15" s="1"/>
  <c r="CJ54" i="15" a="1"/>
  <c r="CJ54" i="15" s="1"/>
  <c r="CL35" i="15"/>
  <c r="CJ59" i="15"/>
  <c r="AR50" i="15"/>
  <c r="AT62" i="15"/>
  <c r="AS54" i="15" a="1"/>
  <c r="AS54" i="15" s="1"/>
  <c r="AS66" i="15" a="1"/>
  <c r="AS66" i="15" s="1"/>
  <c r="AV77" i="15"/>
  <c r="AS33" i="15" a="1"/>
  <c r="AS33" i="15" s="1"/>
  <c r="AT44" i="15"/>
  <c r="AT56" i="15"/>
  <c r="AR68" i="15"/>
  <c r="AR38" i="15"/>
  <c r="AT74" i="15"/>
  <c r="AV41" i="15"/>
  <c r="AV35" i="15"/>
  <c r="AS48" i="15" a="1"/>
  <c r="AS48" i="15" s="1"/>
  <c r="AT59" i="15"/>
  <c r="AS72" i="15" a="1"/>
  <c r="AS72" i="15" s="1"/>
  <c r="CG51" i="15" a="1"/>
  <c r="CG51" i="15" s="1"/>
  <c r="CD63" i="15" a="1"/>
  <c r="CD63" i="15" s="1"/>
  <c r="CE75" i="15" a="1"/>
  <c r="CE75" i="15" s="1"/>
  <c r="CG42" i="15" a="1"/>
  <c r="CG42" i="15" s="1"/>
  <c r="CH54" i="15" a="1"/>
  <c r="CH54" i="15" s="1"/>
  <c r="CD65" i="15"/>
  <c r="CH77" i="15"/>
  <c r="CG32" i="15"/>
  <c r="CH32" i="15"/>
  <c r="CE44" i="15"/>
  <c r="CE57" i="15" a="1"/>
  <c r="CE57" i="15" s="1"/>
  <c r="CG68" i="15"/>
  <c r="CF69" i="15" a="1"/>
  <c r="CF69" i="15" s="1"/>
  <c r="CI35" i="15"/>
  <c r="CG48" i="15" a="1"/>
  <c r="CG48" i="15" s="1"/>
  <c r="CH47" i="15"/>
  <c r="CH59" i="15"/>
  <c r="CF60" i="15" a="1"/>
  <c r="CF60" i="15" s="1"/>
  <c r="CG71" i="15"/>
  <c r="AK50" i="15"/>
  <c r="AP50" i="15"/>
  <c r="AN50" i="15"/>
  <c r="AL74" i="15"/>
  <c r="AM74" i="15"/>
  <c r="AL75" i="15" a="1"/>
  <c r="AL75" i="15" s="1"/>
  <c r="AK41" i="15"/>
  <c r="AK42" i="15" a="1"/>
  <c r="AK42" i="15" s="1"/>
  <c r="AL42" i="15" a="1"/>
  <c r="AL42" i="15" s="1"/>
  <c r="AL53" i="15"/>
  <c r="AN53" i="15"/>
  <c r="AP54" i="15" a="1"/>
  <c r="AP54" i="15" s="1"/>
  <c r="AL65" i="15"/>
  <c r="AO66" i="15" a="1"/>
  <c r="AO66" i="15" s="1"/>
  <c r="AL66" i="15" a="1"/>
  <c r="AL66" i="15" s="1"/>
  <c r="AM77" i="15"/>
  <c r="AN77" i="15"/>
  <c r="AO78" i="15" a="1"/>
  <c r="AO78" i="15" s="1"/>
  <c r="AK32" i="15"/>
  <c r="AL32" i="15"/>
  <c r="AO33" i="15" a="1"/>
  <c r="AO33" i="15" s="1"/>
  <c r="AL44" i="15"/>
  <c r="AM44" i="15"/>
  <c r="AM45" i="15" a="1"/>
  <c r="AM45" i="15" s="1"/>
  <c r="AL56" i="15"/>
  <c r="AM56" i="15"/>
  <c r="AO57" i="15" a="1"/>
  <c r="AO57" i="15" s="1"/>
  <c r="AM68" i="15"/>
  <c r="AL68" i="15"/>
  <c r="AO68" i="15"/>
  <c r="AN38" i="15"/>
  <c r="AO38" i="15"/>
  <c r="AM38" i="15"/>
  <c r="AK62" i="15"/>
  <c r="AP62" i="15"/>
  <c r="AL63" i="15" a="1"/>
  <c r="AL63" i="15" s="1"/>
  <c r="AM35" i="15"/>
  <c r="AP36" i="15" a="1"/>
  <c r="AP36" i="15" s="1"/>
  <c r="AO36" i="15" a="1"/>
  <c r="AO36" i="15" s="1"/>
  <c r="AN47" i="15"/>
  <c r="AK47" i="15"/>
  <c r="AL47" i="15"/>
  <c r="AN59" i="15"/>
  <c r="AK59" i="15"/>
  <c r="AK60" i="15" a="1"/>
  <c r="AK60" i="15" s="1"/>
  <c r="AK71" i="15"/>
  <c r="AK72" i="15" a="1"/>
  <c r="AK72" i="15" s="1"/>
  <c r="AL72" i="15" a="1"/>
  <c r="AL72" i="15" s="1"/>
  <c r="BH50" i="15"/>
  <c r="BX50" i="15"/>
  <c r="BS51" i="15" a="1"/>
  <c r="BS51" i="15" s="1"/>
  <c r="BO50" i="15"/>
  <c r="BF51" i="15" a="1"/>
  <c r="BF51" i="15" s="1"/>
  <c r="BV51" i="15" a="1"/>
  <c r="BV51" i="15" s="1"/>
  <c r="BI51" i="15" a="1"/>
  <c r="BI51" i="15" s="1"/>
  <c r="BQ50" i="15"/>
  <c r="BX51" i="15" a="1"/>
  <c r="BX51" i="15" s="1"/>
  <c r="BM50" i="15"/>
  <c r="S50" i="15"/>
  <c r="AI50" i="15"/>
  <c r="Y51" i="15" a="1"/>
  <c r="Y51" i="15" s="1"/>
  <c r="BU51" i="15" a="1"/>
  <c r="BU51" i="15" s="1"/>
  <c r="AB50" i="15"/>
  <c r="T51" i="15" a="1"/>
  <c r="T51" i="15" s="1"/>
  <c r="AG51" i="15" a="1"/>
  <c r="AG51" i="15" s="1"/>
  <c r="Q51" i="15" a="1"/>
  <c r="Q51" i="15" s="1"/>
  <c r="AG50" i="15"/>
  <c r="N50" i="15"/>
  <c r="AE51" i="15" a="1"/>
  <c r="AE51" i="15" s="1"/>
  <c r="O51" i="15" a="1"/>
  <c r="O51" i="15" s="1"/>
  <c r="AI51" i="15" a="1"/>
  <c r="AI51" i="15" s="1"/>
  <c r="CC51" i="15" a="1"/>
  <c r="CC51" i="15" s="1"/>
  <c r="CA51" i="15" a="1"/>
  <c r="CA51" i="15" s="1"/>
  <c r="BL74" i="15"/>
  <c r="CB74" i="15"/>
  <c r="BO74" i="15"/>
  <c r="BG75" i="15" a="1"/>
  <c r="BG75" i="15" s="1"/>
  <c r="BO75" i="15" a="1"/>
  <c r="BO75" i="15" s="1"/>
  <c r="BW75" i="15" a="1"/>
  <c r="BW75" i="15" s="1"/>
  <c r="BI74" i="15"/>
  <c r="BJ75" i="15" a="1"/>
  <c r="BJ75" i="15" s="1"/>
  <c r="BM74" i="15"/>
  <c r="BR74" i="15"/>
  <c r="X74" i="15"/>
  <c r="M75" i="15" a="1"/>
  <c r="M75" i="15" s="1"/>
  <c r="AC75" i="15" a="1"/>
  <c r="AC75" i="15" s="1"/>
  <c r="AI75" i="15" a="1"/>
  <c r="AI75" i="15" s="1"/>
  <c r="Q74" i="15"/>
  <c r="AG74" i="15"/>
  <c r="Z75" i="15" a="1"/>
  <c r="Z75" i="15" s="1"/>
  <c r="BJ74" i="15"/>
  <c r="Z74" i="15"/>
  <c r="W75" i="15" a="1"/>
  <c r="W75" i="15" s="1"/>
  <c r="P75" i="15" a="1"/>
  <c r="P75" i="15" s="1"/>
  <c r="T75" i="15" a="1"/>
  <c r="T75" i="15" s="1"/>
  <c r="AE74" i="15"/>
  <c r="X75" i="15" a="1"/>
  <c r="X75" i="15" s="1"/>
  <c r="CA75" i="15" a="1"/>
  <c r="CA75" i="15" s="1"/>
  <c r="BP41" i="15"/>
  <c r="BH42" i="15" a="1"/>
  <c r="BH42" i="15" s="1"/>
  <c r="BP42" i="15" a="1"/>
  <c r="BP42" i="15" s="1"/>
  <c r="BX42" i="15" a="1"/>
  <c r="BX42" i="15" s="1"/>
  <c r="BU41" i="15"/>
  <c r="BR41" i="15"/>
  <c r="BU42" i="15" a="1"/>
  <c r="BU42" i="15" s="1"/>
  <c r="BV41" i="15"/>
  <c r="BG42" i="15" a="1"/>
  <c r="BG42" i="15" s="1"/>
  <c r="S41" i="15"/>
  <c r="AI41" i="15"/>
  <c r="X41" i="15"/>
  <c r="M42" i="15" a="1"/>
  <c r="M42" i="15" s="1"/>
  <c r="U42" i="15" a="1"/>
  <c r="U42" i="15" s="1"/>
  <c r="AC42" i="15" a="1"/>
  <c r="AC42" i="15" s="1"/>
  <c r="U41" i="15"/>
  <c r="V41" i="15"/>
  <c r="X42" i="15" a="1"/>
  <c r="X42" i="15" s="1"/>
  <c r="Y41" i="15"/>
  <c r="R42" i="15" a="1"/>
  <c r="R42" i="15" s="1"/>
  <c r="Z42" i="15" a="1"/>
  <c r="Z42" i="15" s="1"/>
  <c r="V42" i="15" a="1"/>
  <c r="V42" i="15" s="1"/>
  <c r="CA41" i="15"/>
  <c r="CB41" i="15"/>
  <c r="BZ42" i="15" a="1"/>
  <c r="BZ42" i="15" s="1"/>
  <c r="BU53" i="15"/>
  <c r="BT53" i="15"/>
  <c r="BJ54" i="15" a="1"/>
  <c r="BJ54" i="15" s="1"/>
  <c r="BR54" i="15" a="1"/>
  <c r="BR54" i="15" s="1"/>
  <c r="BK53" i="15"/>
  <c r="BI54" i="15" a="1"/>
  <c r="BI54" i="15" s="1"/>
  <c r="BG53" i="15"/>
  <c r="BO54" i="15" a="1"/>
  <c r="BO54" i="15" s="1"/>
  <c r="M53" i="15"/>
  <c r="AC53" i="15"/>
  <c r="X54" i="15" a="1"/>
  <c r="X54" i="15" s="1"/>
  <c r="N53" i="15"/>
  <c r="AD53" i="15"/>
  <c r="V54" i="15" a="1"/>
  <c r="V54" i="15" s="1"/>
  <c r="BO53" i="15"/>
  <c r="O54" i="15" a="1"/>
  <c r="O54" i="15" s="1"/>
  <c r="W53" i="15"/>
  <c r="BK54" i="15" a="1"/>
  <c r="BK54" i="15" s="1"/>
  <c r="AJ53" i="15"/>
  <c r="AB54" i="15" a="1"/>
  <c r="AB54" i="15" s="1"/>
  <c r="R54" i="15" a="1"/>
  <c r="R54" i="15" s="1"/>
  <c r="AI54" i="15" a="1"/>
  <c r="AI54" i="15" s="1"/>
  <c r="CB54" i="15" a="1"/>
  <c r="CB54" i="15" s="1"/>
  <c r="CC54" i="15" a="1"/>
  <c r="CC54" i="15" s="1"/>
  <c r="BF65" i="15"/>
  <c r="BV65" i="15"/>
  <c r="BQ66" i="15" a="1"/>
  <c r="BQ66" i="15" s="1"/>
  <c r="BQ65" i="15"/>
  <c r="BF66" i="15" a="1"/>
  <c r="BF66" i="15" s="1"/>
  <c r="BV66" i="15" a="1"/>
  <c r="BV66" i="15" s="1"/>
  <c r="BP66" i="15" a="1"/>
  <c r="BP66" i="15" s="1"/>
  <c r="CA65" i="15"/>
  <c r="BE66" i="15" a="1"/>
  <c r="BE66" i="15" s="1"/>
  <c r="BL65" i="15"/>
  <c r="BT65" i="15"/>
  <c r="AB65" i="15"/>
  <c r="O66" i="15" a="1"/>
  <c r="O66" i="15" s="1"/>
  <c r="W66" i="15" a="1"/>
  <c r="W66" i="15" s="1"/>
  <c r="AE66" i="15" a="1"/>
  <c r="AE66" i="15" s="1"/>
  <c r="AD65" i="15"/>
  <c r="AB66" i="15" a="1"/>
  <c r="AB66" i="15" s="1"/>
  <c r="U65" i="15"/>
  <c r="AI66" i="15" a="1"/>
  <c r="AI66" i="15" s="1"/>
  <c r="Z65" i="15"/>
  <c r="V66" i="15" a="1"/>
  <c r="V66" i="15" s="1"/>
  <c r="AA65" i="15"/>
  <c r="BO66" i="15" a="1"/>
  <c r="BO66" i="15" s="1"/>
  <c r="AE65" i="15"/>
  <c r="BZ66" i="15" a="1"/>
  <c r="BZ66" i="15" s="1"/>
  <c r="BM77" i="15"/>
  <c r="CC77" i="15"/>
  <c r="BS78" i="15" a="1"/>
  <c r="BS78" i="15" s="1"/>
  <c r="BT77" i="15"/>
  <c r="BO78" i="15" a="1"/>
  <c r="BO78" i="15" s="1"/>
  <c r="BV77" i="15"/>
  <c r="BT78" i="15" a="1"/>
  <c r="BT78" i="15" s="1"/>
  <c r="BG78" i="15" a="1"/>
  <c r="BG78" i="15" s="1"/>
  <c r="BR77" i="15"/>
  <c r="BX78" i="15" a="1"/>
  <c r="BX78" i="15" s="1"/>
  <c r="V77" i="15"/>
  <c r="N78" i="15" a="1"/>
  <c r="N78" i="15" s="1"/>
  <c r="V78" i="15" a="1"/>
  <c r="V78" i="15" s="1"/>
  <c r="AD78" i="15" a="1"/>
  <c r="AD78" i="15" s="1"/>
  <c r="P77" i="15"/>
  <c r="AF77" i="15"/>
  <c r="U78" i="15" a="1"/>
  <c r="U78" i="15" s="1"/>
  <c r="BS77" i="15"/>
  <c r="AA77" i="15"/>
  <c r="BM78" i="15" a="1"/>
  <c r="BM78" i="15" s="1"/>
  <c r="AA78" i="15" a="1"/>
  <c r="AA78" i="15" s="1"/>
  <c r="U77" i="15"/>
  <c r="M77" i="15"/>
  <c r="AI78" i="15" a="1"/>
  <c r="AI78" i="15" s="1"/>
  <c r="CC78" i="15" a="1"/>
  <c r="CC78" i="15" s="1"/>
  <c r="BQ32" i="15"/>
  <c r="BF33" i="15" a="1"/>
  <c r="BF33" i="15" s="1"/>
  <c r="BV33" i="15" a="1"/>
  <c r="BV33" i="15" s="1"/>
  <c r="BR32" i="15"/>
  <c r="BK33" i="15" a="1"/>
  <c r="BK33" i="15" s="1"/>
  <c r="BL32" i="15"/>
  <c r="BQ33" i="15" a="1"/>
  <c r="BQ33" i="15" s="1"/>
  <c r="BH33" i="15" a="1"/>
  <c r="BH33" i="15" s="1"/>
  <c r="BU33" i="15" a="1"/>
  <c r="BU33" i="15" s="1"/>
  <c r="U32" i="15"/>
  <c r="N33" i="15" a="1"/>
  <c r="N33" i="15" s="1"/>
  <c r="R32" i="15"/>
  <c r="Q33" i="15" a="1"/>
  <c r="Q33" i="15" s="1"/>
  <c r="AG33" i="15" a="1"/>
  <c r="AG33" i="15" s="1"/>
  <c r="Z32" i="15"/>
  <c r="X33" i="15" a="1"/>
  <c r="X33" i="15" s="1"/>
  <c r="N32" i="15"/>
  <c r="O33" i="15" a="1"/>
  <c r="O33" i="15" s="1"/>
  <c r="AJ33" i="15" a="1"/>
  <c r="AJ33" i="15" s="1"/>
  <c r="AA33" i="15" a="1"/>
  <c r="AA33" i="15" s="1"/>
  <c r="V33" i="15" a="1"/>
  <c r="V33" i="15" s="1"/>
  <c r="R33" i="15" a="1"/>
  <c r="R33" i="15" s="1"/>
  <c r="AF33" i="15" a="1"/>
  <c r="AF33" i="15" s="1"/>
  <c r="CC33" i="15" a="1"/>
  <c r="CC33" i="15" s="1"/>
  <c r="CA33" i="15" a="1"/>
  <c r="CA33" i="15" s="1"/>
  <c r="BR44" i="15"/>
  <c r="BM45" i="15" a="1"/>
  <c r="BM45" i="15" s="1"/>
  <c r="BK44" i="15"/>
  <c r="CC44" i="15"/>
  <c r="BR45" i="15" a="1"/>
  <c r="BR45" i="15" s="1"/>
  <c r="CA44" i="15"/>
  <c r="BH44" i="15"/>
  <c r="BO45" i="15" a="1"/>
  <c r="BO45" i="15" s="1"/>
  <c r="BE45" i="15" a="1"/>
  <c r="BE45" i="15" s="1"/>
  <c r="BT45" i="15" a="1"/>
  <c r="BT45" i="15" s="1"/>
  <c r="W44" i="15"/>
  <c r="S45" i="15" a="1"/>
  <c r="S45" i="15" s="1"/>
  <c r="AI45" i="15" a="1"/>
  <c r="AI45" i="15" s="1"/>
  <c r="AB44" i="15"/>
  <c r="P45" i="15" a="1"/>
  <c r="P45" i="15" s="1"/>
  <c r="AF45" i="15" a="1"/>
  <c r="AF45" i="15" s="1"/>
  <c r="AG44" i="15"/>
  <c r="AG45" i="15" a="1"/>
  <c r="AG45" i="15" s="1"/>
  <c r="Q45" i="15" a="1"/>
  <c r="Q45" i="15" s="1"/>
  <c r="AH44" i="15"/>
  <c r="L45" i="15" a="1"/>
  <c r="L45" i="15" s="1"/>
  <c r="R45" i="15" a="1"/>
  <c r="R45" i="15" s="1"/>
  <c r="X45" i="15" a="1"/>
  <c r="X45" i="15" s="1"/>
  <c r="BZ44" i="15"/>
  <c r="BG56" i="15"/>
  <c r="BW56" i="15"/>
  <c r="BN57" i="15" a="1"/>
  <c r="BN57" i="15" s="1"/>
  <c r="BN56" i="15"/>
  <c r="BJ57" i="15" a="1"/>
  <c r="BJ57" i="15" s="1"/>
  <c r="BQ56" i="15"/>
  <c r="BV57" i="15" a="1"/>
  <c r="BV57" i="15" s="1"/>
  <c r="BX56" i="15"/>
  <c r="BU56" i="15"/>
  <c r="BW57" i="15" a="1"/>
  <c r="BW57" i="15" s="1"/>
  <c r="S56" i="15"/>
  <c r="AI56" i="15"/>
  <c r="AB57" i="15" a="1"/>
  <c r="AB57" i="15" s="1"/>
  <c r="T56" i="15"/>
  <c r="BM56" i="15"/>
  <c r="P57" i="15" a="1"/>
  <c r="P57" i="15" s="1"/>
  <c r="AF57" i="15" a="1"/>
  <c r="AF57" i="15" s="1"/>
  <c r="BH57" i="15" a="1"/>
  <c r="BH57" i="15" s="1"/>
  <c r="M57" i="15" a="1"/>
  <c r="M57" i="15" s="1"/>
  <c r="L57" i="15" a="1"/>
  <c r="L57" i="15" s="1"/>
  <c r="AC56" i="15"/>
  <c r="N56" i="15"/>
  <c r="AI57" i="15" a="1"/>
  <c r="AI57" i="15" s="1"/>
  <c r="AD56" i="15"/>
  <c r="BZ57" i="15" a="1"/>
  <c r="BZ57" i="15" s="1"/>
  <c r="BM68" i="15"/>
  <c r="CC68" i="15"/>
  <c r="BH68" i="15"/>
  <c r="BX68" i="15"/>
  <c r="BP69" i="15" a="1"/>
  <c r="BP69" i="15" s="1"/>
  <c r="BX69" i="15" a="1"/>
  <c r="BX69" i="15" s="1"/>
  <c r="BG69" i="15" a="1"/>
  <c r="BG69" i="15" s="1"/>
  <c r="BV68" i="15"/>
  <c r="BW69" i="15" a="1"/>
  <c r="BW69" i="15" s="1"/>
  <c r="BU69" i="15" a="1"/>
  <c r="BU69" i="15" s="1"/>
  <c r="T68" i="15"/>
  <c r="AJ68" i="15"/>
  <c r="AA69" i="15" a="1"/>
  <c r="AA69" i="15" s="1"/>
  <c r="V68" i="15"/>
  <c r="U69" i="15" a="1"/>
  <c r="U69" i="15" s="1"/>
  <c r="U68" i="15"/>
  <c r="N69" i="15" a="1"/>
  <c r="N69" i="15" s="1"/>
  <c r="AB69" i="15" a="1"/>
  <c r="AB69" i="15" s="1"/>
  <c r="BG68" i="15"/>
  <c r="R69" i="15" a="1"/>
  <c r="R69" i="15" s="1"/>
  <c r="O68" i="15"/>
  <c r="J69" i="15" a="1"/>
  <c r="J69" i="15" s="1"/>
  <c r="AA68" i="15"/>
  <c r="Z69" i="15" a="1"/>
  <c r="Z69" i="15" s="1"/>
  <c r="BY69" i="15" a="1"/>
  <c r="BY69" i="15" s="1"/>
  <c r="BQ38" i="15"/>
  <c r="BF39" i="15" a="1"/>
  <c r="BF39" i="15" s="1"/>
  <c r="BV39" i="15" a="1"/>
  <c r="BV39" i="15" s="1"/>
  <c r="BR38" i="15"/>
  <c r="BK39" i="15" a="1"/>
  <c r="BK39" i="15" s="1"/>
  <c r="BL38" i="15"/>
  <c r="BQ39" i="15" a="1"/>
  <c r="BQ39" i="15" s="1"/>
  <c r="BH39" i="15" a="1"/>
  <c r="BH39" i="15" s="1"/>
  <c r="BX38" i="15"/>
  <c r="BW38" i="15"/>
  <c r="M38" i="15"/>
  <c r="AC38" i="15"/>
  <c r="V39" i="15" a="1"/>
  <c r="V39" i="15" s="1"/>
  <c r="BP38" i="15"/>
  <c r="Z38" i="15"/>
  <c r="S39" i="15" a="1"/>
  <c r="S39" i="15" s="1"/>
  <c r="AI39" i="15" a="1"/>
  <c r="AI39" i="15" s="1"/>
  <c r="P39" i="15" a="1"/>
  <c r="P39" i="15" s="1"/>
  <c r="O38" i="15"/>
  <c r="AJ39" i="15" a="1"/>
  <c r="AJ39" i="15" s="1"/>
  <c r="Q39" i="15" a="1"/>
  <c r="Q39" i="15" s="1"/>
  <c r="AB39" i="15" a="1"/>
  <c r="AB39" i="15" s="1"/>
  <c r="AF38" i="15"/>
  <c r="BZ39" i="15" a="1"/>
  <c r="BZ39" i="15" s="1"/>
  <c r="CA39" i="15" a="1"/>
  <c r="CA39" i="15" s="1"/>
  <c r="BU62" i="15"/>
  <c r="BL63" i="15" a="1"/>
  <c r="BL63" i="15" s="1"/>
  <c r="BX63" i="15" a="1"/>
  <c r="BX63" i="15" s="1"/>
  <c r="BP62" i="15"/>
  <c r="BI63" i="15" a="1"/>
  <c r="BI63" i="15" s="1"/>
  <c r="BG62" i="15"/>
  <c r="BQ63" i="15" a="1"/>
  <c r="BQ63" i="15" s="1"/>
  <c r="BZ62" i="15"/>
  <c r="BN62" i="15"/>
  <c r="BK62" i="15"/>
  <c r="AB62" i="15"/>
  <c r="P63" i="15" a="1"/>
  <c r="P63" i="15" s="1"/>
  <c r="AF63" i="15" a="1"/>
  <c r="AF63" i="15" s="1"/>
  <c r="V62" i="15"/>
  <c r="R63" i="15" a="1"/>
  <c r="R63" i="15" s="1"/>
  <c r="M62" i="15"/>
  <c r="AC62" i="15"/>
  <c r="T63" i="15" a="1"/>
  <c r="T63" i="15" s="1"/>
  <c r="L63" i="15" a="1"/>
  <c r="L63" i="15" s="1"/>
  <c r="BF62" i="15"/>
  <c r="AB63" i="15" a="1"/>
  <c r="AB63" i="15" s="1"/>
  <c r="AI62" i="15"/>
  <c r="O63" i="15" a="1"/>
  <c r="O63" i="15" s="1"/>
  <c r="CB63" i="15" a="1"/>
  <c r="CB63" i="15" s="1"/>
  <c r="BH35" i="15"/>
  <c r="BX35" i="15"/>
  <c r="BQ35" i="15"/>
  <c r="BF36" i="15" a="1"/>
  <c r="BF36" i="15" s="1"/>
  <c r="BN36" i="15" a="1"/>
  <c r="BN36" i="15" s="1"/>
  <c r="BV36" i="15" a="1"/>
  <c r="BV36" i="15" s="1"/>
  <c r="CA35" i="15"/>
  <c r="BS36" i="15" a="1"/>
  <c r="BS36" i="15" s="1"/>
  <c r="BZ35" i="15"/>
  <c r="BN35" i="15"/>
  <c r="N35" i="15"/>
  <c r="AD35" i="15"/>
  <c r="R36" i="15" a="1"/>
  <c r="R36" i="15" s="1"/>
  <c r="BF35" i="15"/>
  <c r="AC35" i="15"/>
  <c r="AI36" i="15" a="1"/>
  <c r="AI36" i="15" s="1"/>
  <c r="Y35" i="15"/>
  <c r="X36" i="15" a="1"/>
  <c r="X36" i="15" s="1"/>
  <c r="AF36" i="15" a="1"/>
  <c r="AF36" i="15" s="1"/>
  <c r="AF35" i="15"/>
  <c r="AA35" i="15"/>
  <c r="AG35" i="15"/>
  <c r="AH36" i="15" a="1"/>
  <c r="AH36" i="15" s="1"/>
  <c r="AE36" i="15" a="1"/>
  <c r="AE36" i="15" s="1"/>
  <c r="BZ36" i="15" a="1"/>
  <c r="BZ36" i="15" s="1"/>
  <c r="BK47" i="15"/>
  <c r="BH47" i="15"/>
  <c r="BX47" i="15"/>
  <c r="BR47" i="15"/>
  <c r="BT48" i="15" a="1"/>
  <c r="BT48" i="15" s="1"/>
  <c r="BN48" i="15" a="1"/>
  <c r="BN48" i="15" s="1"/>
  <c r="BV47" i="15"/>
  <c r="BJ48" i="15" a="1"/>
  <c r="BJ48" i="15" s="1"/>
  <c r="BW48" i="15" a="1"/>
  <c r="BW48" i="15" s="1"/>
  <c r="W47" i="15"/>
  <c r="O48" i="15" a="1"/>
  <c r="O48" i="15" s="1"/>
  <c r="AE48" i="15" a="1"/>
  <c r="AE48" i="15" s="1"/>
  <c r="T47" i="15"/>
  <c r="AJ47" i="15"/>
  <c r="X48" i="15" a="1"/>
  <c r="X48" i="15" s="1"/>
  <c r="BX48" i="15" a="1"/>
  <c r="BX48" i="15" s="1"/>
  <c r="V48" i="15" a="1"/>
  <c r="V48" i="15" s="1"/>
  <c r="J48" i="15" a="1"/>
  <c r="J48" i="15" s="1"/>
  <c r="AD47" i="15"/>
  <c r="BN47" i="15"/>
  <c r="S48" i="15" a="1"/>
  <c r="S48" i="15" s="1"/>
  <c r="BR48" i="15" a="1"/>
  <c r="BR48" i="15" s="1"/>
  <c r="BY48" i="15" a="1"/>
  <c r="BY48" i="15" s="1"/>
  <c r="BZ48" i="15" a="1"/>
  <c r="BZ48" i="15" s="1"/>
  <c r="BY47" i="15"/>
  <c r="BQ59" i="15"/>
  <c r="BF60" i="15" a="1"/>
  <c r="BF60" i="15" s="1"/>
  <c r="BL59" i="15"/>
  <c r="BI60" i="15" a="1"/>
  <c r="BI60" i="15" s="1"/>
  <c r="BV59" i="15"/>
  <c r="BO60" i="15" a="1"/>
  <c r="BO60" i="15" s="1"/>
  <c r="BW60" i="15" a="1"/>
  <c r="BW60" i="15" s="1"/>
  <c r="BH59" i="15"/>
  <c r="BV60" i="15" a="1"/>
  <c r="BV60" i="15" s="1"/>
  <c r="BX60" i="15" a="1"/>
  <c r="BX60" i="15" s="1"/>
  <c r="T59" i="15"/>
  <c r="AJ59" i="15"/>
  <c r="S60" i="15" a="1"/>
  <c r="S60" i="15" s="1"/>
  <c r="AA60" i="15" a="1"/>
  <c r="AA60" i="15" s="1"/>
  <c r="R59" i="15"/>
  <c r="R60" i="15" a="1"/>
  <c r="R60" i="15" s="1"/>
  <c r="BX59" i="15"/>
  <c r="U59" i="15"/>
  <c r="AI60" i="15" a="1"/>
  <c r="AI60" i="15" s="1"/>
  <c r="AD59" i="15"/>
  <c r="Z60" i="15" a="1"/>
  <c r="Z60" i="15" s="1"/>
  <c r="AI59" i="15"/>
  <c r="AE59" i="15"/>
  <c r="CA60" i="15" a="1"/>
  <c r="CA60" i="15" s="1"/>
  <c r="BY60" i="15" a="1"/>
  <c r="BY60" i="15" s="1"/>
  <c r="BS71" i="15"/>
  <c r="BM72" i="15" a="1"/>
  <c r="BM72" i="15" s="1"/>
  <c r="BJ71" i="15"/>
  <c r="BZ71" i="15"/>
  <c r="BT72" i="15" a="1"/>
  <c r="BT72" i="15" s="1"/>
  <c r="BY71" i="15"/>
  <c r="BL71" i="15"/>
  <c r="BS72" i="15" a="1"/>
  <c r="BS72" i="15" s="1"/>
  <c r="BK72" i="15" a="1"/>
  <c r="BK72" i="15" s="1"/>
  <c r="BE72" i="15" a="1"/>
  <c r="BE72" i="15" s="1"/>
  <c r="X71" i="15"/>
  <c r="M72" i="15" a="1"/>
  <c r="M72" i="15" s="1"/>
  <c r="U72" i="15" a="1"/>
  <c r="U72" i="15" s="1"/>
  <c r="AC72" i="15" a="1"/>
  <c r="AC72" i="15" s="1"/>
  <c r="P72" i="15" a="1"/>
  <c r="P72" i="15" s="1"/>
  <c r="AD72" i="15" a="1"/>
  <c r="AD72" i="15" s="1"/>
  <c r="U71" i="15"/>
  <c r="AI72" i="15" a="1"/>
  <c r="AI72" i="15" s="1"/>
  <c r="V71" i="15"/>
  <c r="N72" i="15" a="1"/>
  <c r="N72" i="15" s="1"/>
  <c r="AF72" i="15" a="1"/>
  <c r="AF72" i="15" s="1"/>
  <c r="AE71" i="15"/>
  <c r="S71" i="15"/>
  <c r="BZ72" i="15" a="1"/>
  <c r="BZ72" i="15" s="1"/>
  <c r="CK78" i="15" a="1"/>
  <c r="CK78" i="15" s="1"/>
  <c r="CN69" i="15" a="1"/>
  <c r="CN69" i="15" s="1"/>
  <c r="CN72" i="15" a="1"/>
  <c r="CN72" i="15" s="1"/>
  <c r="CO66" i="15" a="1"/>
  <c r="CO66" i="15" s="1"/>
  <c r="CN63" i="15" a="1"/>
  <c r="CN63" i="15" s="1"/>
  <c r="CP75" i="15" a="1"/>
  <c r="CP75" i="15" s="1"/>
  <c r="CO33" i="15" a="1"/>
  <c r="CO33" i="15" s="1"/>
  <c r="CK39" i="15" a="1"/>
  <c r="CK39" i="15" s="1"/>
  <c r="CL50" i="15"/>
  <c r="CM41" i="15"/>
  <c r="CN53" i="15"/>
  <c r="CN45" i="15" a="1"/>
  <c r="CN45" i="15" s="1"/>
  <c r="CL57" i="15" a="1"/>
  <c r="CL57" i="15" s="1"/>
  <c r="CN36" i="15" a="1"/>
  <c r="CN36" i="15" s="1"/>
  <c r="CM48" i="15" a="1"/>
  <c r="CM48" i="15" s="1"/>
  <c r="CJ60" i="15" a="1"/>
  <c r="CJ60" i="15" s="1"/>
  <c r="AQ51" i="15" a="1"/>
  <c r="AQ51" i="15" s="1"/>
  <c r="AQ63" i="15" a="1"/>
  <c r="AQ63" i="15" s="1"/>
  <c r="AQ54" i="15" a="1"/>
  <c r="AQ54" i="15" s="1"/>
  <c r="AQ66" i="15" a="1"/>
  <c r="AQ66" i="15" s="1"/>
  <c r="AQ78" i="15" a="1"/>
  <c r="AQ78" i="15" s="1"/>
  <c r="AQ33" i="15" a="1"/>
  <c r="AQ33" i="15" s="1"/>
  <c r="AQ45" i="15" a="1"/>
  <c r="AQ45" i="15" s="1"/>
  <c r="AQ57" i="15" a="1"/>
  <c r="AQ57" i="15" s="1"/>
  <c r="AQ69" i="15" a="1"/>
  <c r="AQ69" i="15" s="1"/>
  <c r="AQ39" i="15" a="1"/>
  <c r="AQ39" i="15" s="1"/>
  <c r="AQ75" i="15" a="1"/>
  <c r="AQ75" i="15" s="1"/>
  <c r="AQ42" i="15" a="1"/>
  <c r="AQ42" i="15" s="1"/>
  <c r="AQ36" i="15" a="1"/>
  <c r="AQ36" i="15" s="1"/>
  <c r="AQ48" i="15" a="1"/>
  <c r="AQ48" i="15" s="1"/>
  <c r="AQ60" i="15" a="1"/>
  <c r="AQ60" i="15" s="1"/>
  <c r="AQ72" i="15" a="1"/>
  <c r="AQ72" i="15" s="1"/>
  <c r="CF39" i="15" a="1"/>
  <c r="CF39" i="15" s="1"/>
  <c r="CG50" i="15"/>
  <c r="CI63" i="15" a="1"/>
  <c r="CI63" i="15" s="1"/>
  <c r="CF75" i="15" a="1"/>
  <c r="CF75" i="15" s="1"/>
  <c r="CF42" i="15" a="1"/>
  <c r="CF42" i="15" s="1"/>
  <c r="CD54" i="15" a="1"/>
  <c r="CD54" i="15" s="1"/>
  <c r="CG66" i="15" a="1"/>
  <c r="CG66" i="15" s="1"/>
  <c r="CG77" i="15"/>
  <c r="CH33" i="15" a="1"/>
  <c r="CH33" i="15" s="1"/>
  <c r="CH44" i="15"/>
  <c r="CH56" i="15"/>
  <c r="CI56" i="15"/>
  <c r="CI68" i="15"/>
  <c r="CG35" i="15"/>
  <c r="CF36" i="15" a="1"/>
  <c r="CF36" i="15" s="1"/>
  <c r="CH48" i="15" a="1"/>
  <c r="CH48" i="15" s="1"/>
  <c r="CD48" i="15" a="1"/>
  <c r="CD48" i="15" s="1"/>
  <c r="CI59" i="15"/>
  <c r="CE60" i="15" a="1"/>
  <c r="CE60" i="15" s="1"/>
  <c r="CH72" i="15" a="1"/>
  <c r="CH72" i="15" s="1"/>
  <c r="AO50" i="15"/>
  <c r="AK51" i="15" a="1"/>
  <c r="AK51" i="15" s="1"/>
  <c r="AL51" i="15" a="1"/>
  <c r="AL51" i="15" s="1"/>
  <c r="AP74" i="15"/>
  <c r="AK74" i="15"/>
  <c r="AN74" i="15"/>
  <c r="AO41" i="15"/>
  <c r="AM42" i="15" a="1"/>
  <c r="AM42" i="15" s="1"/>
  <c r="AN41" i="15"/>
  <c r="AP53" i="15"/>
  <c r="AM54" i="15" a="1"/>
  <c r="AM54" i="15" s="1"/>
  <c r="AO53" i="15"/>
  <c r="AP65" i="15"/>
  <c r="AM65" i="15"/>
  <c r="AN66" i="15" a="1"/>
  <c r="AN66" i="15" s="1"/>
  <c r="AK77" i="15"/>
  <c r="AM78" i="15" a="1"/>
  <c r="AM78" i="15" s="1"/>
  <c r="AP78" i="15" a="1"/>
  <c r="AP78" i="15" s="1"/>
  <c r="AO32" i="15"/>
  <c r="AP32" i="15"/>
  <c r="AN32" i="15"/>
  <c r="AP44" i="15"/>
  <c r="AL45" i="15" a="1"/>
  <c r="AL45" i="15" s="1"/>
  <c r="AK44" i="15"/>
  <c r="AP56" i="15"/>
  <c r="AL57" i="15" a="1"/>
  <c r="AL57" i="15" s="1"/>
  <c r="AK56" i="15"/>
  <c r="AL69" i="15" a="1"/>
  <c r="AL69" i="15" s="1"/>
  <c r="AK69" i="15" a="1"/>
  <c r="AK69" i="15" s="1"/>
  <c r="AM69" i="15" a="1"/>
  <c r="AM69" i="15" s="1"/>
  <c r="AL39" i="15" a="1"/>
  <c r="AL39" i="15" s="1"/>
  <c r="AM39" i="15" a="1"/>
  <c r="AM39" i="15" s="1"/>
  <c r="AK39" i="15" a="1"/>
  <c r="AK39" i="15" s="1"/>
  <c r="AO62" i="15"/>
  <c r="AK63" i="15" a="1"/>
  <c r="AK63" i="15" s="1"/>
  <c r="AO63" i="15" a="1"/>
  <c r="AO63" i="15" s="1"/>
  <c r="AN35" i="15"/>
  <c r="AK35" i="15"/>
  <c r="AM36" i="15" a="1"/>
  <c r="AM36" i="15" s="1"/>
  <c r="AL48" i="15" a="1"/>
  <c r="AL48" i="15" s="1"/>
  <c r="AO47" i="15"/>
  <c r="AO48" i="15" a="1"/>
  <c r="AO48" i="15" s="1"/>
  <c r="AL60" i="15" a="1"/>
  <c r="AL60" i="15" s="1"/>
  <c r="AO59" i="15"/>
  <c r="AO60" i="15" a="1"/>
  <c r="AO60" i="15" s="1"/>
  <c r="AO71" i="15"/>
  <c r="AM72" i="15" a="1"/>
  <c r="AM72" i="15" s="1"/>
  <c r="AP72" i="15" a="1"/>
  <c r="AP72" i="15" s="1"/>
  <c r="BL50" i="15"/>
  <c r="BG51" i="15" a="1"/>
  <c r="BG51" i="15" s="1"/>
  <c r="BW51" i="15" a="1"/>
  <c r="BW51" i="15" s="1"/>
  <c r="BS50" i="15"/>
  <c r="BJ51" i="15" a="1"/>
  <c r="BJ51" i="15" s="1"/>
  <c r="BJ50" i="15"/>
  <c r="BQ51" i="15" a="1"/>
  <c r="BQ51" i="15" s="1"/>
  <c r="CA50" i="15"/>
  <c r="BF50" i="15"/>
  <c r="BT51" i="15" a="1"/>
  <c r="BT51" i="15" s="1"/>
  <c r="W50" i="15"/>
  <c r="P51" i="15" a="1"/>
  <c r="P51" i="15" s="1"/>
  <c r="AF51" i="15" a="1"/>
  <c r="AF51" i="15" s="1"/>
  <c r="P50" i="15"/>
  <c r="AF50" i="15"/>
  <c r="W51" i="15" a="1"/>
  <c r="W51" i="15" s="1"/>
  <c r="M50" i="15"/>
  <c r="X51" i="15" a="1"/>
  <c r="X51" i="15" s="1"/>
  <c r="AA51" i="15" a="1"/>
  <c r="AA51" i="15" s="1"/>
  <c r="V50" i="15"/>
  <c r="Y50" i="15"/>
  <c r="R50" i="15"/>
  <c r="L51" i="15" a="1"/>
  <c r="L51" i="15" s="1"/>
  <c r="BY51" i="15" a="1"/>
  <c r="BY51" i="15" s="1"/>
  <c r="BZ50" i="15"/>
  <c r="BP74" i="15"/>
  <c r="BE75" i="15" a="1"/>
  <c r="BE75" i="15" s="1"/>
  <c r="BS74" i="15"/>
  <c r="BI75" i="15" a="1"/>
  <c r="BI75" i="15" s="1"/>
  <c r="BQ75" i="15" a="1"/>
  <c r="BQ75" i="15" s="1"/>
  <c r="BF74" i="15"/>
  <c r="BQ74" i="15"/>
  <c r="BN75" i="15" a="1"/>
  <c r="BN75" i="15" s="1"/>
  <c r="CC74" i="15"/>
  <c r="BZ74" i="15"/>
  <c r="AB74" i="15"/>
  <c r="Q75" i="15" a="1"/>
  <c r="Q75" i="15" s="1"/>
  <c r="AG75" i="15" a="1"/>
  <c r="AG75" i="15" s="1"/>
  <c r="BH75" i="15" a="1"/>
  <c r="BH75" i="15" s="1"/>
  <c r="U74" i="15"/>
  <c r="N75" i="15" a="1"/>
  <c r="N75" i="15" s="1"/>
  <c r="AD75" i="15" a="1"/>
  <c r="AD75" i="15" s="1"/>
  <c r="N74" i="15"/>
  <c r="AD74" i="15"/>
  <c r="AE75" i="15" a="1"/>
  <c r="AE75" i="15" s="1"/>
  <c r="AF75" i="15" a="1"/>
  <c r="AF75" i="15" s="1"/>
  <c r="W74" i="15"/>
  <c r="AJ75" i="15" a="1"/>
  <c r="AJ75" i="15" s="1"/>
  <c r="CB75" i="15" a="1"/>
  <c r="CB75" i="15" s="1"/>
  <c r="CC75" i="15" a="1"/>
  <c r="CC75" i="15" s="1"/>
  <c r="BT41" i="15"/>
  <c r="BJ42" i="15" a="1"/>
  <c r="BJ42" i="15" s="1"/>
  <c r="BR42" i="15" a="1"/>
  <c r="BR42" i="15" s="1"/>
  <c r="BI41" i="15"/>
  <c r="BK41" i="15"/>
  <c r="BI42" i="15" a="1"/>
  <c r="BI42" i="15" s="1"/>
  <c r="BG41" i="15"/>
  <c r="BK42" i="15" a="1"/>
  <c r="BK42" i="15" s="1"/>
  <c r="BW42" i="15" a="1"/>
  <c r="BW42" i="15" s="1"/>
  <c r="W41" i="15"/>
  <c r="AG42" i="15" a="1"/>
  <c r="AG42" i="15" s="1"/>
  <c r="AB41" i="15"/>
  <c r="O42" i="15" a="1"/>
  <c r="O42" i="15" s="1"/>
  <c r="W42" i="15" a="1"/>
  <c r="W42" i="15" s="1"/>
  <c r="AE42" i="15" a="1"/>
  <c r="AE42" i="15" s="1"/>
  <c r="AC41" i="15"/>
  <c r="AD41" i="15"/>
  <c r="AB42" i="15" a="1"/>
  <c r="AB42" i="15" s="1"/>
  <c r="AG41" i="15"/>
  <c r="AJ42" i="15" a="1"/>
  <c r="AJ42" i="15" s="1"/>
  <c r="N42" i="15" a="1"/>
  <c r="N42" i="15" s="1"/>
  <c r="BO42" i="15" a="1"/>
  <c r="BO42" i="15" s="1"/>
  <c r="BY41" i="15"/>
  <c r="CB42" i="15" a="1"/>
  <c r="CB42" i="15" s="1"/>
  <c r="BI53" i="15"/>
  <c r="BH53" i="15"/>
  <c r="BX53" i="15"/>
  <c r="BL54" i="15" a="1"/>
  <c r="BL54" i="15" s="1"/>
  <c r="BT54" i="15" a="1"/>
  <c r="BT54" i="15" s="1"/>
  <c r="BS53" i="15"/>
  <c r="BM54" i="15" a="1"/>
  <c r="BM54" i="15" s="1"/>
  <c r="BW53" i="15"/>
  <c r="BW54" i="15" a="1"/>
  <c r="BW54" i="15" s="1"/>
  <c r="Q53" i="15"/>
  <c r="AG53" i="15"/>
  <c r="AA54" i="15" a="1"/>
  <c r="AA54" i="15" s="1"/>
  <c r="R53" i="15"/>
  <c r="AH53" i="15"/>
  <c r="Y54" i="15" a="1"/>
  <c r="Y54" i="15" s="1"/>
  <c r="S53" i="15"/>
  <c r="T54" i="15" a="1"/>
  <c r="T54" i="15" s="1"/>
  <c r="AE53" i="15"/>
  <c r="BE54" i="15" a="1"/>
  <c r="BE54" i="15" s="1"/>
  <c r="U54" i="15" a="1"/>
  <c r="U54" i="15" s="1"/>
  <c r="L54" i="15" a="1"/>
  <c r="L54" i="15" s="1"/>
  <c r="AF53" i="15"/>
  <c r="X53" i="15"/>
  <c r="CA53" i="15"/>
  <c r="CA54" i="15" a="1"/>
  <c r="CA54" i="15" s="1"/>
  <c r="BJ65" i="15"/>
  <c r="BZ65" i="15"/>
  <c r="BT66" i="15" a="1"/>
  <c r="BT66" i="15" s="1"/>
  <c r="BU65" i="15"/>
  <c r="BK66" i="15" a="1"/>
  <c r="BK66" i="15" s="1"/>
  <c r="BH65" i="15"/>
  <c r="BU66" i="15" a="1"/>
  <c r="BU66" i="15" s="1"/>
  <c r="BG66" i="15" a="1"/>
  <c r="BG66" i="15" s="1"/>
  <c r="BG65" i="15"/>
  <c r="CB65" i="15"/>
  <c r="P65" i="15"/>
  <c r="AF65" i="15"/>
  <c r="Q66" i="15" a="1"/>
  <c r="Q66" i="15" s="1"/>
  <c r="Y66" i="15" a="1"/>
  <c r="Y66" i="15" s="1"/>
  <c r="AH66" i="15" a="1"/>
  <c r="AH66" i="15" s="1"/>
  <c r="P66" i="15" a="1"/>
  <c r="P66" i="15" s="1"/>
  <c r="AF66" i="15" a="1"/>
  <c r="AF66" i="15" s="1"/>
  <c r="Y65" i="15"/>
  <c r="J66" i="15" a="1"/>
  <c r="J66" i="15" s="1"/>
  <c r="AH65" i="15"/>
  <c r="Z66" i="15" a="1"/>
  <c r="Z66" i="15" s="1"/>
  <c r="BO65" i="15"/>
  <c r="W65" i="15"/>
  <c r="AG66" i="15" a="1"/>
  <c r="AG66" i="15" s="1"/>
  <c r="CC66" i="15" a="1"/>
  <c r="CC66" i="15" s="1"/>
  <c r="BQ77" i="15"/>
  <c r="BF78" i="15" a="1"/>
  <c r="BF78" i="15" s="1"/>
  <c r="BV78" i="15" a="1"/>
  <c r="BV78" i="15" s="1"/>
  <c r="BZ77" i="15"/>
  <c r="BF77" i="15"/>
  <c r="CA77" i="15"/>
  <c r="BW78" i="15" a="1"/>
  <c r="BW78" i="15" s="1"/>
  <c r="BU78" i="15" a="1"/>
  <c r="BU78" i="15" s="1"/>
  <c r="CB77" i="15"/>
  <c r="BL77" i="15"/>
  <c r="Z77" i="15"/>
  <c r="P78" i="15" a="1"/>
  <c r="P78" i="15" s="1"/>
  <c r="X78" i="15" a="1"/>
  <c r="X78" i="15" s="1"/>
  <c r="AF78" i="15" a="1"/>
  <c r="AF78" i="15" s="1"/>
  <c r="T77" i="15"/>
  <c r="AJ77" i="15"/>
  <c r="Y78" i="15" a="1"/>
  <c r="Y78" i="15" s="1"/>
  <c r="O77" i="15"/>
  <c r="AE77" i="15"/>
  <c r="O78" i="15" a="1"/>
  <c r="O78" i="15" s="1"/>
  <c r="AE78" i="15" a="1"/>
  <c r="AE78" i="15" s="1"/>
  <c r="Y77" i="15"/>
  <c r="AC77" i="15"/>
  <c r="CA78" i="15" a="1"/>
  <c r="CA78" i="15" s="1"/>
  <c r="CB78" i="15" a="1"/>
  <c r="CB78" i="15" s="1"/>
  <c r="BU32" i="15"/>
  <c r="BJ33" i="15" a="1"/>
  <c r="BJ33" i="15" s="1"/>
  <c r="BF32" i="15"/>
  <c r="BV32" i="15"/>
  <c r="BO33" i="15" a="1"/>
  <c r="BO33" i="15" s="1"/>
  <c r="BT32" i="15"/>
  <c r="BK32" i="15"/>
  <c r="BP33" i="15" a="1"/>
  <c r="BP33" i="15" s="1"/>
  <c r="BE33" i="15" a="1"/>
  <c r="BE33" i="15" s="1"/>
  <c r="Y32" i="15"/>
  <c r="BO32" i="15"/>
  <c r="W32" i="15"/>
  <c r="U33" i="15" a="1"/>
  <c r="U33" i="15" s="1"/>
  <c r="BG32" i="15"/>
  <c r="AF32" i="15"/>
  <c r="AD33" i="15" a="1"/>
  <c r="AD33" i="15" s="1"/>
  <c r="T32" i="15"/>
  <c r="T33" i="15" a="1"/>
  <c r="T33" i="15" s="1"/>
  <c r="O32" i="15"/>
  <c r="J33" i="15" a="1"/>
  <c r="J33" i="15" s="1"/>
  <c r="BW32" i="15"/>
  <c r="AB33" i="15" a="1"/>
  <c r="AB33" i="15" s="1"/>
  <c r="AH33" i="15" a="1"/>
  <c r="AH33" i="15" s="1"/>
  <c r="BY33" i="15" a="1"/>
  <c r="BY33" i="15" s="1"/>
  <c r="BF44" i="15"/>
  <c r="BV44" i="15"/>
  <c r="BQ45" i="15" a="1"/>
  <c r="BQ45" i="15" s="1"/>
  <c r="BO44" i="15"/>
  <c r="BF45" i="15" a="1"/>
  <c r="BF45" i="15" s="1"/>
  <c r="BV45" i="15" a="1"/>
  <c r="BV45" i="15" s="1"/>
  <c r="BH45" i="15" a="1"/>
  <c r="BH45" i="15" s="1"/>
  <c r="BP44" i="15"/>
  <c r="BW45" i="15" a="1"/>
  <c r="BW45" i="15" s="1"/>
  <c r="BT44" i="15"/>
  <c r="BL44" i="15"/>
  <c r="AA44" i="15"/>
  <c r="V45" i="15" a="1"/>
  <c r="V45" i="15" s="1"/>
  <c r="P44" i="15"/>
  <c r="AF44" i="15"/>
  <c r="W45" i="15" a="1"/>
  <c r="W45" i="15" s="1"/>
  <c r="AJ45" i="15" a="1"/>
  <c r="AJ45" i="15" s="1"/>
  <c r="N45" i="15" a="1"/>
  <c r="N45" i="15" s="1"/>
  <c r="M44" i="15"/>
  <c r="BS45" i="15" a="1"/>
  <c r="BS45" i="15" s="1"/>
  <c r="O45" i="15" a="1"/>
  <c r="O45" i="15" s="1"/>
  <c r="AD45" i="15" a="1"/>
  <c r="AD45" i="15" s="1"/>
  <c r="AD44" i="15"/>
  <c r="BY44" i="15"/>
  <c r="BZ45" i="15" a="1"/>
  <c r="BZ45" i="15" s="1"/>
  <c r="BK56" i="15"/>
  <c r="CA56" i="15"/>
  <c r="BT57" i="15" a="1"/>
  <c r="BT57" i="15" s="1"/>
  <c r="BR56" i="15"/>
  <c r="BM57" i="15" a="1"/>
  <c r="BM57" i="15" s="1"/>
  <c r="BY56" i="15"/>
  <c r="BE57" i="15" a="1"/>
  <c r="BE57" i="15" s="1"/>
  <c r="BL57" i="15" a="1"/>
  <c r="BL57" i="15" s="1"/>
  <c r="BI57" i="15" a="1"/>
  <c r="BI57" i="15" s="1"/>
  <c r="BT56" i="15"/>
  <c r="W56" i="15"/>
  <c r="O57" i="15" a="1"/>
  <c r="O57" i="15" s="1"/>
  <c r="CC56" i="15"/>
  <c r="X56" i="15"/>
  <c r="Q56" i="15"/>
  <c r="T57" i="15" a="1"/>
  <c r="T57" i="15" s="1"/>
  <c r="AJ57" i="15" a="1"/>
  <c r="AJ57" i="15" s="1"/>
  <c r="R56" i="15"/>
  <c r="Q57" i="15" a="1"/>
  <c r="Q57" i="15" s="1"/>
  <c r="BO57" i="15" a="1"/>
  <c r="BO57" i="15" s="1"/>
  <c r="AJ56" i="15"/>
  <c r="N57" i="15" a="1"/>
  <c r="N57" i="15" s="1"/>
  <c r="J57" i="15" a="1"/>
  <c r="J57" i="15" s="1"/>
  <c r="W57" i="15" a="1"/>
  <c r="W57" i="15" s="1"/>
  <c r="CA57" i="15" a="1"/>
  <c r="CA57" i="15" s="1"/>
  <c r="BQ68" i="15"/>
  <c r="BF69" i="15" a="1"/>
  <c r="BF69" i="15" s="1"/>
  <c r="BL68" i="15"/>
  <c r="CB68" i="15"/>
  <c r="BR69" i="15" a="1"/>
  <c r="BR69" i="15" s="1"/>
  <c r="BK68" i="15"/>
  <c r="BM69" i="15" a="1"/>
  <c r="BM69" i="15" s="1"/>
  <c r="BI69" i="15" a="1"/>
  <c r="BI69" i="15" s="1"/>
  <c r="BJ68" i="15"/>
  <c r="BO68" i="15"/>
  <c r="X68" i="15"/>
  <c r="M69" i="15" a="1"/>
  <c r="M69" i="15" s="1"/>
  <c r="AE69" i="15" a="1"/>
  <c r="AE69" i="15" s="1"/>
  <c r="Z68" i="15"/>
  <c r="AC69" i="15" a="1"/>
  <c r="AC69" i="15" s="1"/>
  <c r="Y68" i="15"/>
  <c r="Q69" i="15" a="1"/>
  <c r="Q69" i="15" s="1"/>
  <c r="AF69" i="15" a="1"/>
  <c r="AF69" i="15" s="1"/>
  <c r="BJ69" i="15" a="1"/>
  <c r="BJ69" i="15" s="1"/>
  <c r="Y69" i="15" a="1"/>
  <c r="Y69" i="15" s="1"/>
  <c r="AE68" i="15"/>
  <c r="S68" i="15"/>
  <c r="AD69" i="15" a="1"/>
  <c r="AD69" i="15" s="1"/>
  <c r="CA69" i="15" a="1"/>
  <c r="CA69" i="15" s="1"/>
  <c r="BZ69" i="15" a="1"/>
  <c r="BZ69" i="15" s="1"/>
  <c r="BU38" i="15"/>
  <c r="BJ39" i="15" a="1"/>
  <c r="BJ39" i="15" s="1"/>
  <c r="BF38" i="15"/>
  <c r="BV38" i="15"/>
  <c r="BO39" i="15" a="1"/>
  <c r="BO39" i="15" s="1"/>
  <c r="BT38" i="15"/>
  <c r="BK38" i="15"/>
  <c r="BP39" i="15" a="1"/>
  <c r="BP39" i="15" s="1"/>
  <c r="BM39" i="15" a="1"/>
  <c r="BM39" i="15" s="1"/>
  <c r="BL39" i="15" a="1"/>
  <c r="BL39" i="15" s="1"/>
  <c r="Q38" i="15"/>
  <c r="AG38" i="15"/>
  <c r="Z39" i="15" a="1"/>
  <c r="Z39" i="15" s="1"/>
  <c r="N38" i="15"/>
  <c r="AD38" i="15"/>
  <c r="W39" i="15" a="1"/>
  <c r="W39" i="15" s="1"/>
  <c r="S38" i="15"/>
  <c r="X39" i="15" a="1"/>
  <c r="X39" i="15" s="1"/>
  <c r="W38" i="15"/>
  <c r="T38" i="15"/>
  <c r="Y39" i="15" a="1"/>
  <c r="Y39" i="15" s="1"/>
  <c r="M39" i="15" a="1"/>
  <c r="M39" i="15" s="1"/>
  <c r="X38" i="15"/>
  <c r="CC39" i="15" a="1"/>
  <c r="CC39" i="15" s="1"/>
  <c r="BI62" i="15"/>
  <c r="BY62" i="15"/>
  <c r="BO63" i="15" a="1"/>
  <c r="BO63" i="15" s="1"/>
  <c r="BE63" i="15" a="1"/>
  <c r="BE63" i="15" s="1"/>
  <c r="BT62" i="15"/>
  <c r="BN63" i="15" a="1"/>
  <c r="BN63" i="15" s="1"/>
  <c r="BO62" i="15"/>
  <c r="BV63" i="15" a="1"/>
  <c r="BV63" i="15" s="1"/>
  <c r="BG63" i="15" a="1"/>
  <c r="BG63" i="15" s="1"/>
  <c r="BP63" i="15" a="1"/>
  <c r="BP63" i="15" s="1"/>
  <c r="P62" i="15"/>
  <c r="AF62" i="15"/>
  <c r="S63" i="15" a="1"/>
  <c r="S63" i="15" s="1"/>
  <c r="AJ63" i="15" a="1"/>
  <c r="AJ63" i="15" s="1"/>
  <c r="Z62" i="15"/>
  <c r="X63" i="15" a="1"/>
  <c r="X63" i="15" s="1"/>
  <c r="Q62" i="15"/>
  <c r="AG62" i="15"/>
  <c r="W63" i="15" a="1"/>
  <c r="W63" i="15" s="1"/>
  <c r="CA62" i="15"/>
  <c r="W62" i="15"/>
  <c r="J63" i="15" a="1"/>
  <c r="J63" i="15" s="1"/>
  <c r="V63" i="15" a="1"/>
  <c r="V63" i="15" s="1"/>
  <c r="O62" i="15"/>
  <c r="BZ63" i="15" a="1"/>
  <c r="BZ63" i="15" s="1"/>
  <c r="BL35" i="15"/>
  <c r="CB35" i="15"/>
  <c r="BU35" i="15"/>
  <c r="BH36" i="15" a="1"/>
  <c r="BH36" i="15" s="1"/>
  <c r="BP36" i="15" a="1"/>
  <c r="BP36" i="15" s="1"/>
  <c r="BX36" i="15" a="1"/>
  <c r="BX36" i="15" s="1"/>
  <c r="BG36" i="15" a="1"/>
  <c r="BG36" i="15" s="1"/>
  <c r="BW36" i="15" a="1"/>
  <c r="BW36" i="15" s="1"/>
  <c r="BO35" i="15"/>
  <c r="BG35" i="15"/>
  <c r="R35" i="15"/>
  <c r="AH35" i="15"/>
  <c r="T36" i="15" a="1"/>
  <c r="T36" i="15" s="1"/>
  <c r="M35" i="15"/>
  <c r="AI35" i="15"/>
  <c r="BW35" i="15"/>
  <c r="AE35" i="15"/>
  <c r="Z36" i="15" a="1"/>
  <c r="Z36" i="15" s="1"/>
  <c r="AJ36" i="15" a="1"/>
  <c r="AJ36" i="15" s="1"/>
  <c r="AG36" i="15" a="1"/>
  <c r="AG36" i="15" s="1"/>
  <c r="Q36" i="15" a="1"/>
  <c r="Q36" i="15" s="1"/>
  <c r="O36" i="15" a="1"/>
  <c r="O36" i="15" s="1"/>
  <c r="Q35" i="15"/>
  <c r="W36" i="15" a="1"/>
  <c r="W36" i="15" s="1"/>
  <c r="CC36" i="15" a="1"/>
  <c r="CC36" i="15" s="1"/>
  <c r="BO47" i="15"/>
  <c r="BL47" i="15"/>
  <c r="BF48" i="15" a="1"/>
  <c r="BF48" i="15" s="1"/>
  <c r="BI48" i="15" a="1"/>
  <c r="BI48" i="15" s="1"/>
  <c r="BI47" i="15"/>
  <c r="BS48" i="15" a="1"/>
  <c r="BS48" i="15" s="1"/>
  <c r="BP48" i="15" a="1"/>
  <c r="BP48" i="15" s="1"/>
  <c r="BO48" i="15" a="1"/>
  <c r="BO48" i="15" s="1"/>
  <c r="BE48" i="15" a="1"/>
  <c r="BE48" i="15" s="1"/>
  <c r="AA47" i="15"/>
  <c r="R48" i="15" a="1"/>
  <c r="R48" i="15" s="1"/>
  <c r="AI48" i="15" a="1"/>
  <c r="AI48" i="15" s="1"/>
  <c r="X47" i="15"/>
  <c r="M48" i="15" a="1"/>
  <c r="M48" i="15" s="1"/>
  <c r="AC48" i="15" a="1"/>
  <c r="AC48" i="15" s="1"/>
  <c r="M47" i="15"/>
  <c r="AA48" i="15" a="1"/>
  <c r="AA48" i="15" s="1"/>
  <c r="N48" i="15" a="1"/>
  <c r="N48" i="15" s="1"/>
  <c r="Q48" i="15" a="1"/>
  <c r="Q48" i="15" s="1"/>
  <c r="Q47" i="15"/>
  <c r="AD48" i="15" a="1"/>
  <c r="AD48" i="15" s="1"/>
  <c r="AH47" i="15"/>
  <c r="BZ47" i="15"/>
  <c r="CC47" i="15"/>
  <c r="CA47" i="15"/>
  <c r="BU59" i="15"/>
  <c r="BH60" i="15" a="1"/>
  <c r="BH60" i="15" s="1"/>
  <c r="BR59" i="15"/>
  <c r="BF59" i="15"/>
  <c r="CA59" i="15"/>
  <c r="BQ60" i="15" a="1"/>
  <c r="BQ60" i="15" s="1"/>
  <c r="BO59" i="15"/>
  <c r="BS59" i="15"/>
  <c r="BN59" i="15"/>
  <c r="BT59" i="15"/>
  <c r="X59" i="15"/>
  <c r="M60" i="15" a="1"/>
  <c r="M60" i="15" s="1"/>
  <c r="U60" i="15" a="1"/>
  <c r="U60" i="15" s="1"/>
  <c r="AC60" i="15" a="1"/>
  <c r="AC60" i="15" s="1"/>
  <c r="Z59" i="15"/>
  <c r="X60" i="15" a="1"/>
  <c r="X60" i="15" s="1"/>
  <c r="BT60" i="15" a="1"/>
  <c r="BT60" i="15" s="1"/>
  <c r="Y59" i="15"/>
  <c r="J60" i="15" a="1"/>
  <c r="J60" i="15" s="1"/>
  <c r="P60" i="15" a="1"/>
  <c r="P60" i="15" s="1"/>
  <c r="AD60" i="15" a="1"/>
  <c r="AD60" i="15" s="1"/>
  <c r="L60" i="15" a="1"/>
  <c r="L60" i="15" s="1"/>
  <c r="AG60" i="15" a="1"/>
  <c r="AG60" i="15" s="1"/>
  <c r="CB60" i="15" a="1"/>
  <c r="CB60" i="15" s="1"/>
  <c r="BG71" i="15"/>
  <c r="BW71" i="15"/>
  <c r="BR72" i="15" a="1"/>
  <c r="BR72" i="15" s="1"/>
  <c r="BN71" i="15"/>
  <c r="BG72" i="15" a="1"/>
  <c r="BG72" i="15" s="1"/>
  <c r="BW72" i="15" a="1"/>
  <c r="BW72" i="15" s="1"/>
  <c r="BF72" i="15" a="1"/>
  <c r="BF72" i="15" s="1"/>
  <c r="BT71" i="15"/>
  <c r="BX72" i="15" a="1"/>
  <c r="BX72" i="15" s="1"/>
  <c r="BM71" i="15"/>
  <c r="BU71" i="15"/>
  <c r="AB71" i="15"/>
  <c r="O72" i="15" a="1"/>
  <c r="O72" i="15" s="1"/>
  <c r="W72" i="15" a="1"/>
  <c r="W72" i="15" s="1"/>
  <c r="AE72" i="15" a="1"/>
  <c r="AE72" i="15" s="1"/>
  <c r="T72" i="15" a="1"/>
  <c r="T72" i="15" s="1"/>
  <c r="AJ72" i="15" a="1"/>
  <c r="AJ72" i="15" s="1"/>
  <c r="Y71" i="15"/>
  <c r="J72" i="15" a="1"/>
  <c r="J72" i="15" s="1"/>
  <c r="Z71" i="15"/>
  <c r="R72" i="15" a="1"/>
  <c r="R72" i="15" s="1"/>
  <c r="W71" i="15"/>
  <c r="AG72" i="15" a="1"/>
  <c r="AG72" i="15" s="1"/>
  <c r="AI71" i="15"/>
  <c r="CB72" i="15" a="1"/>
  <c r="CB72" i="15" s="1"/>
  <c r="BE68" i="15"/>
  <c r="BE77" i="15"/>
  <c r="L65" i="15"/>
  <c r="CO78" i="15" a="1"/>
  <c r="CO78" i="15" s="1"/>
  <c r="CO63" i="15" a="1"/>
  <c r="CO63" i="15" s="1"/>
  <c r="CL33" i="15" a="1"/>
  <c r="CL33" i="15" s="1"/>
  <c r="CN38" i="15"/>
  <c r="CL41" i="15"/>
  <c r="CK36" i="15" a="1"/>
  <c r="CK36" i="15" s="1"/>
  <c r="CL59" i="15"/>
  <c r="AT50" i="15"/>
  <c r="AW54" i="15" a="1"/>
  <c r="AW54" i="15" s="1"/>
  <c r="AW78" i="15" a="1"/>
  <c r="AW78" i="15" s="1"/>
  <c r="AT68" i="15"/>
  <c r="AW75" i="15" a="1"/>
  <c r="AW75" i="15" s="1"/>
  <c r="AW36" i="15" a="1"/>
  <c r="AW36" i="15" s="1"/>
  <c r="AW60" i="15" a="1"/>
  <c r="AW60" i="15" s="1"/>
  <c r="CG39" i="15" a="1"/>
  <c r="CG39" i="15" s="1"/>
  <c r="CF74" i="15"/>
  <c r="CD53" i="15"/>
  <c r="CF66" i="15" a="1"/>
  <c r="CF66" i="15" s="1"/>
  <c r="CE32" i="15"/>
  <c r="CD57" i="15" a="1"/>
  <c r="CD57" i="15" s="1"/>
  <c r="CH69" i="15" a="1"/>
  <c r="CH69" i="15" s="1"/>
  <c r="CH36" i="15" a="1"/>
  <c r="CH36" i="15" s="1"/>
  <c r="CH60" i="15" a="1"/>
  <c r="CH60" i="15" s="1"/>
  <c r="CE71" i="15"/>
  <c r="AL50" i="15"/>
  <c r="AN51" i="15" a="1"/>
  <c r="AN51" i="15" s="1"/>
  <c r="AO75" i="15" a="1"/>
  <c r="AO75" i="15" s="1"/>
  <c r="AP41" i="15"/>
  <c r="AM41" i="15"/>
  <c r="AN54" i="15" a="1"/>
  <c r="AN54" i="15" s="1"/>
  <c r="AM66" i="15" a="1"/>
  <c r="AM66" i="15" s="1"/>
  <c r="AP66" i="15" a="1"/>
  <c r="AP66" i="15" s="1"/>
  <c r="AL77" i="15"/>
  <c r="AP33" i="15" a="1"/>
  <c r="AP33" i="15" s="1"/>
  <c r="AM32" i="15"/>
  <c r="AO44" i="15"/>
  <c r="AN57" i="15" a="1"/>
  <c r="AN57" i="15" s="1"/>
  <c r="AN56" i="15"/>
  <c r="AK68" i="15"/>
  <c r="AK38" i="15"/>
  <c r="AP39" i="15" a="1"/>
  <c r="AP39" i="15" s="1"/>
  <c r="AN62" i="15"/>
  <c r="AN36" i="15" a="1"/>
  <c r="AN36" i="15" s="1"/>
  <c r="AP35" i="15"/>
  <c r="AM48" i="15" a="1"/>
  <c r="AM48" i="15" s="1"/>
  <c r="AP60" i="15" a="1"/>
  <c r="AP60" i="15" s="1"/>
  <c r="AM60" i="15" a="1"/>
  <c r="AM60" i="15" s="1"/>
  <c r="AN71" i="15"/>
  <c r="BT50" i="15"/>
  <c r="BK50" i="15"/>
  <c r="BR51" i="15" a="1"/>
  <c r="BR51" i="15" s="1"/>
  <c r="BI50" i="15"/>
  <c r="BM51" i="15" a="1"/>
  <c r="BM51" i="15" s="1"/>
  <c r="AE50" i="15"/>
  <c r="BN50" i="15"/>
  <c r="M51" i="15" a="1"/>
  <c r="M51" i="15" s="1"/>
  <c r="AC50" i="15"/>
  <c r="BU50" i="15"/>
  <c r="AH51" i="15" a="1"/>
  <c r="AH51" i="15" s="1"/>
  <c r="AB51" i="15" a="1"/>
  <c r="AB51" i="15" s="1"/>
  <c r="BH74" i="15"/>
  <c r="BK74" i="15"/>
  <c r="BM75" i="15" a="1"/>
  <c r="BM75" i="15" s="1"/>
  <c r="BV74" i="15"/>
  <c r="BV75" i="15" a="1"/>
  <c r="BV75" i="15" s="1"/>
  <c r="T74" i="15"/>
  <c r="Y75" i="15" a="1"/>
  <c r="Y75" i="15" s="1"/>
  <c r="M74" i="15"/>
  <c r="V75" i="15" a="1"/>
  <c r="V75" i="15" s="1"/>
  <c r="V74" i="15"/>
  <c r="AA74" i="15"/>
  <c r="J75" i="15" a="1"/>
  <c r="J75" i="15" s="1"/>
  <c r="BY75" i="15" a="1"/>
  <c r="BY75" i="15" s="1"/>
  <c r="BF42" i="15" a="1"/>
  <c r="BF42" i="15" s="1"/>
  <c r="BV42" i="15" a="1"/>
  <c r="BV42" i="15" s="1"/>
  <c r="BJ41" i="15"/>
  <c r="BF41" i="15"/>
  <c r="O41" i="15"/>
  <c r="T41" i="15"/>
  <c r="S42" i="15" a="1"/>
  <c r="S42" i="15" s="1"/>
  <c r="M41" i="15"/>
  <c r="T42" i="15" a="1"/>
  <c r="T42" i="15" s="1"/>
  <c r="R41" i="15"/>
  <c r="Z41" i="15"/>
  <c r="CA42" i="15" a="1"/>
  <c r="CA42" i="15" s="1"/>
  <c r="BQ53" i="15"/>
  <c r="BH54" i="15" a="1"/>
  <c r="BH54" i="15" s="1"/>
  <c r="BX54" i="15" a="1"/>
  <c r="BX54" i="15" s="1"/>
  <c r="BU54" i="15" a="1"/>
  <c r="BU54" i="15" s="1"/>
  <c r="BS54" i="15" a="1"/>
  <c r="BS54" i="15" s="1"/>
  <c r="S54" i="15" a="1"/>
  <c r="S54" i="15" s="1"/>
  <c r="Z53" i="15"/>
  <c r="AG54" i="15" a="1"/>
  <c r="AG54" i="15" s="1"/>
  <c r="O53" i="15"/>
  <c r="AB53" i="15"/>
  <c r="P53" i="15"/>
  <c r="CB53" i="15"/>
  <c r="BZ54" i="15" a="1"/>
  <c r="BZ54" i="15" s="1"/>
  <c r="BL66" i="15" a="1"/>
  <c r="BL66" i="15" s="1"/>
  <c r="CC65" i="15"/>
  <c r="BX65" i="15"/>
  <c r="BW66" i="15" a="1"/>
  <c r="BW66" i="15" s="1"/>
  <c r="BX66" i="15" a="1"/>
  <c r="BX66" i="15" s="1"/>
  <c r="M66" i="15" a="1"/>
  <c r="M66" i="15" s="1"/>
  <c r="AC66" i="15" a="1"/>
  <c r="AC66" i="15" s="1"/>
  <c r="X66" i="15" a="1"/>
  <c r="X66" i="15" s="1"/>
  <c r="AG65" i="15"/>
  <c r="R66" i="15" a="1"/>
  <c r="R66" i="15" s="1"/>
  <c r="AI65" i="15"/>
  <c r="CB66" i="15" a="1"/>
  <c r="CB66" i="15" s="1"/>
  <c r="BY77" i="15"/>
  <c r="BO77" i="15"/>
  <c r="BP77" i="15"/>
  <c r="BX77" i="15"/>
  <c r="BQ78" i="15" a="1"/>
  <c r="BQ78" i="15" s="1"/>
  <c r="AH77" i="15"/>
  <c r="AB78" i="15" a="1"/>
  <c r="AB78" i="15" s="1"/>
  <c r="AB77" i="15"/>
  <c r="AH78" i="15" a="1"/>
  <c r="AH78" i="15" s="1"/>
  <c r="AG78" i="15" a="1"/>
  <c r="AG78" i="15" s="1"/>
  <c r="BR78" i="15" a="1"/>
  <c r="BR78" i="15" s="1"/>
  <c r="AG77" i="15"/>
  <c r="BM32" i="15"/>
  <c r="BR33" i="15" a="1"/>
  <c r="BR33" i="15" s="1"/>
  <c r="BG33" i="15" a="1"/>
  <c r="BG33" i="15" s="1"/>
  <c r="BI33" i="15" a="1"/>
  <c r="BI33" i="15" s="1"/>
  <c r="BP32" i="15"/>
  <c r="AG32" i="15"/>
  <c r="AH32" i="15"/>
  <c r="S32" i="15"/>
  <c r="BH32" i="15"/>
  <c r="AE33" i="15" a="1"/>
  <c r="AE33" i="15" s="1"/>
  <c r="AJ32" i="15"/>
  <c r="BM33" i="15" a="1"/>
  <c r="BM33" i="15" s="1"/>
  <c r="CB33" i="15" a="1"/>
  <c r="CB33" i="15" s="1"/>
  <c r="BI45" i="15" a="1"/>
  <c r="BI45" i="15" s="1"/>
  <c r="BW44" i="15"/>
  <c r="BQ44" i="15"/>
  <c r="BG45" i="15" a="1"/>
  <c r="BG45" i="15" s="1"/>
  <c r="BM44" i="15"/>
  <c r="AI44" i="15"/>
  <c r="X44" i="15"/>
  <c r="AC45" i="15" a="1"/>
  <c r="AC45" i="15" s="1"/>
  <c r="AA45" i="15" a="1"/>
  <c r="AA45" i="15" s="1"/>
  <c r="Z44" i="15"/>
  <c r="N44" i="15"/>
  <c r="CC45" i="15" a="1"/>
  <c r="CC45" i="15" s="1"/>
  <c r="BS56" i="15"/>
  <c r="BJ56" i="15"/>
  <c r="BI56" i="15"/>
  <c r="BP56" i="15"/>
  <c r="CB56" i="15"/>
  <c r="AE56" i="15"/>
  <c r="P56" i="15"/>
  <c r="AG56" i="15"/>
  <c r="AH57" i="15" a="1"/>
  <c r="AH57" i="15" s="1"/>
  <c r="AG57" i="15" a="1"/>
  <c r="AG57" i="15" s="1"/>
  <c r="AD57" i="15" a="1"/>
  <c r="AD57" i="15" s="1"/>
  <c r="S57" i="15" a="1"/>
  <c r="S57" i="15" s="1"/>
  <c r="BI68" i="15"/>
  <c r="BE69" i="15" a="1"/>
  <c r="BE69" i="15" s="1"/>
  <c r="BN69" i="15" a="1"/>
  <c r="BN69" i="15" s="1"/>
  <c r="CA68" i="15"/>
  <c r="BS69" i="15" a="1"/>
  <c r="BS69" i="15" s="1"/>
  <c r="P68" i="15"/>
  <c r="W69" i="15" a="1"/>
  <c r="W69" i="15" s="1"/>
  <c r="O69" i="15" a="1"/>
  <c r="O69" i="15" s="1"/>
  <c r="AG68" i="15"/>
  <c r="L69" i="15" a="1"/>
  <c r="L69" i="15" s="1"/>
  <c r="BR68" i="15"/>
  <c r="V69" i="15" a="1"/>
  <c r="V69" i="15" s="1"/>
  <c r="CB69" i="15" a="1"/>
  <c r="CB69" i="15" s="1"/>
  <c r="CC38" i="15"/>
  <c r="BN38" i="15"/>
  <c r="BW39" i="15" a="1"/>
  <c r="BW39" i="15" s="1"/>
  <c r="CA38" i="15"/>
  <c r="BG38" i="15"/>
  <c r="Y38" i="15"/>
  <c r="AH39" i="15" a="1"/>
  <c r="AH39" i="15" s="1"/>
  <c r="O39" i="15" a="1"/>
  <c r="O39" i="15" s="1"/>
  <c r="AI38" i="15"/>
  <c r="T39" i="15" a="1"/>
  <c r="T39" i="15" s="1"/>
  <c r="J39" i="15" a="1"/>
  <c r="J39" i="15" s="1"/>
  <c r="L39" i="15" a="1"/>
  <c r="L39" i="15" s="1"/>
  <c r="BQ62" i="15"/>
  <c r="BU63" i="15" a="1"/>
  <c r="BU63" i="15" s="1"/>
  <c r="CB62" i="15"/>
  <c r="BK63" i="15" a="1"/>
  <c r="BK63" i="15" s="1"/>
  <c r="BS63" i="15" a="1"/>
  <c r="BS63" i="15" s="1"/>
  <c r="X62" i="15"/>
  <c r="AC63" i="15" a="1"/>
  <c r="AC63" i="15" s="1"/>
  <c r="AH62" i="15"/>
  <c r="Y62" i="15"/>
  <c r="AG63" i="15" a="1"/>
  <c r="AG63" i="15" s="1"/>
  <c r="BJ63" i="15" a="1"/>
  <c r="BJ63" i="15" s="1"/>
  <c r="AA62" i="15"/>
  <c r="CA63" i="15" a="1"/>
  <c r="CA63" i="15" s="1"/>
  <c r="BM35" i="15"/>
  <c r="BL36" i="15" a="1"/>
  <c r="BL36" i="15" s="1"/>
  <c r="BS35" i="15"/>
  <c r="BR35" i="15"/>
  <c r="BE36" i="15" a="1"/>
  <c r="BE36" i="15" s="1"/>
  <c r="P36" i="15" a="1"/>
  <c r="P36" i="15" s="1"/>
  <c r="X35" i="15"/>
  <c r="T35" i="15"/>
  <c r="AD36" i="15" a="1"/>
  <c r="AD36" i="15" s="1"/>
  <c r="P35" i="15"/>
  <c r="AC36" i="15" a="1"/>
  <c r="AC36" i="15" s="1"/>
  <c r="CB36" i="15" a="1"/>
  <c r="CB36" i="15" s="1"/>
  <c r="BW47" i="15"/>
  <c r="BJ47" i="15"/>
  <c r="BK48" i="15" a="1"/>
  <c r="BK48" i="15" s="1"/>
  <c r="BU47" i="15"/>
  <c r="S47" i="15"/>
  <c r="Z48" i="15" a="1"/>
  <c r="Z48" i="15" s="1"/>
  <c r="AF47" i="15"/>
  <c r="AJ48" i="15" a="1"/>
  <c r="AJ48" i="15" s="1"/>
  <c r="L48" i="15" a="1"/>
  <c r="L48" i="15" s="1"/>
  <c r="AH48" i="15" a="1"/>
  <c r="AH48" i="15" s="1"/>
  <c r="Y48" i="15" a="1"/>
  <c r="Y48" i="15" s="1"/>
  <c r="CA48" i="15" a="1"/>
  <c r="CA48" i="15" s="1"/>
  <c r="BM59" i="15"/>
  <c r="BG59" i="15"/>
  <c r="BP59" i="15"/>
  <c r="BU60" i="15" a="1"/>
  <c r="BU60" i="15" s="1"/>
  <c r="BR60" i="15" a="1"/>
  <c r="BR60" i="15" s="1"/>
  <c r="P59" i="15"/>
  <c r="Q60" i="15" a="1"/>
  <c r="Q60" i="15" s="1"/>
  <c r="AH60" i="15" a="1"/>
  <c r="AH60" i="15" s="1"/>
  <c r="AF60" i="15" a="1"/>
  <c r="AF60" i="15" s="1"/>
  <c r="AG59" i="15"/>
  <c r="V60" i="15" a="1"/>
  <c r="V60" i="15" s="1"/>
  <c r="O59" i="15"/>
  <c r="BZ60" i="15" a="1"/>
  <c r="BZ60" i="15" s="1"/>
  <c r="BJ72" i="15" a="1"/>
  <c r="BJ72" i="15" s="1"/>
  <c r="BV71" i="15"/>
  <c r="BQ71" i="15"/>
  <c r="BH72" i="15" a="1"/>
  <c r="BH72" i="15" s="1"/>
  <c r="BN72" i="15" a="1"/>
  <c r="BN72" i="15" s="1"/>
  <c r="AJ71" i="15"/>
  <c r="AA72" i="15" a="1"/>
  <c r="AA72" i="15" s="1"/>
  <c r="Z72" i="15" a="1"/>
  <c r="Z72" i="15" s="1"/>
  <c r="AG71" i="15"/>
  <c r="AH71" i="15"/>
  <c r="O71" i="15"/>
  <c r="BY72" i="15" a="1"/>
  <c r="BY72" i="15" s="1"/>
  <c r="J65" i="15"/>
  <c r="J74" i="15"/>
  <c r="L68" i="15"/>
  <c r="AP51" i="15" a="1"/>
  <c r="AP51" i="15" s="1"/>
  <c r="AN75" i="15" a="1"/>
  <c r="AN75" i="15" s="1"/>
  <c r="AK54" i="15" a="1"/>
  <c r="AK54" i="15" s="1"/>
  <c r="AP77" i="15"/>
  <c r="AK33" i="15" a="1"/>
  <c r="AK33" i="15" s="1"/>
  <c r="AP45" i="15" a="1"/>
  <c r="AP45" i="15" s="1"/>
  <c r="AP68" i="15"/>
  <c r="AM63" i="15" a="1"/>
  <c r="AM63" i="15" s="1"/>
  <c r="AL35" i="15"/>
  <c r="AN48" i="15" a="1"/>
  <c r="AN48" i="15" s="1"/>
  <c r="AL71" i="15"/>
  <c r="BK51" i="15" a="1"/>
  <c r="BK51" i="15" s="1"/>
  <c r="BL51" i="15" a="1"/>
  <c r="BL51" i="15" s="1"/>
  <c r="T50" i="15"/>
  <c r="Z51" i="15" a="1"/>
  <c r="Z51" i="15" s="1"/>
  <c r="AD50" i="15"/>
  <c r="U51" i="15" a="1"/>
  <c r="U51" i="15" s="1"/>
  <c r="BS75" i="15" a="1"/>
  <c r="BS75" i="15" s="1"/>
  <c r="AF74" i="15"/>
  <c r="O75" i="15" a="1"/>
  <c r="O75" i="15" s="1"/>
  <c r="AH74" i="15"/>
  <c r="BP75" i="15" a="1"/>
  <c r="BP75" i="15" s="1"/>
  <c r="BL42" i="15" a="1"/>
  <c r="BL42" i="15" s="1"/>
  <c r="BS42" i="15" a="1"/>
  <c r="BS42" i="15" s="1"/>
  <c r="AF41" i="15"/>
  <c r="L42" i="15" a="1"/>
  <c r="L42" i="15" s="1"/>
  <c r="J42" i="15" a="1"/>
  <c r="J42" i="15" s="1"/>
  <c r="BY42" i="15" a="1"/>
  <c r="BY42" i="15" s="1"/>
  <c r="BN54" i="15" a="1"/>
  <c r="BN54" i="15" s="1"/>
  <c r="AF54" i="15" a="1"/>
  <c r="AF54" i="15" s="1"/>
  <c r="AA53" i="15"/>
  <c r="Z54" i="15" a="1"/>
  <c r="Z54" i="15" s="1"/>
  <c r="BZ53" i="15"/>
  <c r="BN65" i="15"/>
  <c r="BN66" i="15" a="1"/>
  <c r="BN66" i="15" s="1"/>
  <c r="T65" i="15"/>
  <c r="N65" i="15"/>
  <c r="M65" i="15"/>
  <c r="BH66" i="15" a="1"/>
  <c r="BH66" i="15" s="1"/>
  <c r="L66" i="15" a="1"/>
  <c r="L66" i="15" s="1"/>
  <c r="BK78" i="15" a="1"/>
  <c r="BK78" i="15" s="1"/>
  <c r="BI78" i="15" a="1"/>
  <c r="BI78" i="15" s="1"/>
  <c r="N77" i="15"/>
  <c r="AJ78" i="15" a="1"/>
  <c r="AJ78" i="15" s="1"/>
  <c r="S77" i="15"/>
  <c r="S78" i="15" a="1"/>
  <c r="S78" i="15" s="1"/>
  <c r="BZ78" i="15" a="1"/>
  <c r="BZ78" i="15" s="1"/>
  <c r="BS32" i="15"/>
  <c r="M32" i="15"/>
  <c r="BT33" i="15" a="1"/>
  <c r="BT33" i="15" s="1"/>
  <c r="M33" i="15" a="1"/>
  <c r="M33" i="15" s="1"/>
  <c r="W33" i="15" a="1"/>
  <c r="W33" i="15" s="1"/>
  <c r="BJ45" i="15" a="1"/>
  <c r="BJ45" i="15" s="1"/>
  <c r="BU44" i="15"/>
  <c r="O44" i="15"/>
  <c r="AJ44" i="15"/>
  <c r="Q44" i="15"/>
  <c r="U45" i="15" a="1"/>
  <c r="U45" i="15" s="1"/>
  <c r="CB45" i="15" a="1"/>
  <c r="CB45" i="15" s="1"/>
  <c r="BV56" i="15"/>
  <c r="BQ57" i="15" a="1"/>
  <c r="BQ57" i="15" s="1"/>
  <c r="R57" i="15" a="1"/>
  <c r="R57" i="15" s="1"/>
  <c r="X57" i="15" a="1"/>
  <c r="X57" i="15" s="1"/>
  <c r="AE57" i="15" a="1"/>
  <c r="AE57" i="15" s="1"/>
  <c r="BU68" i="15"/>
  <c r="BT69" i="15" a="1"/>
  <c r="BT69" i="15" s="1"/>
  <c r="AI69" i="15" a="1"/>
  <c r="AI69" i="15" s="1"/>
  <c r="R68" i="15"/>
  <c r="S69" i="15" a="1"/>
  <c r="S69" i="15" s="1"/>
  <c r="BI38" i="15"/>
  <c r="BZ38" i="15"/>
  <c r="CB38" i="15"/>
  <c r="BO38" i="15"/>
  <c r="N39" i="15" a="1"/>
  <c r="N39" i="15" s="1"/>
  <c r="AF39" i="15" a="1"/>
  <c r="AF39" i="15" s="1"/>
  <c r="P38" i="15"/>
  <c r="CC62" i="15"/>
  <c r="BH62" i="15"/>
  <c r="BT63" i="15" a="1"/>
  <c r="BT63" i="15" s="1"/>
  <c r="AJ62" i="15"/>
  <c r="AH63" i="15" a="1"/>
  <c r="AH63" i="15" s="1"/>
  <c r="U63" i="15" a="1"/>
  <c r="U63" i="15" s="1"/>
  <c r="BP35" i="15"/>
  <c r="BY35" i="15"/>
  <c r="BK36" i="15" a="1"/>
  <c r="BK36" i="15" s="1"/>
  <c r="V35" i="15"/>
  <c r="V36" i="15" a="1"/>
  <c r="V36" i="15" s="1"/>
  <c r="AJ35" i="15"/>
  <c r="BQ36" i="15" a="1"/>
  <c r="BQ36" i="15" s="1"/>
  <c r="AB35" i="15"/>
  <c r="BY36" i="15" a="1"/>
  <c r="BY36" i="15" s="1"/>
  <c r="BV48" i="15" a="1"/>
  <c r="BV48" i="15" s="1"/>
  <c r="AE47" i="15"/>
  <c r="BM48" i="15" a="1"/>
  <c r="BM48" i="15" s="1"/>
  <c r="U47" i="15"/>
  <c r="Y47" i="15"/>
  <c r="CB48" i="15" a="1"/>
  <c r="CB48" i="15" s="1"/>
  <c r="BK60" i="15" a="1"/>
  <c r="BK60" i="15" s="1"/>
  <c r="AB59" i="15"/>
  <c r="AH59" i="15"/>
  <c r="M59" i="15"/>
  <c r="N59" i="15"/>
  <c r="W59" i="15"/>
  <c r="BK71" i="15"/>
  <c r="BU72" i="15" a="1"/>
  <c r="BU72" i="15" s="1"/>
  <c r="BQ72" i="15" a="1"/>
  <c r="BQ72" i="15" s="1"/>
  <c r="Q72" i="15" a="1"/>
  <c r="Q72" i="15" s="1"/>
  <c r="M71" i="15"/>
  <c r="X72" i="15" a="1"/>
  <c r="X72" i="15" s="1"/>
  <c r="CA72" i="15" a="1"/>
  <c r="CA72" i="15" s="1"/>
  <c r="L74" i="15"/>
  <c r="L71" i="15"/>
  <c r="CJ68" i="15"/>
  <c r="CJ65" i="15"/>
  <c r="CJ74" i="15"/>
  <c r="CJ51" i="15" a="1"/>
  <c r="CJ51" i="15" s="1"/>
  <c r="CM54" i="15" a="1"/>
  <c r="CM54" i="15" s="1"/>
  <c r="CP35" i="15"/>
  <c r="AU63" i="15" a="1"/>
  <c r="AU63" i="15" s="1"/>
  <c r="AU66" i="15" a="1"/>
  <c r="AU66" i="15" s="1"/>
  <c r="AR33" i="15" a="1"/>
  <c r="AR33" i="15" s="1"/>
  <c r="AU57" i="15" a="1"/>
  <c r="AU57" i="15" s="1"/>
  <c r="AU39" i="15" a="1"/>
  <c r="AU39" i="15" s="1"/>
  <c r="AU42" i="15" a="1"/>
  <c r="AU42" i="15" s="1"/>
  <c r="AU48" i="15" a="1"/>
  <c r="AU48" i="15" s="1"/>
  <c r="AU72" i="15" a="1"/>
  <c r="AU72" i="15" s="1"/>
  <c r="CI51" i="15" a="1"/>
  <c r="CI51" i="15" s="1"/>
  <c r="CD41" i="15"/>
  <c r="CG54" i="15" a="1"/>
  <c r="CG54" i="15" s="1"/>
  <c r="CD78" i="15" a="1"/>
  <c r="CD78" i="15" s="1"/>
  <c r="CD45" i="15" a="1"/>
  <c r="CD45" i="15" s="1"/>
  <c r="CF56" i="15"/>
  <c r="CD36" i="15" a="1"/>
  <c r="CD36" i="15" s="1"/>
  <c r="CF47" i="15"/>
  <c r="CG59" i="15"/>
  <c r="CE72" i="15" a="1"/>
  <c r="CE72" i="15" s="1"/>
  <c r="AK75" i="15" a="1"/>
  <c r="AK75" i="15" s="1"/>
  <c r="AO42" i="15" a="1"/>
  <c r="AO42" i="15" s="1"/>
  <c r="AK53" i="15"/>
  <c r="AO65" i="15"/>
  <c r="AO77" i="15"/>
  <c r="AK45" i="15" a="1"/>
  <c r="AK45" i="15" s="1"/>
  <c r="AO56" i="15"/>
  <c r="AN68" i="15"/>
  <c r="AP38" i="15"/>
  <c r="AN63" i="15" a="1"/>
  <c r="AN63" i="15" s="1"/>
  <c r="AM47" i="15"/>
  <c r="AM59" i="15"/>
  <c r="AM71" i="15"/>
  <c r="BW50" i="15"/>
  <c r="BR50" i="15"/>
  <c r="BH51" i="15" a="1"/>
  <c r="BH51" i="15" s="1"/>
  <c r="S51" i="15" a="1"/>
  <c r="S51" i="15" s="1"/>
  <c r="AD51" i="15" a="1"/>
  <c r="AD51" i="15" s="1"/>
  <c r="BY50" i="15"/>
  <c r="BT74" i="15"/>
  <c r="BW74" i="15"/>
  <c r="BY74" i="15"/>
  <c r="BL75" i="15" a="1"/>
  <c r="BL75" i="15" s="1"/>
  <c r="Y74" i="15"/>
  <c r="AH75" i="15" a="1"/>
  <c r="AH75" i="15" s="1"/>
  <c r="S74" i="15"/>
  <c r="BH41" i="15"/>
  <c r="BM41" i="15"/>
  <c r="BM42" i="15" a="1"/>
  <c r="BM42" i="15" s="1"/>
  <c r="AA41" i="15"/>
  <c r="Y42" i="15" a="1"/>
  <c r="Y42" i="15" s="1"/>
  <c r="AF42" i="15" a="1"/>
  <c r="AF42" i="15" s="1"/>
  <c r="BE42" i="15" a="1"/>
  <c r="BE42" i="15" s="1"/>
  <c r="BL53" i="15"/>
  <c r="BJ53" i="15"/>
  <c r="BN53" i="15"/>
  <c r="U53" i="15"/>
  <c r="N54" i="15" a="1"/>
  <c r="N54" i="15" s="1"/>
  <c r="W54" i="15" a="1"/>
  <c r="W54" i="15" s="1"/>
  <c r="AC54" i="15" a="1"/>
  <c r="AC54" i="15" s="1"/>
  <c r="BI65" i="15"/>
  <c r="BK65" i="15"/>
  <c r="BW65" i="15"/>
  <c r="S66" i="15" a="1"/>
  <c r="S66" i="15" s="1"/>
  <c r="AD66" i="15" a="1"/>
  <c r="AD66" i="15" s="1"/>
  <c r="CA66" i="15" a="1"/>
  <c r="CA66" i="15" s="1"/>
  <c r="BH78" i="15" a="1"/>
  <c r="BH78" i="15" s="1"/>
  <c r="BE78" i="15" a="1"/>
  <c r="BE78" i="15" s="1"/>
  <c r="R78" i="15" a="1"/>
  <c r="R78" i="15" s="1"/>
  <c r="M78" i="15" a="1"/>
  <c r="M78" i="15" s="1"/>
  <c r="L78" i="15" a="1"/>
  <c r="L78" i="15" s="1"/>
  <c r="BY32" i="15"/>
  <c r="BJ32" i="15"/>
  <c r="BS33" i="15" a="1"/>
  <c r="BS33" i="15" s="1"/>
  <c r="Y33" i="15" a="1"/>
  <c r="Y33" i="15" s="1"/>
  <c r="AA32" i="15"/>
  <c r="AD32" i="15"/>
  <c r="P32" i="15"/>
  <c r="BJ44" i="15"/>
  <c r="BU45" i="15" a="1"/>
  <c r="BU45" i="15" s="1"/>
  <c r="BP45" i="15" a="1"/>
  <c r="BP45" i="15" s="1"/>
  <c r="Y45" i="15" a="1"/>
  <c r="Y45" i="15" s="1"/>
  <c r="U44" i="15"/>
  <c r="AE45" i="15" a="1"/>
  <c r="AE45" i="15" s="1"/>
  <c r="BG57" i="15" a="1"/>
  <c r="BG57" i="15" s="1"/>
  <c r="BF57" i="15" a="1"/>
  <c r="BF57" i="15" s="1"/>
  <c r="BS57" i="15" a="1"/>
  <c r="BS57" i="15" s="1"/>
  <c r="AB56" i="15"/>
  <c r="Z56" i="15"/>
  <c r="M56" i="15"/>
  <c r="CC57" i="15" a="1"/>
  <c r="CC57" i="15" s="1"/>
  <c r="BP68" i="15"/>
  <c r="BF68" i="15"/>
  <c r="BZ68" i="15"/>
  <c r="AB68" i="15"/>
  <c r="M68" i="15"/>
  <c r="T69" i="15" a="1"/>
  <c r="T69" i="15" s="1"/>
  <c r="BQ69" i="15" a="1"/>
  <c r="BQ69" i="15" s="1"/>
  <c r="BN39" i="15" a="1"/>
  <c r="BN39" i="15" s="1"/>
  <c r="BX39" i="15" a="1"/>
  <c r="BX39" i="15" s="1"/>
  <c r="R38" i="15"/>
  <c r="AA39" i="15" a="1"/>
  <c r="AA39" i="15" s="1"/>
  <c r="AB38" i="15"/>
  <c r="CB39" i="15" a="1"/>
  <c r="CB39" i="15" s="1"/>
  <c r="BJ62" i="15"/>
  <c r="BS62" i="15"/>
  <c r="N62" i="15"/>
  <c r="N63" i="15" a="1"/>
  <c r="N63" i="15" s="1"/>
  <c r="AE62" i="15"/>
  <c r="AE63" i="15" a="1"/>
  <c r="AE63" i="15" s="1"/>
  <c r="BR36" i="15" a="1"/>
  <c r="BR36" i="15" s="1"/>
  <c r="BM36" i="15" a="1"/>
  <c r="BM36" i="15" s="1"/>
  <c r="M36" i="15" a="1"/>
  <c r="M36" i="15" s="1"/>
  <c r="J36" i="15" a="1"/>
  <c r="J36" i="15" s="1"/>
  <c r="BP47" i="15"/>
  <c r="BL48" i="15" a="1"/>
  <c r="BL48" i="15" s="1"/>
  <c r="BG48" i="15" a="1"/>
  <c r="BG48" i="15" s="1"/>
  <c r="P48" i="15" a="1"/>
  <c r="P48" i="15" s="1"/>
  <c r="N47" i="15"/>
  <c r="R47" i="15"/>
  <c r="BY59" i="15"/>
  <c r="BW59" i="15"/>
  <c r="BZ59" i="15"/>
  <c r="BG60" i="15" a="1"/>
  <c r="BG60" i="15" s="1"/>
  <c r="W60" i="15" a="1"/>
  <c r="W60" i="15" s="1"/>
  <c r="AJ60" i="15" a="1"/>
  <c r="AJ60" i="15" s="1"/>
  <c r="BL72" i="15" a="1"/>
  <c r="BL72" i="15" s="1"/>
  <c r="BH71" i="15"/>
  <c r="P71" i="15"/>
  <c r="AH72" i="15" a="1"/>
  <c r="AH72" i="15" s="1"/>
  <c r="N71" i="15"/>
  <c r="L72" i="15" a="1"/>
  <c r="L72" i="15" s="1"/>
  <c r="L62" i="15"/>
  <c r="BE71" i="15"/>
  <c r="J62" i="15"/>
  <c r="BE65" i="15"/>
  <c r="J77" i="15"/>
  <c r="CM66" i="15" a="1"/>
  <c r="CM66" i="15" s="1"/>
  <c r="CL39" i="15" a="1"/>
  <c r="CL39" i="15" s="1"/>
  <c r="CK45" i="15" a="1"/>
  <c r="CK45" i="15" s="1"/>
  <c r="AW66" i="15" a="1"/>
  <c r="AW66" i="15" s="1"/>
  <c r="AW42" i="15" a="1"/>
  <c r="AW42" i="15" s="1"/>
  <c r="AW72" i="15" a="1"/>
  <c r="AW72" i="15" s="1"/>
  <c r="CG41" i="15"/>
  <c r="CI78" i="15" a="1"/>
  <c r="CI78" i="15" s="1"/>
  <c r="CE68" i="15"/>
  <c r="CD47" i="15"/>
  <c r="CD72" i="15" a="1"/>
  <c r="CD72" i="15" s="1"/>
  <c r="AP75" i="15" a="1"/>
  <c r="AP75" i="15" s="1"/>
  <c r="AN42" i="15" a="1"/>
  <c r="AN42" i="15" s="1"/>
  <c r="AL54" i="15" a="1"/>
  <c r="AL54" i="15" s="1"/>
  <c r="AL78" i="15" a="1"/>
  <c r="AL78" i="15" s="1"/>
  <c r="AN33" i="15" a="1"/>
  <c r="AN33" i="15" s="1"/>
  <c r="AO45" i="15" a="1"/>
  <c r="AO45" i="15" s="1"/>
  <c r="AO69" i="15" a="1"/>
  <c r="AO69" i="15" s="1"/>
  <c r="AN39" i="15" a="1"/>
  <c r="AN39" i="15" s="1"/>
  <c r="AM62" i="15"/>
  <c r="AP48" i="15" a="1"/>
  <c r="AP48" i="15" s="1"/>
  <c r="AL59" i="15"/>
  <c r="AN72" i="15" a="1"/>
  <c r="AN72" i="15" s="1"/>
  <c r="CC50" i="15"/>
  <c r="BP51" i="15" a="1"/>
  <c r="BP51" i="15" s="1"/>
  <c r="V51" i="15" a="1"/>
  <c r="V51" i="15" s="1"/>
  <c r="AC51" i="15" a="1"/>
  <c r="AC51" i="15" s="1"/>
  <c r="R51" i="15" a="1"/>
  <c r="R51" i="15" s="1"/>
  <c r="BZ51" i="15" a="1"/>
  <c r="BZ51" i="15" s="1"/>
  <c r="CA74" i="15"/>
  <c r="BF75" i="15" a="1"/>
  <c r="BF75" i="15" s="1"/>
  <c r="AJ74" i="15"/>
  <c r="AC74" i="15"/>
  <c r="S75" i="15" a="1"/>
  <c r="S75" i="15" s="1"/>
  <c r="AI74" i="15"/>
  <c r="BN42" i="15" a="1"/>
  <c r="BN42" i="15" s="1"/>
  <c r="BQ42" i="15" a="1"/>
  <c r="BQ42" i="15" s="1"/>
  <c r="AE41" i="15"/>
  <c r="AA42" i="15" a="1"/>
  <c r="AA42" i="15" s="1"/>
  <c r="Q41" i="15"/>
  <c r="CC41" i="15"/>
  <c r="BP53" i="15"/>
  <c r="BR53" i="15"/>
  <c r="Y53" i="15"/>
  <c r="Q54" i="15" a="1"/>
  <c r="Q54" i="15" s="1"/>
  <c r="AH54" i="15" a="1"/>
  <c r="AH54" i="15" s="1"/>
  <c r="M54" i="15" a="1"/>
  <c r="M54" i="15" s="1"/>
  <c r="BR65" i="15"/>
  <c r="BS66" i="15" a="1"/>
  <c r="BS66" i="15" s="1"/>
  <c r="BJ66" i="15" a="1"/>
  <c r="BJ66" i="15" s="1"/>
  <c r="U66" i="15" a="1"/>
  <c r="U66" i="15" s="1"/>
  <c r="Q65" i="15"/>
  <c r="AJ66" i="15" a="1"/>
  <c r="AJ66" i="15" s="1"/>
  <c r="BI77" i="15"/>
  <c r="BL78" i="15" a="1"/>
  <c r="BL78" i="15" s="1"/>
  <c r="BG77" i="15"/>
  <c r="T78" i="15" a="1"/>
  <c r="T78" i="15" s="1"/>
  <c r="Q78" i="15" a="1"/>
  <c r="Q78" i="15" s="1"/>
  <c r="W78" i="15" a="1"/>
  <c r="W78" i="15" s="1"/>
  <c r="BY78" i="15" a="1"/>
  <c r="BY78" i="15" s="1"/>
  <c r="BN32" i="15"/>
  <c r="CA32" i="15"/>
  <c r="BX32" i="15"/>
  <c r="S33" i="15" a="1"/>
  <c r="S33" i="15" s="1"/>
  <c r="P33" i="15" a="1"/>
  <c r="P33" i="15" s="1"/>
  <c r="X32" i="15"/>
  <c r="BG44" i="15"/>
  <c r="BX45" i="15" a="1"/>
  <c r="BX45" i="15" s="1"/>
  <c r="S44" i="15"/>
  <c r="M45" i="15" a="1"/>
  <c r="M45" i="15" s="1"/>
  <c r="AC44" i="15"/>
  <c r="V44" i="15"/>
  <c r="BK57" i="15" a="1"/>
  <c r="BK57" i="15" s="1"/>
  <c r="BR57" i="15" a="1"/>
  <c r="BR57" i="15" s="1"/>
  <c r="O56" i="15"/>
  <c r="AF56" i="15"/>
  <c r="AH56" i="15"/>
  <c r="V56" i="15"/>
  <c r="BY68" i="15"/>
  <c r="BV69" i="15" a="1"/>
  <c r="BV69" i="15" s="1"/>
  <c r="BL69" i="15" a="1"/>
  <c r="BL69" i="15" s="1"/>
  <c r="N68" i="15"/>
  <c r="X69" i="15" a="1"/>
  <c r="X69" i="15" s="1"/>
  <c r="AH69" i="15" a="1"/>
  <c r="AH69" i="15" s="1"/>
  <c r="BM38" i="15"/>
  <c r="BG39" i="15" a="1"/>
  <c r="BG39" i="15" s="1"/>
  <c r="BH38" i="15"/>
  <c r="R39" i="15" a="1"/>
  <c r="R39" i="15" s="1"/>
  <c r="AE39" i="15" a="1"/>
  <c r="AE39" i="15" s="1"/>
  <c r="AJ38" i="15"/>
  <c r="BY39" i="15" a="1"/>
  <c r="BY39" i="15" s="1"/>
  <c r="BL62" i="15"/>
  <c r="BR62" i="15"/>
  <c r="M63" i="15" a="1"/>
  <c r="M63" i="15" s="1"/>
  <c r="BV62" i="15"/>
  <c r="AA63" i="15" a="1"/>
  <c r="AA63" i="15" s="1"/>
  <c r="CC63" i="15" a="1"/>
  <c r="CC63" i="15" s="1"/>
  <c r="CC35" i="15"/>
  <c r="BO36" i="15" a="1"/>
  <c r="BO36" i="15" s="1"/>
  <c r="Z35" i="15"/>
  <c r="U36" i="15" a="1"/>
  <c r="U36" i="15" s="1"/>
  <c r="U35" i="15"/>
  <c r="AA36" i="15" a="1"/>
  <c r="AA36" i="15" s="1"/>
  <c r="BT47" i="15"/>
  <c r="BF47" i="15"/>
  <c r="AI47" i="15"/>
  <c r="U48" i="15" a="1"/>
  <c r="U48" i="15" s="1"/>
  <c r="V47" i="15"/>
  <c r="T48" i="15" a="1"/>
  <c r="T48" i="15" s="1"/>
  <c r="CC59" i="15"/>
  <c r="BM60" i="15" a="1"/>
  <c r="BM60" i="15" s="1"/>
  <c r="BP60" i="15" a="1"/>
  <c r="BP60" i="15" s="1"/>
  <c r="Y60" i="15" a="1"/>
  <c r="Y60" i="15" s="1"/>
  <c r="Q59" i="15"/>
  <c r="S59" i="15"/>
  <c r="BO71" i="15"/>
  <c r="BO72" i="15" a="1"/>
  <c r="BO72" i="15" s="1"/>
  <c r="BX71" i="15"/>
  <c r="S72" i="15" a="1"/>
  <c r="S72" i="15" s="1"/>
  <c r="Q71" i="15"/>
  <c r="AB72" i="15" a="1"/>
  <c r="AB72" i="15" s="1"/>
  <c r="CC72" i="15" a="1"/>
  <c r="CC72" i="15" s="1"/>
  <c r="CJ77" i="15"/>
  <c r="CJ62" i="15"/>
  <c r="CK51" i="15" a="1"/>
  <c r="CK51" i="15" s="1"/>
  <c r="CJ56" i="15"/>
  <c r="AU51" i="15" a="1"/>
  <c r="AU51" i="15" s="1"/>
  <c r="AU78" i="15" a="1"/>
  <c r="AU78" i="15" s="1"/>
  <c r="AU69" i="15" a="1"/>
  <c r="AU69" i="15" s="1"/>
  <c r="AU36" i="15" a="1"/>
  <c r="AU36" i="15" s="1"/>
  <c r="CD38" i="15"/>
  <c r="CE42" i="15" a="1"/>
  <c r="CE42" i="15" s="1"/>
  <c r="CI33" i="15" a="1"/>
  <c r="CI33" i="15" s="1"/>
  <c r="CE69" i="15" a="1"/>
  <c r="CE69" i="15" s="1"/>
  <c r="CF48" i="15" a="1"/>
  <c r="CF48" i="15" s="1"/>
  <c r="AM51" i="15" a="1"/>
  <c r="AM51" i="15" s="1"/>
  <c r="AM75" i="15" a="1"/>
  <c r="AM75" i="15" s="1"/>
  <c r="AP42" i="15" a="1"/>
  <c r="AP42" i="15" s="1"/>
  <c r="AK66" i="15" a="1"/>
  <c r="AK66" i="15" s="1"/>
  <c r="AN78" i="15" a="1"/>
  <c r="AN78" i="15" s="1"/>
  <c r="AL33" i="15" a="1"/>
  <c r="AL33" i="15" s="1"/>
  <c r="AK57" i="15" a="1"/>
  <c r="AK57" i="15" s="1"/>
  <c r="AN69" i="15" a="1"/>
  <c r="AN69" i="15" s="1"/>
  <c r="AL38" i="15"/>
  <c r="AL36" i="15" a="1"/>
  <c r="AL36" i="15" s="1"/>
  <c r="AP47" i="15"/>
  <c r="AP59" i="15"/>
  <c r="BP50" i="15"/>
  <c r="BN51" i="15" a="1"/>
  <c r="BN51" i="15" s="1"/>
  <c r="BV50" i="15"/>
  <c r="AJ51" i="15" a="1"/>
  <c r="AJ51" i="15" s="1"/>
  <c r="U50" i="15"/>
  <c r="N51" i="15" a="1"/>
  <c r="N51" i="15" s="1"/>
  <c r="CB51" i="15" a="1"/>
  <c r="CB51" i="15" s="1"/>
  <c r="BK75" i="15" a="1"/>
  <c r="BK75" i="15" s="1"/>
  <c r="BR75" i="15" a="1"/>
  <c r="BR75" i="15" s="1"/>
  <c r="U75" i="15" a="1"/>
  <c r="U75" i="15" s="1"/>
  <c r="R75" i="15" a="1"/>
  <c r="R75" i="15" s="1"/>
  <c r="BU74" i="15"/>
  <c r="BZ75" i="15" a="1"/>
  <c r="BZ75" i="15" s="1"/>
  <c r="BT42" i="15" a="1"/>
  <c r="BT42" i="15" s="1"/>
  <c r="BW41" i="15"/>
  <c r="P41" i="15"/>
  <c r="AH42" i="15" a="1"/>
  <c r="AH42" i="15" s="1"/>
  <c r="AI42" i="15" a="1"/>
  <c r="AI42" i="15" s="1"/>
  <c r="CC42" i="15" a="1"/>
  <c r="CC42" i="15" s="1"/>
  <c r="BF54" i="15" a="1"/>
  <c r="BF54" i="15" s="1"/>
  <c r="BQ54" i="15" a="1"/>
  <c r="BQ54" i="15" s="1"/>
  <c r="P54" i="15" a="1"/>
  <c r="P54" i="15" s="1"/>
  <c r="AD54" i="15" a="1"/>
  <c r="AD54" i="15" s="1"/>
  <c r="T53" i="15"/>
  <c r="CC53" i="15"/>
  <c r="BI66" i="15" a="1"/>
  <c r="BI66" i="15" s="1"/>
  <c r="BP65" i="15"/>
  <c r="BM66" i="15" a="1"/>
  <c r="BM66" i="15" s="1"/>
  <c r="AA66" i="15" a="1"/>
  <c r="AA66" i="15" s="1"/>
  <c r="AC65" i="15"/>
  <c r="S65" i="15"/>
  <c r="BU77" i="15"/>
  <c r="BK77" i="15"/>
  <c r="BJ78" i="15" a="1"/>
  <c r="BJ78" i="15" s="1"/>
  <c r="Z78" i="15" a="1"/>
  <c r="Z78" i="15" s="1"/>
  <c r="AC78" i="15" a="1"/>
  <c r="AC78" i="15" s="1"/>
  <c r="J78" i="15" a="1"/>
  <c r="J78" i="15" s="1"/>
  <c r="BI32" i="15"/>
  <c r="BZ32" i="15"/>
  <c r="BX33" i="15" a="1"/>
  <c r="BX33" i="15" s="1"/>
  <c r="AB32" i="15"/>
  <c r="AI33" i="15" a="1"/>
  <c r="AI33" i="15" s="1"/>
  <c r="V32" i="15"/>
  <c r="BZ33" i="15" a="1"/>
  <c r="BZ33" i="15" s="1"/>
  <c r="BS44" i="15"/>
  <c r="BX44" i="15"/>
  <c r="AE44" i="15"/>
  <c r="Z45" i="15" a="1"/>
  <c r="Z45" i="15" s="1"/>
  <c r="R44" i="15"/>
  <c r="BY45" i="15" a="1"/>
  <c r="BY45" i="15" s="1"/>
  <c r="BF56" i="15"/>
  <c r="BH56" i="15"/>
  <c r="AA56" i="15"/>
  <c r="Y56" i="15"/>
  <c r="U57" i="15" a="1"/>
  <c r="U57" i="15" s="1"/>
  <c r="AA57" i="15" a="1"/>
  <c r="AA57" i="15" s="1"/>
  <c r="BK69" i="15" a="1"/>
  <c r="BK69" i="15" s="1"/>
  <c r="BS68" i="15"/>
  <c r="BW68" i="15"/>
  <c r="AH68" i="15"/>
  <c r="AJ69" i="15" a="1"/>
  <c r="AJ69" i="15" s="1"/>
  <c r="AI68" i="15"/>
  <c r="BY38" i="15"/>
  <c r="BS39" i="15" a="1"/>
  <c r="BS39" i="15" s="1"/>
  <c r="BE39" i="15" a="1"/>
  <c r="BE39" i="15" s="1"/>
  <c r="AD39" i="15" a="1"/>
  <c r="AD39" i="15" s="1"/>
  <c r="AA38" i="15"/>
  <c r="AG39" i="15" a="1"/>
  <c r="AG39" i="15" s="1"/>
  <c r="BM62" i="15"/>
  <c r="BX62" i="15"/>
  <c r="BM63" i="15" a="1"/>
  <c r="BM63" i="15" s="1"/>
  <c r="Z63" i="15" a="1"/>
  <c r="Z63" i="15" s="1"/>
  <c r="U62" i="15"/>
  <c r="Y63" i="15" a="1"/>
  <c r="Y63" i="15" s="1"/>
  <c r="BY63" i="15" a="1"/>
  <c r="BY63" i="15" s="1"/>
  <c r="BJ36" i="15" a="1"/>
  <c r="BJ36" i="15" s="1"/>
  <c r="BJ35" i="15"/>
  <c r="N36" i="15" a="1"/>
  <c r="N36" i="15" s="1"/>
  <c r="O35" i="15"/>
  <c r="L36" i="15" a="1"/>
  <c r="L36" i="15" s="1"/>
  <c r="CA36" i="15" a="1"/>
  <c r="CA36" i="15" s="1"/>
  <c r="BH48" i="15" a="1"/>
  <c r="BH48" i="15" s="1"/>
  <c r="BU48" i="15" a="1"/>
  <c r="BU48" i="15" s="1"/>
  <c r="W48" i="15" a="1"/>
  <c r="W48" i="15" s="1"/>
  <c r="AF48" i="15" a="1"/>
  <c r="AF48" i="15" s="1"/>
  <c r="AB48" i="15" a="1"/>
  <c r="AB48" i="15" s="1"/>
  <c r="CC48" i="15" a="1"/>
  <c r="CC48" i="15" s="1"/>
  <c r="BJ60" i="15" a="1"/>
  <c r="BJ60" i="15" s="1"/>
  <c r="BS60" i="15" a="1"/>
  <c r="BS60" i="15" s="1"/>
  <c r="BJ59" i="15"/>
  <c r="AE60" i="15" a="1"/>
  <c r="AE60" i="15" s="1"/>
  <c r="AC59" i="15"/>
  <c r="BL60" i="15" a="1"/>
  <c r="BL60" i="15" s="1"/>
  <c r="CA71" i="15"/>
  <c r="BI71" i="15"/>
  <c r="CC71" i="15"/>
  <c r="Y72" i="15" a="1"/>
  <c r="Y72" i="15" s="1"/>
  <c r="AC71" i="15"/>
  <c r="AA71" i="15"/>
  <c r="BE62" i="15"/>
  <c r="CO69" i="15" a="1"/>
  <c r="CO69" i="15" s="1"/>
  <c r="CN75" i="15" a="1"/>
  <c r="CN75" i="15" s="1"/>
  <c r="CP42" i="15" a="1"/>
  <c r="CP42" i="15" s="1"/>
  <c r="AU33" i="15" a="1"/>
  <c r="AU33" i="15" s="1"/>
  <c r="AT38" i="15"/>
  <c r="AW48" i="15" a="1"/>
  <c r="AW48" i="15" s="1"/>
  <c r="CG62" i="15"/>
  <c r="CE65" i="15"/>
  <c r="CD44" i="15"/>
  <c r="CH35" i="15"/>
  <c r="CG60" i="15" a="1"/>
  <c r="CG60" i="15" s="1"/>
  <c r="AM50" i="15"/>
  <c r="AO74" i="15"/>
  <c r="AM53" i="15"/>
  <c r="AN65" i="15"/>
  <c r="AK78" i="15" a="1"/>
  <c r="AK78" i="15" s="1"/>
  <c r="AN45" i="15" a="1"/>
  <c r="AN45" i="15" s="1"/>
  <c r="AM57" i="15" a="1"/>
  <c r="AM57" i="15" s="1"/>
  <c r="AP69" i="15" a="1"/>
  <c r="AP69" i="15" s="1"/>
  <c r="AL62" i="15"/>
  <c r="AK36" i="15" a="1"/>
  <c r="AK36" i="15" s="1"/>
  <c r="AK48" i="15" a="1"/>
  <c r="AK48" i="15" s="1"/>
  <c r="AP71" i="15"/>
  <c r="BO51" i="15" a="1"/>
  <c r="BO51" i="15" s="1"/>
  <c r="CB50" i="15"/>
  <c r="O50" i="15"/>
  <c r="X50" i="15"/>
  <c r="Q50" i="15"/>
  <c r="AH50" i="15"/>
  <c r="BX74" i="15"/>
  <c r="BU75" i="15" a="1"/>
  <c r="BU75" i="15" s="1"/>
  <c r="BT75" i="15" a="1"/>
  <c r="BT75" i="15" s="1"/>
  <c r="AA75" i="15" a="1"/>
  <c r="AA75" i="15" s="1"/>
  <c r="L75" i="15" a="1"/>
  <c r="L75" i="15" s="1"/>
  <c r="O74" i="15"/>
  <c r="BL41" i="15"/>
  <c r="BQ41" i="15"/>
  <c r="BO41" i="15"/>
  <c r="AJ41" i="15"/>
  <c r="N41" i="15"/>
  <c r="AH41" i="15"/>
  <c r="BZ41" i="15"/>
  <c r="BP54" i="15" a="1"/>
  <c r="BP54" i="15" s="1"/>
  <c r="BG54" i="15" a="1"/>
  <c r="BG54" i="15" s="1"/>
  <c r="AJ54" i="15" a="1"/>
  <c r="AJ54" i="15" s="1"/>
  <c r="AI53" i="15"/>
  <c r="J54" i="15" a="1"/>
  <c r="J54" i="15" s="1"/>
  <c r="BY53" i="15"/>
  <c r="BM65" i="15"/>
  <c r="BS65" i="15"/>
  <c r="X65" i="15"/>
  <c r="V65" i="15"/>
  <c r="R65" i="15"/>
  <c r="O65" i="15"/>
  <c r="BN78" i="15" a="1"/>
  <c r="BN78" i="15" s="1"/>
  <c r="BP78" i="15" a="1"/>
  <c r="BP78" i="15" s="1"/>
  <c r="R77" i="15"/>
  <c r="BW77" i="15"/>
  <c r="W77" i="15"/>
  <c r="BH77" i="15"/>
  <c r="CC32" i="15"/>
  <c r="BW33" i="15" a="1"/>
  <c r="BW33" i="15" s="1"/>
  <c r="Q32" i="15"/>
  <c r="AC33" i="15" a="1"/>
  <c r="AC33" i="15" s="1"/>
  <c r="AI32" i="15"/>
  <c r="AE32" i="15"/>
  <c r="BN44" i="15"/>
  <c r="BN45" i="15" a="1"/>
  <c r="BN45" i="15" s="1"/>
  <c r="BL45" i="15" a="1"/>
  <c r="BL45" i="15" s="1"/>
  <c r="AB45" i="15" a="1"/>
  <c r="AB45" i="15" s="1"/>
  <c r="Y44" i="15"/>
  <c r="AH45" i="15" a="1"/>
  <c r="AH45" i="15" s="1"/>
  <c r="CA45" i="15" a="1"/>
  <c r="CA45" i="15" s="1"/>
  <c r="BZ56" i="15"/>
  <c r="BU57" i="15" a="1"/>
  <c r="BU57" i="15" s="1"/>
  <c r="Y57" i="15" a="1"/>
  <c r="Y57" i="15" s="1"/>
  <c r="AC57" i="15" a="1"/>
  <c r="AC57" i="15" s="1"/>
  <c r="U56" i="15"/>
  <c r="CB57" i="15" a="1"/>
  <c r="CB57" i="15" s="1"/>
  <c r="BT68" i="15"/>
  <c r="BN68" i="15"/>
  <c r="AF68" i="15"/>
  <c r="Q68" i="15"/>
  <c r="AD68" i="15"/>
  <c r="W68" i="15"/>
  <c r="BR39" i="15" a="1"/>
  <c r="BR39" i="15" s="1"/>
  <c r="BI39" i="15" a="1"/>
  <c r="BI39" i="15" s="1"/>
  <c r="BT39" i="15" a="1"/>
  <c r="BT39" i="15" s="1"/>
  <c r="V38" i="15"/>
  <c r="BU39" i="15" a="1"/>
  <c r="BU39" i="15" s="1"/>
  <c r="U39" i="15" a="1"/>
  <c r="U39" i="15" s="1"/>
  <c r="BF63" i="15" a="1"/>
  <c r="BF63" i="15" s="1"/>
  <c r="BW63" i="15" a="1"/>
  <c r="BW63" i="15" s="1"/>
  <c r="BH63" i="15" a="1"/>
  <c r="BH63" i="15" s="1"/>
  <c r="R62" i="15"/>
  <c r="Q63" i="15" a="1"/>
  <c r="Q63" i="15" s="1"/>
  <c r="S62" i="15"/>
  <c r="BT35" i="15"/>
  <c r="BT36" i="15" a="1"/>
  <c r="BT36" i="15" s="1"/>
  <c r="BU36" i="15" a="1"/>
  <c r="BU36" i="15" s="1"/>
  <c r="BV35" i="15"/>
  <c r="S36" i="15" a="1"/>
  <c r="S36" i="15" s="1"/>
  <c r="W35" i="15"/>
  <c r="BG47" i="15"/>
  <c r="BQ48" i="15" a="1"/>
  <c r="BQ48" i="15" s="1"/>
  <c r="BM47" i="15"/>
  <c r="P47" i="15"/>
  <c r="AC47" i="15"/>
  <c r="AG47" i="15"/>
  <c r="CB47" i="15"/>
  <c r="CB59" i="15"/>
  <c r="BE60" i="15" a="1"/>
  <c r="BE60" i="15" s="1"/>
  <c r="AF59" i="15"/>
  <c r="N60" i="15" a="1"/>
  <c r="N60" i="15" s="1"/>
  <c r="V59" i="15"/>
  <c r="AA59" i="15"/>
  <c r="BF71" i="15"/>
  <c r="BV72" i="15" a="1"/>
  <c r="BV72" i="15" s="1"/>
  <c r="T71" i="15"/>
  <c r="BI72" i="15" a="1"/>
  <c r="BI72" i="15" s="1"/>
  <c r="R71" i="15"/>
  <c r="BP72" i="15" a="1"/>
  <c r="BP72" i="15" s="1"/>
  <c r="J71" i="15"/>
  <c r="CJ71" i="15"/>
  <c r="CO32" i="15"/>
  <c r="CJ53" i="15"/>
  <c r="CO47" i="15"/>
  <c r="AU54" i="15" a="1"/>
  <c r="AU54" i="15" s="1"/>
  <c r="AU45" i="15" a="1"/>
  <c r="AU45" i="15" s="1"/>
  <c r="AU75" i="15" a="1"/>
  <c r="AU75" i="15" s="1"/>
  <c r="AU60" i="15" a="1"/>
  <c r="AU60" i="15" s="1"/>
  <c r="CD74" i="15"/>
  <c r="CH66" i="15" a="1"/>
  <c r="CH66" i="15" s="1"/>
  <c r="CI57" i="15" a="1"/>
  <c r="CI57" i="15" s="1"/>
  <c r="CE35" i="15"/>
  <c r="CF71" i="15"/>
  <c r="AO51" i="15" a="1"/>
  <c r="AO51" i="15" s="1"/>
  <c r="AL41" i="15"/>
  <c r="AO54" i="15" a="1"/>
  <c r="AO54" i="15" s="1"/>
  <c r="AK65" i="15"/>
  <c r="AM33" i="15" a="1"/>
  <c r="AM33" i="15" s="1"/>
  <c r="AN44" i="15"/>
  <c r="AP57" i="15" a="1"/>
  <c r="AP57" i="15" s="1"/>
  <c r="AO39" i="15" a="1"/>
  <c r="AO39" i="15" s="1"/>
  <c r="AP63" i="15" a="1"/>
  <c r="AP63" i="15" s="1"/>
  <c r="AO35" i="15"/>
  <c r="AN60" i="15" a="1"/>
  <c r="AN60" i="15" s="1"/>
  <c r="AO72" i="15" a="1"/>
  <c r="AO72" i="15" s="1"/>
  <c r="BG50" i="15"/>
  <c r="BE51" i="15" a="1"/>
  <c r="BE51" i="15" s="1"/>
  <c r="AA50" i="15"/>
  <c r="AJ50" i="15"/>
  <c r="J51" i="15" a="1"/>
  <c r="J51" i="15" s="1"/>
  <c r="Z50" i="15"/>
  <c r="BG74" i="15"/>
  <c r="BN74" i="15"/>
  <c r="P74" i="15"/>
  <c r="BX75" i="15" a="1"/>
  <c r="BX75" i="15" s="1"/>
  <c r="R74" i="15"/>
  <c r="AB75" i="15" a="1"/>
  <c r="AB75" i="15" s="1"/>
  <c r="BX41" i="15"/>
  <c r="BS41" i="15"/>
  <c r="BN41" i="15"/>
  <c r="Q42" i="15" a="1"/>
  <c r="Q42" i="15" s="1"/>
  <c r="P42" i="15" a="1"/>
  <c r="P42" i="15" s="1"/>
  <c r="AD42" i="15" a="1"/>
  <c r="AD42" i="15" s="1"/>
  <c r="BM53" i="15"/>
  <c r="BV54" i="15" a="1"/>
  <c r="BV54" i="15" s="1"/>
  <c r="BV53" i="15"/>
  <c r="V53" i="15"/>
  <c r="AE54" i="15" a="1"/>
  <c r="AE54" i="15" s="1"/>
  <c r="BF53" i="15"/>
  <c r="BY54" i="15" a="1"/>
  <c r="BY54" i="15" s="1"/>
  <c r="BY65" i="15"/>
  <c r="BR66" i="15" a="1"/>
  <c r="BR66" i="15" s="1"/>
  <c r="AJ65" i="15"/>
  <c r="T66" i="15" a="1"/>
  <c r="T66" i="15" s="1"/>
  <c r="N66" i="15" a="1"/>
  <c r="N66" i="15" s="1"/>
  <c r="BY66" i="15" a="1"/>
  <c r="BY66" i="15" s="1"/>
  <c r="BJ77" i="15"/>
  <c r="BN77" i="15"/>
  <c r="AD77" i="15"/>
  <c r="X77" i="15"/>
  <c r="AI77" i="15"/>
  <c r="Q77" i="15"/>
  <c r="BN33" i="15" a="1"/>
  <c r="BN33" i="15" s="1"/>
  <c r="CB32" i="15"/>
  <c r="AC32" i="15"/>
  <c r="BL33" i="15" a="1"/>
  <c r="BL33" i="15" s="1"/>
  <c r="Z33" i="15" a="1"/>
  <c r="Z33" i="15" s="1"/>
  <c r="L33" i="15" a="1"/>
  <c r="L33" i="15" s="1"/>
  <c r="CB44" i="15"/>
  <c r="BI44" i="15"/>
  <c r="BK45" i="15" a="1"/>
  <c r="BK45" i="15" s="1"/>
  <c r="T44" i="15"/>
  <c r="T45" i="15" a="1"/>
  <c r="T45" i="15" s="1"/>
  <c r="J45" i="15" a="1"/>
  <c r="J45" i="15" s="1"/>
  <c r="BO56" i="15"/>
  <c r="BP57" i="15" a="1"/>
  <c r="BP57" i="15" s="1"/>
  <c r="BL56" i="15"/>
  <c r="BX57" i="15" a="1"/>
  <c r="BX57" i="15" s="1"/>
  <c r="V57" i="15" a="1"/>
  <c r="V57" i="15" s="1"/>
  <c r="Z57" i="15" a="1"/>
  <c r="Z57" i="15" s="1"/>
  <c r="BY57" i="15" a="1"/>
  <c r="BY57" i="15" s="1"/>
  <c r="BH69" i="15" a="1"/>
  <c r="BH69" i="15" s="1"/>
  <c r="BO69" i="15" a="1"/>
  <c r="BO69" i="15" s="1"/>
  <c r="P69" i="15" a="1"/>
  <c r="P69" i="15" s="1"/>
  <c r="AC68" i="15"/>
  <c r="AG69" i="15" a="1"/>
  <c r="AG69" i="15" s="1"/>
  <c r="CC69" i="15" a="1"/>
  <c r="CC69" i="15" s="1"/>
  <c r="BJ38" i="15"/>
  <c r="BS38" i="15"/>
  <c r="U38" i="15"/>
  <c r="AH38" i="15"/>
  <c r="AE38" i="15"/>
  <c r="AC39" i="15" a="1"/>
  <c r="AC39" i="15" s="1"/>
  <c r="BR63" i="15" a="1"/>
  <c r="BR63" i="15" s="1"/>
  <c r="BW62" i="15"/>
  <c r="T62" i="15"/>
  <c r="AD62" i="15"/>
  <c r="AD63" i="15" a="1"/>
  <c r="AD63" i="15" s="1"/>
  <c r="AI63" i="15" a="1"/>
  <c r="AI63" i="15" s="1"/>
  <c r="BI35" i="15"/>
  <c r="BK35" i="15"/>
  <c r="BI36" i="15" a="1"/>
  <c r="BI36" i="15" s="1"/>
  <c r="S35" i="15"/>
  <c r="AB36" i="15" a="1"/>
  <c r="AB36" i="15" s="1"/>
  <c r="Y36" i="15" a="1"/>
  <c r="Y36" i="15" s="1"/>
  <c r="BS47" i="15"/>
  <c r="BQ47" i="15"/>
  <c r="O47" i="15"/>
  <c r="AB47" i="15"/>
  <c r="AG48" i="15" a="1"/>
  <c r="AG48" i="15" s="1"/>
  <c r="Z47" i="15"/>
  <c r="BI59" i="15"/>
  <c r="BK59" i="15"/>
  <c r="BN60" i="15" a="1"/>
  <c r="BN60" i="15" s="1"/>
  <c r="O60" i="15" a="1"/>
  <c r="O60" i="15" s="1"/>
  <c r="AB60" i="15" a="1"/>
  <c r="AB60" i="15" s="1"/>
  <c r="T60" i="15" a="1"/>
  <c r="T60" i="15" s="1"/>
  <c r="CC60" i="15" a="1"/>
  <c r="CC60" i="15" s="1"/>
  <c r="BR71" i="15"/>
  <c r="CB71" i="15"/>
  <c r="AF71" i="15"/>
  <c r="V72" i="15" a="1"/>
  <c r="V72" i="15" s="1"/>
  <c r="AD71" i="15"/>
  <c r="BP71" i="15"/>
  <c r="J68" i="15"/>
  <c r="BE74" i="15"/>
  <c r="L77" i="15"/>
  <c r="G7" i="14" a="1"/>
  <c r="G7" i="14" s="1"/>
  <c r="G11" i="14" a="1"/>
  <c r="G11" i="14" s="1"/>
  <c r="G15" i="14" a="1"/>
  <c r="G15" i="14" s="1"/>
  <c r="F9" i="14"/>
  <c r="F13" i="14"/>
  <c r="G9" i="14" a="1"/>
  <c r="G9" i="14" s="1"/>
  <c r="F7" i="14"/>
  <c r="F11" i="14"/>
  <c r="G10" i="14" a="1"/>
  <c r="G10" i="14" s="1"/>
  <c r="G14" i="14" a="1"/>
  <c r="G14" i="14" s="1"/>
  <c r="F12" i="14"/>
  <c r="G8" i="14" a="1"/>
  <c r="G8" i="14" s="1"/>
  <c r="G12" i="14" a="1"/>
  <c r="G12" i="14" s="1"/>
  <c r="G6" i="14" a="1"/>
  <c r="G6" i="14" s="1"/>
  <c r="F10" i="14"/>
  <c r="F14" i="14"/>
  <c r="G13" i="14" a="1"/>
  <c r="G13" i="14" s="1"/>
  <c r="F15" i="14"/>
  <c r="F8" i="14"/>
  <c r="F6" i="14"/>
  <c r="J38" i="15"/>
  <c r="J50" i="15"/>
  <c r="BE59" i="15"/>
  <c r="BE53" i="15"/>
  <c r="BE47" i="15"/>
  <c r="BE41" i="15"/>
  <c r="BE35" i="15"/>
  <c r="J41" i="15"/>
  <c r="J53" i="15"/>
  <c r="L59" i="15"/>
  <c r="L53" i="15"/>
  <c r="L47" i="15"/>
  <c r="L41" i="15"/>
  <c r="L35" i="15"/>
  <c r="J35" i="15"/>
  <c r="J59" i="15"/>
  <c r="L50" i="15"/>
  <c r="L38" i="15"/>
  <c r="J44" i="15"/>
  <c r="BE56" i="15"/>
  <c r="BE44" i="15"/>
  <c r="BE32" i="15"/>
  <c r="J32" i="15"/>
  <c r="BE50" i="15"/>
  <c r="BE38" i="15"/>
  <c r="J47" i="15"/>
  <c r="L56" i="15"/>
  <c r="L44" i="15"/>
  <c r="L32" i="15"/>
  <c r="J56" i="15"/>
  <c r="O35" i="16" a="1"/>
  <c r="O35" i="16" s="1"/>
  <c r="X35" i="16" a="1"/>
  <c r="X35" i="16" s="1"/>
  <c r="AA35" i="16" a="1"/>
  <c r="AA35" i="16" s="1"/>
  <c r="L35" i="16" a="1"/>
  <c r="L35" i="16" s="1"/>
  <c r="N35" i="16" a="1"/>
  <c r="N35" i="16" s="1"/>
  <c r="V56" i="16" a="1"/>
  <c r="V56" i="16" s="1"/>
  <c r="U56" i="16" a="1"/>
  <c r="U56" i="16" s="1"/>
  <c r="X56" i="16" a="1"/>
  <c r="X56" i="16" s="1"/>
  <c r="O56" i="16" a="1"/>
  <c r="O56" i="16" s="1"/>
  <c r="R84" i="16" a="1"/>
  <c r="R84" i="16" s="1"/>
  <c r="Y84" i="16" a="1"/>
  <c r="Y84" i="16" s="1"/>
  <c r="AA84" i="16" a="1"/>
  <c r="AA84" i="16" s="1"/>
  <c r="M84" i="16" a="1"/>
  <c r="M84" i="16" s="1"/>
  <c r="S84" i="16" a="1"/>
  <c r="S84" i="16" s="1"/>
  <c r="X42" i="16" a="1"/>
  <c r="X42" i="16" s="1"/>
  <c r="W42" i="16" a="1"/>
  <c r="W42" i="16" s="1"/>
  <c r="Z42" i="16" a="1"/>
  <c r="Z42" i="16" s="1"/>
  <c r="J42" i="16" a="1"/>
  <c r="J42" i="16" s="1"/>
  <c r="Q42" i="16" a="1"/>
  <c r="Q42" i="16" s="1"/>
  <c r="AA70" i="16" a="1"/>
  <c r="AA70" i="16" s="1"/>
  <c r="M70" i="16" a="1"/>
  <c r="M70" i="16" s="1"/>
  <c r="S70" i="16" a="1"/>
  <c r="S70" i="16" s="1"/>
  <c r="V70" i="16" a="1"/>
  <c r="V70" i="16" s="1"/>
  <c r="U70" i="16" a="1"/>
  <c r="U70" i="16" s="1"/>
  <c r="S98" i="16" a="1"/>
  <c r="S98" i="16" s="1"/>
  <c r="Z98" i="16" a="1"/>
  <c r="Z98" i="16" s="1"/>
  <c r="AB98" i="16" a="1"/>
  <c r="AB98" i="16" s="1"/>
  <c r="M98" i="16" a="1"/>
  <c r="M98" i="16" s="1"/>
  <c r="L98" i="16" a="1"/>
  <c r="L98" i="16" s="1"/>
  <c r="S49" i="16" a="1"/>
  <c r="S49" i="16" s="1"/>
  <c r="AA49" i="16" a="1"/>
  <c r="AA49" i="16" s="1"/>
  <c r="N49" i="16" a="1"/>
  <c r="N49" i="16" s="1"/>
  <c r="W49" i="16" a="1"/>
  <c r="W49" i="16" s="1"/>
  <c r="V49" i="16" a="1"/>
  <c r="V49" i="16" s="1"/>
  <c r="AA77" i="16" a="1"/>
  <c r="AA77" i="16" s="1"/>
  <c r="J77" i="16" a="1"/>
  <c r="J77" i="16" s="1"/>
  <c r="R77" i="16" a="1"/>
  <c r="R77" i="16" s="1"/>
  <c r="U77" i="16" a="1"/>
  <c r="U77" i="16" s="1"/>
  <c r="X77" i="16" a="1"/>
  <c r="X77" i="16" s="1"/>
  <c r="S63" i="16" a="1"/>
  <c r="S63" i="16" s="1"/>
  <c r="Y63" i="16" a="1"/>
  <c r="Y63" i="16" s="1"/>
  <c r="AB63" i="16" a="1"/>
  <c r="AB63" i="16" s="1"/>
  <c r="J63" i="16" a="1"/>
  <c r="J63" i="16" s="1"/>
  <c r="M63" i="16" a="1"/>
  <c r="M63" i="16" s="1"/>
  <c r="S91" i="16" a="1"/>
  <c r="S91" i="16" s="1"/>
  <c r="V91" i="16" a="1"/>
  <c r="V91" i="16" s="1"/>
  <c r="Y91" i="16" a="1"/>
  <c r="Y91" i="16" s="1"/>
  <c r="J91" i="16" a="1"/>
  <c r="J91" i="16" s="1"/>
  <c r="Q91" i="16" a="1"/>
  <c r="Q91" i="16" s="1"/>
  <c r="AW56" i="16" a="1"/>
  <c r="AW56" i="16" s="1"/>
  <c r="AW63" i="16" a="1"/>
  <c r="AW63" i="16" s="1"/>
  <c r="AO91" i="16" a="1"/>
  <c r="AO91" i="16" s="1"/>
  <c r="AO77" i="16" a="1"/>
  <c r="AO77" i="16" s="1"/>
  <c r="AO49" i="16" a="1"/>
  <c r="AO49" i="16" s="1"/>
  <c r="AH63" i="16" a="1"/>
  <c r="AH63" i="16" s="1"/>
  <c r="AH84" i="16" a="1"/>
  <c r="AH84" i="16" s="1"/>
  <c r="AV84" i="16" a="1"/>
  <c r="AV84" i="16" s="1"/>
  <c r="AV49" i="16" a="1"/>
  <c r="AV49" i="16" s="1"/>
  <c r="AV35" i="16" a="1"/>
  <c r="AV35" i="16" s="1"/>
  <c r="AN84" i="16" a="1"/>
  <c r="AN84" i="16" s="1"/>
  <c r="AN56" i="16" a="1"/>
  <c r="AN56" i="16" s="1"/>
  <c r="AJ84" i="16" a="1"/>
  <c r="AJ84" i="16" s="1"/>
  <c r="AJ77" i="16" a="1"/>
  <c r="AJ77" i="16" s="1"/>
  <c r="AJ35" i="16" a="1"/>
  <c r="AJ35" i="16" s="1"/>
  <c r="AU98" i="16" a="1"/>
  <c r="AU98" i="16" s="1"/>
  <c r="AU63" i="16" a="1"/>
  <c r="AU63" i="16" s="1"/>
  <c r="AU56" i="16" a="1"/>
  <c r="AU56" i="16" s="1"/>
  <c r="AQ42" i="16" a="1"/>
  <c r="AQ42" i="16" s="1"/>
  <c r="AQ56" i="16" a="1"/>
  <c r="AQ56" i="16" s="1"/>
  <c r="AM98" i="16" a="1"/>
  <c r="AM98" i="16" s="1"/>
  <c r="AM63" i="16" a="1"/>
  <c r="AM63" i="16" s="1"/>
  <c r="AM56" i="16" a="1"/>
  <c r="AM56" i="16" s="1"/>
  <c r="AI70" i="16" a="1"/>
  <c r="AI70" i="16" s="1"/>
  <c r="AI63" i="16" a="1"/>
  <c r="AI63" i="16" s="1"/>
  <c r="AS77" i="16" a="1"/>
  <c r="AS77" i="16" s="1"/>
  <c r="AS35" i="16" a="1"/>
  <c r="AS35" i="16" s="1"/>
  <c r="AS42" i="16" a="1"/>
  <c r="AS42" i="16" s="1"/>
  <c r="AK70" i="16" a="1"/>
  <c r="AK70" i="16" s="1"/>
  <c r="AK84" i="16" a="1"/>
  <c r="AK84" i="16" s="1"/>
  <c r="AR63" i="16" a="1"/>
  <c r="AR63" i="16" s="1"/>
  <c r="AR56" i="16" a="1"/>
  <c r="AR56" i="16" s="1"/>
  <c r="AX98" i="16" a="1"/>
  <c r="AX98" i="16" s="1"/>
  <c r="AX35" i="16" a="1"/>
  <c r="AX35" i="16" s="1"/>
  <c r="AX42" i="16" a="1"/>
  <c r="AX42" i="16" s="1"/>
  <c r="AT63" i="16" a="1"/>
  <c r="AT63" i="16" s="1"/>
  <c r="AT35" i="16" a="1"/>
  <c r="AT35" i="16" s="1"/>
  <c r="AP98" i="16" a="1"/>
  <c r="AP98" i="16" s="1"/>
  <c r="AP35" i="16" a="1"/>
  <c r="AP35" i="16" s="1"/>
  <c r="AP42" i="16" a="1"/>
  <c r="AP42" i="16" s="1"/>
  <c r="AL63" i="16" a="1"/>
  <c r="AL63" i="16" s="1"/>
  <c r="AL35" i="16" a="1"/>
  <c r="AL35" i="16" s="1"/>
  <c r="J35" i="16" a="1"/>
  <c r="J35" i="16" s="1"/>
  <c r="U35" i="16" a="1"/>
  <c r="U35" i="16" s="1"/>
  <c r="W35" i="16" a="1"/>
  <c r="W35" i="16" s="1"/>
  <c r="AC35" i="16" a="1"/>
  <c r="AC35" i="16" s="1"/>
  <c r="R56" i="16" a="1"/>
  <c r="R56" i="16" s="1"/>
  <c r="Q56" i="16" a="1"/>
  <c r="Q56" i="16" s="1"/>
  <c r="T56" i="16" a="1"/>
  <c r="T56" i="16" s="1"/>
  <c r="AA56" i="16" a="1"/>
  <c r="AA56" i="16" s="1"/>
  <c r="J56" i="16" a="1"/>
  <c r="J56" i="16" s="1"/>
  <c r="O84" i="16" a="1"/>
  <c r="O84" i="16" s="1"/>
  <c r="U84" i="16" a="1"/>
  <c r="U84" i="16" s="1"/>
  <c r="X84" i="16" a="1"/>
  <c r="X84" i="16" s="1"/>
  <c r="L84" i="16" a="1"/>
  <c r="L84" i="16" s="1"/>
  <c r="T42" i="16" a="1"/>
  <c r="T42" i="16" s="1"/>
  <c r="S42" i="16" a="1"/>
  <c r="S42" i="16" s="1"/>
  <c r="V42" i="16" a="1"/>
  <c r="V42" i="16" s="1"/>
  <c r="AC42" i="16" a="1"/>
  <c r="AC42" i="16" s="1"/>
  <c r="N42" i="16" a="1"/>
  <c r="N42" i="16" s="1"/>
  <c r="X70" i="16" a="1"/>
  <c r="X70" i="16" s="1"/>
  <c r="P70" i="16" a="1"/>
  <c r="P70" i="16" s="1"/>
  <c r="O70" i="16" a="1"/>
  <c r="O70" i="16" s="1"/>
  <c r="R70" i="16" a="1"/>
  <c r="R70" i="16" s="1"/>
  <c r="O98" i="16" a="1"/>
  <c r="O98" i="16" s="1"/>
  <c r="V98" i="16" a="1"/>
  <c r="V98" i="16" s="1"/>
  <c r="Y98" i="16" a="1"/>
  <c r="Y98" i="16" s="1"/>
  <c r="X98" i="16" a="1"/>
  <c r="X98" i="16" s="1"/>
  <c r="O49" i="16" a="1"/>
  <c r="O49" i="16" s="1"/>
  <c r="X49" i="16" a="1"/>
  <c r="X49" i="16" s="1"/>
  <c r="J49" i="16" a="1"/>
  <c r="J49" i="16" s="1"/>
  <c r="T49" i="16" a="1"/>
  <c r="T49" i="16" s="1"/>
  <c r="P49" i="16" a="1"/>
  <c r="P49" i="16" s="1"/>
  <c r="W77" i="16" a="1"/>
  <c r="W77" i="16" s="1"/>
  <c r="N77" i="16" a="1"/>
  <c r="N77" i="16" s="1"/>
  <c r="Q77" i="16" a="1"/>
  <c r="Q77" i="16" s="1"/>
  <c r="T77" i="16" a="1"/>
  <c r="T77" i="16" s="1"/>
  <c r="O63" i="16" a="1"/>
  <c r="O63" i="16" s="1"/>
  <c r="U63" i="16" a="1"/>
  <c r="U63" i="16" s="1"/>
  <c r="X63" i="16" a="1"/>
  <c r="X63" i="16" s="1"/>
  <c r="AA63" i="16" a="1"/>
  <c r="AA63" i="16" s="1"/>
  <c r="M91" i="16" a="1"/>
  <c r="M91" i="16" s="1"/>
  <c r="P91" i="16" a="1"/>
  <c r="P91" i="16" s="1"/>
  <c r="U91" i="16" a="1"/>
  <c r="U91" i="16" s="1"/>
  <c r="AB91" i="16" a="1"/>
  <c r="AB91" i="16" s="1"/>
  <c r="N91" i="16" a="1"/>
  <c r="N91" i="16" s="1"/>
  <c r="AW70" i="16" a="1"/>
  <c r="AW70" i="16" s="1"/>
  <c r="AW35" i="16" a="1"/>
  <c r="AW35" i="16" s="1"/>
  <c r="AW42" i="16" a="1"/>
  <c r="AW42" i="16" s="1"/>
  <c r="AO84" i="16" a="1"/>
  <c r="AO84" i="16" s="1"/>
  <c r="AO63" i="16" a="1"/>
  <c r="AO63" i="16" s="1"/>
  <c r="AH77" i="16" a="1"/>
  <c r="AH77" i="16" s="1"/>
  <c r="AH35" i="16" a="1"/>
  <c r="AH35" i="16" s="1"/>
  <c r="AH49" i="16" a="1"/>
  <c r="AH49" i="16" s="1"/>
  <c r="AV77" i="16" a="1"/>
  <c r="AV77" i="16" s="1"/>
  <c r="AV91" i="16" a="1"/>
  <c r="AV91" i="16" s="1"/>
  <c r="AN98" i="16" a="1"/>
  <c r="AN98" i="16" s="1"/>
  <c r="AN49" i="16" a="1"/>
  <c r="AN49" i="16" s="1"/>
  <c r="AN42" i="16" a="1"/>
  <c r="AN42" i="16" s="1"/>
  <c r="AJ63" i="16" a="1"/>
  <c r="AJ63" i="16" s="1"/>
  <c r="AJ49" i="16" a="1"/>
  <c r="AJ49" i="16" s="1"/>
  <c r="AU70" i="16" a="1"/>
  <c r="AU70" i="16" s="1"/>
  <c r="AU49" i="16" a="1"/>
  <c r="AU49" i="16" s="1"/>
  <c r="AQ84" i="16" a="1"/>
  <c r="AQ84" i="16" s="1"/>
  <c r="AQ70" i="16" a="1"/>
  <c r="AQ70" i="16" s="1"/>
  <c r="AQ63" i="16" a="1"/>
  <c r="AQ63" i="16" s="1"/>
  <c r="AM70" i="16" a="1"/>
  <c r="AM70" i="16" s="1"/>
  <c r="AM84" i="16" a="1"/>
  <c r="AM84" i="16" s="1"/>
  <c r="AI84" i="16" a="1"/>
  <c r="AI84" i="16" s="1"/>
  <c r="AI91" i="16" a="1"/>
  <c r="AI91" i="16" s="1"/>
  <c r="AI49" i="16" a="1"/>
  <c r="AI49" i="16" s="1"/>
  <c r="AS91" i="16" a="1"/>
  <c r="AS91" i="16" s="1"/>
  <c r="AS56" i="16" a="1"/>
  <c r="AS56" i="16" s="1"/>
  <c r="AK98" i="16" a="1"/>
  <c r="AK98" i="16" s="1"/>
  <c r="AK49" i="16" a="1"/>
  <c r="AK49" i="16" s="1"/>
  <c r="AK56" i="16" a="1"/>
  <c r="AK56" i="16" s="1"/>
  <c r="AR91" i="16" a="1"/>
  <c r="AR91" i="16" s="1"/>
  <c r="AR77" i="16" a="1"/>
  <c r="AR77" i="16" s="1"/>
  <c r="AR98" i="16" a="1"/>
  <c r="AR98" i="16" s="1"/>
  <c r="AX91" i="16" a="1"/>
  <c r="AX91" i="16" s="1"/>
  <c r="AX49" i="16" a="1"/>
  <c r="AX49" i="16" s="1"/>
  <c r="AT84" i="16" a="1"/>
  <c r="AT84" i="16" s="1"/>
  <c r="AT56" i="16" a="1"/>
  <c r="AT56" i="16" s="1"/>
  <c r="AT77" i="16" a="1"/>
  <c r="AT77" i="16" s="1"/>
  <c r="AP91" i="16" a="1"/>
  <c r="AP91" i="16" s="1"/>
  <c r="AP49" i="16" a="1"/>
  <c r="AP49" i="16" s="1"/>
  <c r="AL84" i="16" a="1"/>
  <c r="AL84" i="16" s="1"/>
  <c r="AL56" i="16" a="1"/>
  <c r="AL56" i="16" s="1"/>
  <c r="AL70" i="16" a="1"/>
  <c r="AL70" i="16" s="1"/>
  <c r="AB35" i="16" a="1"/>
  <c r="AB35" i="16" s="1"/>
  <c r="P35" i="16" a="1"/>
  <c r="P35" i="16" s="1"/>
  <c r="AC56" i="16" a="1"/>
  <c r="AC56" i="16" s="1"/>
  <c r="M56" i="16" a="1"/>
  <c r="M56" i="16" s="1"/>
  <c r="W56" i="16" a="1"/>
  <c r="W56" i="16" s="1"/>
  <c r="J84" i="16" a="1"/>
  <c r="J84" i="16" s="1"/>
  <c r="T84" i="16" a="1"/>
  <c r="T84" i="16" s="1"/>
  <c r="J41" i="16"/>
  <c r="L42" i="16" a="1"/>
  <c r="L42" i="16" s="1"/>
  <c r="Y42" i="16" a="1"/>
  <c r="Y42" i="16" s="1"/>
  <c r="T70" i="16" a="1"/>
  <c r="T70" i="16" s="1"/>
  <c r="AC70" i="16" a="1"/>
  <c r="AC70" i="16" s="1"/>
  <c r="N70" i="16" a="1"/>
  <c r="N70" i="16" s="1"/>
  <c r="W98" i="16" a="1"/>
  <c r="W98" i="16" s="1"/>
  <c r="N98" i="16" a="1"/>
  <c r="N98" i="16" s="1"/>
  <c r="P98" i="16" a="1"/>
  <c r="P98" i="16" s="1"/>
  <c r="L49" i="16" a="1"/>
  <c r="L49" i="16" s="1"/>
  <c r="AC49" i="16" a="1"/>
  <c r="AC49" i="16" s="1"/>
  <c r="M49" i="16" a="1"/>
  <c r="M49" i="16" s="1"/>
  <c r="Z77" i="16" a="1"/>
  <c r="Z77" i="16" s="1"/>
  <c r="M77" i="16" a="1"/>
  <c r="M77" i="16" s="1"/>
  <c r="AC63" i="16" a="1"/>
  <c r="AC63" i="16" s="1"/>
  <c r="Q63" i="16" a="1"/>
  <c r="Q63" i="16" s="1"/>
  <c r="AA91" i="16" a="1"/>
  <c r="AA91" i="16" s="1"/>
  <c r="L91" i="16" a="1"/>
  <c r="L91" i="16" s="1"/>
  <c r="X91" i="16" a="1"/>
  <c r="X91" i="16" s="1"/>
  <c r="AW77" i="16" a="1"/>
  <c r="AW77" i="16" s="1"/>
  <c r="AO35" i="16" a="1"/>
  <c r="AO35" i="16" s="1"/>
  <c r="AH91" i="16" a="1"/>
  <c r="AH91" i="16" s="1"/>
  <c r="AV98" i="16" a="1"/>
  <c r="AV98" i="16" s="1"/>
  <c r="AV42" i="16" a="1"/>
  <c r="AV42" i="16" s="1"/>
  <c r="AN70" i="16" a="1"/>
  <c r="AN70" i="16" s="1"/>
  <c r="AJ42" i="16" a="1"/>
  <c r="AJ42" i="16" s="1"/>
  <c r="AU91" i="16" a="1"/>
  <c r="AU91" i="16" s="1"/>
  <c r="AU77" i="16" a="1"/>
  <c r="AU77" i="16" s="1"/>
  <c r="AQ91" i="16" a="1"/>
  <c r="AQ91" i="16" s="1"/>
  <c r="AM42" i="16" a="1"/>
  <c r="AM42" i="16" s="1"/>
  <c r="AI77" i="16" a="1"/>
  <c r="AI77" i="16" s="1"/>
  <c r="AS98" i="16" a="1"/>
  <c r="AS98" i="16" s="1"/>
  <c r="AS70" i="16" a="1"/>
  <c r="AS70" i="16" s="1"/>
  <c r="AK63" i="16" a="1"/>
  <c r="AK63" i="16" s="1"/>
  <c r="AR84" i="16" a="1"/>
  <c r="AR84" i="16" s="1"/>
  <c r="AX77" i="16" a="1"/>
  <c r="AX77" i="16" s="1"/>
  <c r="AX56" i="16" a="1"/>
  <c r="AX56" i="16" s="1"/>
  <c r="AT42" i="16" a="1"/>
  <c r="AT42" i="16" s="1"/>
  <c r="AP63" i="16" a="1"/>
  <c r="AP63" i="16" s="1"/>
  <c r="AL98" i="16" a="1"/>
  <c r="AL98" i="16" s="1"/>
  <c r="S35" i="16" a="1"/>
  <c r="S35" i="16" s="1"/>
  <c r="M35" i="16" a="1"/>
  <c r="M35" i="16" s="1"/>
  <c r="R35" i="16" a="1"/>
  <c r="R35" i="16" s="1"/>
  <c r="N56" i="16" a="1"/>
  <c r="N56" i="16" s="1"/>
  <c r="P56" i="16" a="1"/>
  <c r="P56" i="16" s="1"/>
  <c r="AC84" i="16" a="1"/>
  <c r="AC84" i="16" s="1"/>
  <c r="Q84" i="16" a="1"/>
  <c r="Q84" i="16" s="1"/>
  <c r="Z84" i="16" a="1"/>
  <c r="Z84" i="16" s="1"/>
  <c r="M42" i="16" a="1"/>
  <c r="M42" i="16" s="1"/>
  <c r="R42" i="16" a="1"/>
  <c r="R42" i="16" s="1"/>
  <c r="P42" i="16" a="1"/>
  <c r="P42" i="16" s="1"/>
  <c r="Z70" i="16" a="1"/>
  <c r="Z70" i="16" s="1"/>
  <c r="L70" i="16" a="1"/>
  <c r="L70" i="16" s="1"/>
  <c r="AC98" i="16" a="1"/>
  <c r="AC98" i="16" s="1"/>
  <c r="Q98" i="16" a="1"/>
  <c r="Q98" i="16" s="1"/>
  <c r="U49" i="16" a="1"/>
  <c r="U49" i="16" s="1"/>
  <c r="Q49" i="16" a="1"/>
  <c r="Q49" i="16" s="1"/>
  <c r="S77" i="16" a="1"/>
  <c r="S77" i="16" s="1"/>
  <c r="AC77" i="16" a="1"/>
  <c r="AC77" i="16" s="1"/>
  <c r="P77" i="16" a="1"/>
  <c r="P77" i="16" s="1"/>
  <c r="V63" i="16" a="1"/>
  <c r="V63" i="16" s="1"/>
  <c r="N63" i="16" a="1"/>
  <c r="N63" i="16" s="1"/>
  <c r="P63" i="16" a="1"/>
  <c r="P63" i="16" s="1"/>
  <c r="R91" i="16" a="1"/>
  <c r="R91" i="16" s="1"/>
  <c r="AW84" i="16" a="1"/>
  <c r="AW84" i="16" s="1"/>
  <c r="AO70" i="16" a="1"/>
  <c r="AO70" i="16" s="1"/>
  <c r="AO98" i="16" a="1"/>
  <c r="AO98" i="16" s="1"/>
  <c r="AH70" i="16" a="1"/>
  <c r="AH70" i="16" s="1"/>
  <c r="AV70" i="16" a="1"/>
  <c r="AV70" i="16" s="1"/>
  <c r="AN63" i="16" a="1"/>
  <c r="AN63" i="16" s="1"/>
  <c r="AJ91" i="16" a="1"/>
  <c r="AJ91" i="16" s="1"/>
  <c r="AJ70" i="16" a="1"/>
  <c r="AJ70" i="16" s="1"/>
  <c r="AU84" i="16" a="1"/>
  <c r="AU84" i="16" s="1"/>
  <c r="AQ77" i="16" a="1"/>
  <c r="AQ77" i="16" s="1"/>
  <c r="AM91" i="16" a="1"/>
  <c r="AM91" i="16" s="1"/>
  <c r="AM35" i="16" a="1"/>
  <c r="AM35" i="16" s="1"/>
  <c r="AI56" i="16" a="1"/>
  <c r="AI56" i="16" s="1"/>
  <c r="AS49" i="16" a="1"/>
  <c r="AS49" i="16" s="1"/>
  <c r="AK91" i="16" a="1"/>
  <c r="AK91" i="16" s="1"/>
  <c r="AR49" i="16" a="1"/>
  <c r="AR49" i="16" s="1"/>
  <c r="AX63" i="16" a="1"/>
  <c r="AX63" i="16" s="1"/>
  <c r="AT98" i="16" a="1"/>
  <c r="AT98" i="16" s="1"/>
  <c r="AP77" i="16" a="1"/>
  <c r="AP77" i="16" s="1"/>
  <c r="AP84" i="16" a="1"/>
  <c r="AP84" i="16" s="1"/>
  <c r="AL42" i="16" a="1"/>
  <c r="AL42" i="16" s="1"/>
  <c r="T35" i="16" a="1"/>
  <c r="T35" i="16" s="1"/>
  <c r="Y56" i="16" a="1"/>
  <c r="Y56" i="16" s="1"/>
  <c r="V84" i="16" a="1"/>
  <c r="V84" i="16" s="1"/>
  <c r="W84" i="16" a="1"/>
  <c r="W84" i="16" s="1"/>
  <c r="O42" i="16" a="1"/>
  <c r="O42" i="16" s="1"/>
  <c r="W70" i="16" a="1"/>
  <c r="W70" i="16" s="1"/>
  <c r="U98" i="16" a="1"/>
  <c r="U98" i="16" s="1"/>
  <c r="Y49" i="16" a="1"/>
  <c r="Y49" i="16" s="1"/>
  <c r="AB49" i="16" a="1"/>
  <c r="AB49" i="16" s="1"/>
  <c r="Y77" i="16" a="1"/>
  <c r="Y77" i="16" s="1"/>
  <c r="Z63" i="16" a="1"/>
  <c r="Z63" i="16" s="1"/>
  <c r="W63" i="16" a="1"/>
  <c r="W63" i="16" s="1"/>
  <c r="AC91" i="16" a="1"/>
  <c r="AC91" i="16" s="1"/>
  <c r="AO56" i="16" a="1"/>
  <c r="AO56" i="16" s="1"/>
  <c r="AH42" i="16" a="1"/>
  <c r="AH42" i="16" s="1"/>
  <c r="AN91" i="16" a="1"/>
  <c r="AN91" i="16" s="1"/>
  <c r="AU35" i="16" a="1"/>
  <c r="AU35" i="16" s="1"/>
  <c r="AM77" i="16" a="1"/>
  <c r="AM77" i="16" s="1"/>
  <c r="AI35" i="16" a="1"/>
  <c r="AI35" i="16" s="1"/>
  <c r="AK35" i="16" a="1"/>
  <c r="AK35" i="16" s="1"/>
  <c r="AR70" i="16" a="1"/>
  <c r="AR70" i="16" s="1"/>
  <c r="AX84" i="16" a="1"/>
  <c r="AX84" i="16" s="1"/>
  <c r="AP70" i="16" a="1"/>
  <c r="AP70" i="16" s="1"/>
  <c r="AL49" i="16" a="1"/>
  <c r="AL49" i="16" s="1"/>
  <c r="Z35" i="16" a="1"/>
  <c r="Z35" i="16" s="1"/>
  <c r="Y35" i="16" a="1"/>
  <c r="Y35" i="16" s="1"/>
  <c r="AB56" i="16" a="1"/>
  <c r="AB56" i="16" s="1"/>
  <c r="AB84" i="16" a="1"/>
  <c r="AB84" i="16" s="1"/>
  <c r="AB42" i="16" a="1"/>
  <c r="AB42" i="16" s="1"/>
  <c r="U42" i="16" a="1"/>
  <c r="U42" i="16" s="1"/>
  <c r="Y70" i="16" a="1"/>
  <c r="Y70" i="16" s="1"/>
  <c r="AA98" i="16" a="1"/>
  <c r="AA98" i="16" s="1"/>
  <c r="T98" i="16" a="1"/>
  <c r="T98" i="16" s="1"/>
  <c r="AB77" i="16" a="1"/>
  <c r="AB77" i="16" s="1"/>
  <c r="L63" i="16" a="1"/>
  <c r="L63" i="16" s="1"/>
  <c r="O91" i="16" a="1"/>
  <c r="O91" i="16" s="1"/>
  <c r="AW91" i="16" a="1"/>
  <c r="AW91" i="16" s="1"/>
  <c r="AO42" i="16" a="1"/>
  <c r="AO42" i="16" s="1"/>
  <c r="AV63" i="16" a="1"/>
  <c r="AV63" i="16" s="1"/>
  <c r="AN35" i="16" a="1"/>
  <c r="AN35" i="16" s="1"/>
  <c r="AQ98" i="16" a="1"/>
  <c r="AQ98" i="16" s="1"/>
  <c r="AM49" i="16" a="1"/>
  <c r="AM49" i="16" s="1"/>
  <c r="AS84" i="16" a="1"/>
  <c r="AS84" i="16" s="1"/>
  <c r="AK42" i="16" a="1"/>
  <c r="AK42" i="16" s="1"/>
  <c r="AR42" i="16" a="1"/>
  <c r="AR42" i="16" s="1"/>
  <c r="AT91" i="16" a="1"/>
  <c r="AT91" i="16" s="1"/>
  <c r="AP56" i="16" a="1"/>
  <c r="AP56" i="16" s="1"/>
  <c r="Z56" i="16" a="1"/>
  <c r="Z56" i="16" s="1"/>
  <c r="P84" i="16" a="1"/>
  <c r="P84" i="16" s="1"/>
  <c r="J70" i="16" a="1"/>
  <c r="J70" i="16" s="1"/>
  <c r="R49" i="16" a="1"/>
  <c r="R49" i="16" s="1"/>
  <c r="V77" i="16" a="1"/>
  <c r="V77" i="16" s="1"/>
  <c r="W91" i="16" a="1"/>
  <c r="W91" i="16" s="1"/>
  <c r="AW49" i="16" a="1"/>
  <c r="AW49" i="16" s="1"/>
  <c r="AN77" i="16" a="1"/>
  <c r="AN77" i="16" s="1"/>
  <c r="AU42" i="16" a="1"/>
  <c r="AU42" i="16" s="1"/>
  <c r="AI42" i="16" a="1"/>
  <c r="AI42" i="16" s="1"/>
  <c r="AT49" i="16" a="1"/>
  <c r="AT49" i="16" s="1"/>
  <c r="V35" i="16" a="1"/>
  <c r="V35" i="16" s="1"/>
  <c r="L56" i="16" a="1"/>
  <c r="L56" i="16" s="1"/>
  <c r="Z49" i="16" a="1"/>
  <c r="Z49" i="16" s="1"/>
  <c r="L77" i="16" a="1"/>
  <c r="L77" i="16" s="1"/>
  <c r="R63" i="16" a="1"/>
  <c r="R63" i="16" s="1"/>
  <c r="Z91" i="16" a="1"/>
  <c r="Z91" i="16" s="1"/>
  <c r="AH98" i="16" a="1"/>
  <c r="AH98" i="16" s="1"/>
  <c r="AJ98" i="16" a="1"/>
  <c r="AJ98" i="16" s="1"/>
  <c r="AQ49" i="16" a="1"/>
  <c r="AQ49" i="16" s="1"/>
  <c r="AS63" i="16" a="1"/>
  <c r="AS63" i="16" s="1"/>
  <c r="AR35" i="16" a="1"/>
  <c r="AR35" i="16" s="1"/>
  <c r="AL91" i="16" a="1"/>
  <c r="AL91" i="16" s="1"/>
  <c r="N84" i="16" a="1"/>
  <c r="N84" i="16" s="1"/>
  <c r="Q70" i="16" a="1"/>
  <c r="Q70" i="16" s="1"/>
  <c r="R98" i="16" a="1"/>
  <c r="R98" i="16" s="1"/>
  <c r="O77" i="16" a="1"/>
  <c r="O77" i="16" s="1"/>
  <c r="T91" i="16" a="1"/>
  <c r="T91" i="16" s="1"/>
  <c r="AV56" i="16" a="1"/>
  <c r="AV56" i="16" s="1"/>
  <c r="AI98" i="16" a="1"/>
  <c r="AI98" i="16" s="1"/>
  <c r="AT70" i="16" a="1"/>
  <c r="AT70" i="16" s="1"/>
  <c r="AB70" i="16" a="1"/>
  <c r="AB70" i="16" s="1"/>
  <c r="AJ56" i="16" a="1"/>
  <c r="AJ56" i="16" s="1"/>
  <c r="AK77" i="16" a="1"/>
  <c r="AK77" i="16" s="1"/>
  <c r="AL77" i="16" a="1"/>
  <c r="AL77" i="16" s="1"/>
  <c r="AA42" i="16" a="1"/>
  <c r="AA42" i="16" s="1"/>
  <c r="T63" i="16" a="1"/>
  <c r="T63" i="16" s="1"/>
  <c r="AW98" i="16" a="1"/>
  <c r="AW98" i="16" s="1"/>
  <c r="Q35" i="16" a="1"/>
  <c r="Q35" i="16" s="1"/>
  <c r="S56" i="16" a="1"/>
  <c r="S56" i="16" s="1"/>
  <c r="J98" i="16" a="1"/>
  <c r="J98" i="16" s="1"/>
  <c r="AH56" i="16" a="1"/>
  <c r="AH56" i="16" s="1"/>
  <c r="AQ35" i="16" a="1"/>
  <c r="AQ35" i="16" s="1"/>
  <c r="AX70" i="16" a="1"/>
  <c r="AX70" i="16" s="1"/>
  <c r="Z97" i="16"/>
  <c r="R97" i="16"/>
  <c r="N97" i="16"/>
  <c r="Z90" i="16"/>
  <c r="V90" i="16"/>
  <c r="AR83" i="16"/>
  <c r="AA83" i="16"/>
  <c r="S83" i="16"/>
  <c r="J83" i="16"/>
  <c r="S76" i="16"/>
  <c r="O76" i="16"/>
  <c r="AL69" i="16"/>
  <c r="X69" i="16"/>
  <c r="T69" i="16"/>
  <c r="P69" i="16"/>
  <c r="AO62" i="16"/>
  <c r="AB62" i="16"/>
  <c r="P62" i="16"/>
  <c r="L62" i="16"/>
  <c r="AC55" i="16"/>
  <c r="Y55" i="16"/>
  <c r="M55" i="16"/>
  <c r="AC48" i="16"/>
  <c r="Q48" i="16"/>
  <c r="AO41" i="16"/>
  <c r="V41" i="16"/>
  <c r="N41" i="16"/>
  <c r="Z34" i="16"/>
  <c r="N34" i="16"/>
  <c r="AM41" i="16"/>
  <c r="AL34" i="16"/>
  <c r="AO69" i="16"/>
  <c r="AJ69" i="16"/>
  <c r="AQ97" i="16"/>
  <c r="AM97" i="16"/>
  <c r="AL55" i="16"/>
  <c r="AX62" i="16"/>
  <c r="AY65" i="16" s="1"/>
  <c r="AH62" i="16"/>
  <c r="AX48" i="16"/>
  <c r="AY51" i="16" s="1"/>
  <c r="AC97" i="16"/>
  <c r="Y97" i="16"/>
  <c r="U97" i="16"/>
  <c r="Q97" i="16"/>
  <c r="M97" i="16"/>
  <c r="AC90" i="16"/>
  <c r="Y90" i="16"/>
  <c r="U90" i="16"/>
  <c r="Q90" i="16"/>
  <c r="M90" i="16"/>
  <c r="AW83" i="16"/>
  <c r="AO83" i="16"/>
  <c r="Z83" i="16"/>
  <c r="V83" i="16"/>
  <c r="R83" i="16"/>
  <c r="N83" i="16"/>
  <c r="Z76" i="16"/>
  <c r="V76" i="16"/>
  <c r="R76" i="16"/>
  <c r="N76" i="16"/>
  <c r="AX69" i="16"/>
  <c r="AY72" i="16" s="1"/>
  <c r="AH69" i="16"/>
  <c r="AA69" i="16"/>
  <c r="W69" i="16"/>
  <c r="S69" i="16"/>
  <c r="O69" i="16"/>
  <c r="J69" i="16"/>
  <c r="AK62" i="16"/>
  <c r="AA62" i="16"/>
  <c r="W62" i="16"/>
  <c r="S62" i="16"/>
  <c r="O62" i="16"/>
  <c r="J62" i="16"/>
  <c r="AS55" i="16"/>
  <c r="AK55" i="16"/>
  <c r="AB55" i="16"/>
  <c r="X55" i="16"/>
  <c r="T55" i="16"/>
  <c r="P55" i="16"/>
  <c r="L55" i="16"/>
  <c r="AB48" i="16"/>
  <c r="X48" i="16"/>
  <c r="T48" i="16"/>
  <c r="P48" i="16"/>
  <c r="L48" i="16"/>
  <c r="AT41" i="16"/>
  <c r="AL41" i="16"/>
  <c r="AC41" i="16"/>
  <c r="Y41" i="16"/>
  <c r="U41" i="16"/>
  <c r="Q41" i="16"/>
  <c r="M41" i="16"/>
  <c r="AV34" i="16"/>
  <c r="AN34" i="16"/>
  <c r="AC34" i="16"/>
  <c r="Y34" i="16"/>
  <c r="U34" i="16"/>
  <c r="Q34" i="16"/>
  <c r="M34" i="16"/>
  <c r="AR41" i="16"/>
  <c r="AJ41" i="16"/>
  <c r="AQ34" i="16"/>
  <c r="AI34" i="16"/>
  <c r="AQ76" i="16"/>
  <c r="AS69" i="16"/>
  <c r="AN69" i="16"/>
  <c r="AI69" i="16"/>
  <c r="AX97" i="16"/>
  <c r="AY100" i="16" s="1"/>
  <c r="AT97" i="16"/>
  <c r="AP97" i="16"/>
  <c r="AL97" i="16"/>
  <c r="AH97" i="16"/>
  <c r="AQ55" i="16"/>
  <c r="AI55" i="16"/>
  <c r="AV62" i="16"/>
  <c r="AQ62" i="16"/>
  <c r="AL62" i="16"/>
  <c r="AW48" i="16"/>
  <c r="AQ48" i="16"/>
  <c r="AJ48" i="16"/>
  <c r="AB97" i="16"/>
  <c r="X97" i="16"/>
  <c r="T97" i="16"/>
  <c r="P97" i="16"/>
  <c r="AB90" i="16"/>
  <c r="X90" i="16"/>
  <c r="T90" i="16"/>
  <c r="P90" i="16"/>
  <c r="AV83" i="16"/>
  <c r="AN83" i="16"/>
  <c r="AC83" i="16"/>
  <c r="U83" i="16"/>
  <c r="Q83" i="16"/>
  <c r="M83" i="16"/>
  <c r="Y76" i="16"/>
  <c r="U76" i="16"/>
  <c r="M76" i="16"/>
  <c r="AT69" i="16"/>
  <c r="Z69" i="16"/>
  <c r="V69" i="16"/>
  <c r="N69" i="16"/>
  <c r="Z62" i="16"/>
  <c r="R62" i="16"/>
  <c r="N62" i="16"/>
  <c r="AR55" i="16"/>
  <c r="AJ55" i="16"/>
  <c r="W55" i="16"/>
  <c r="S55" i="16"/>
  <c r="J55" i="16"/>
  <c r="AA48" i="16"/>
  <c r="S48" i="16"/>
  <c r="O48" i="16"/>
  <c r="J48" i="16"/>
  <c r="AS41" i="16"/>
  <c r="AB41" i="16"/>
  <c r="X41" i="16"/>
  <c r="T41" i="16"/>
  <c r="L41" i="16"/>
  <c r="AS34" i="16"/>
  <c r="AB34" i="16"/>
  <c r="X34" i="16"/>
  <c r="T34" i="16"/>
  <c r="L34" i="16"/>
  <c r="AI41" i="16"/>
  <c r="AX34" i="16"/>
  <c r="AY37" i="16" s="1"/>
  <c r="AY38" i="16" s="1"/>
  <c r="AP34" i="16"/>
  <c r="AH34" i="16"/>
  <c r="AI76" i="16"/>
  <c r="AR69" i="16"/>
  <c r="AM69" i="16"/>
  <c r="AW97" i="16"/>
  <c r="AO97" i="16"/>
  <c r="AK97" i="16"/>
  <c r="AP55" i="16"/>
  <c r="AH55" i="16"/>
  <c r="AP62" i="16"/>
  <c r="AJ62" i="16"/>
  <c r="AU48" i="16"/>
  <c r="AP48" i="16"/>
  <c r="N90" i="16"/>
  <c r="W83" i="16"/>
  <c r="AA76" i="16"/>
  <c r="X62" i="16"/>
  <c r="AN55" i="16"/>
  <c r="U55" i="16"/>
  <c r="Y48" i="16"/>
  <c r="M48" i="16"/>
  <c r="R41" i="16"/>
  <c r="AO34" i="16"/>
  <c r="V34" i="16"/>
  <c r="AT34" i="16"/>
  <c r="AU97" i="16"/>
  <c r="AT55" i="16"/>
  <c r="AM62" i="16"/>
  <c r="AM48" i="16"/>
  <c r="L97" i="16"/>
  <c r="L90" i="16"/>
  <c r="Y83" i="16"/>
  <c r="AC76" i="16"/>
  <c r="Q76" i="16"/>
  <c r="R69" i="16"/>
  <c r="AW62" i="16"/>
  <c r="V62" i="16"/>
  <c r="AA55" i="16"/>
  <c r="O55" i="16"/>
  <c r="W48" i="16"/>
  <c r="AK41" i="16"/>
  <c r="P41" i="16"/>
  <c r="AK34" i="16"/>
  <c r="P34" i="16"/>
  <c r="AQ41" i="16"/>
  <c r="AW69" i="16"/>
  <c r="AS97" i="16"/>
  <c r="AX55" i="16"/>
  <c r="AY58" i="16" s="1"/>
  <c r="AU62" i="16"/>
  <c r="AI48" i="16"/>
  <c r="V97" i="16"/>
  <c r="R90" i="16"/>
  <c r="AJ83" i="16"/>
  <c r="O83" i="16"/>
  <c r="W76" i="16"/>
  <c r="J76" i="16"/>
  <c r="AB69" i="16"/>
  <c r="L69" i="16"/>
  <c r="T62" i="16"/>
  <c r="AV55" i="16"/>
  <c r="Q55" i="16"/>
  <c r="U48" i="16"/>
  <c r="AW41" i="16"/>
  <c r="Z41" i="16"/>
  <c r="AW34" i="16"/>
  <c r="R34" i="16"/>
  <c r="AU41" i="16"/>
  <c r="AU69" i="16"/>
  <c r="AI97" i="16"/>
  <c r="AR62" i="16"/>
  <c r="AR48" i="16"/>
  <c r="AA97" i="16"/>
  <c r="W97" i="16"/>
  <c r="S97" i="16"/>
  <c r="O97" i="16"/>
  <c r="J97" i="16"/>
  <c r="AA90" i="16"/>
  <c r="W90" i="16"/>
  <c r="S90" i="16"/>
  <c r="O90" i="16"/>
  <c r="J90" i="16"/>
  <c r="AS83" i="16"/>
  <c r="AK83" i="16"/>
  <c r="AB83" i="16"/>
  <c r="X83" i="16"/>
  <c r="T83" i="16"/>
  <c r="P83" i="16"/>
  <c r="L83" i="16"/>
  <c r="AB76" i="16"/>
  <c r="X76" i="16"/>
  <c r="T76" i="16"/>
  <c r="P76" i="16"/>
  <c r="L76" i="16"/>
  <c r="AP69" i="16"/>
  <c r="AC69" i="16"/>
  <c r="Y69" i="16"/>
  <c r="U69" i="16"/>
  <c r="Q69" i="16"/>
  <c r="M69" i="16"/>
  <c r="AS62" i="16"/>
  <c r="AC62" i="16"/>
  <c r="Y62" i="16"/>
  <c r="U62" i="16"/>
  <c r="Q62" i="16"/>
  <c r="M62" i="16"/>
  <c r="AW55" i="16"/>
  <c r="AO55" i="16"/>
  <c r="Z55" i="16"/>
  <c r="V55" i="16"/>
  <c r="R55" i="16"/>
  <c r="N55" i="16"/>
  <c r="Z48" i="16"/>
  <c r="V48" i="16"/>
  <c r="R48" i="16"/>
  <c r="N48" i="16"/>
  <c r="AX41" i="16"/>
  <c r="AY44" i="16" s="1"/>
  <c r="AP41" i="16"/>
  <c r="AH41" i="16"/>
  <c r="AA41" i="16"/>
  <c r="W41" i="16"/>
  <c r="S41" i="16"/>
  <c r="O41" i="16"/>
  <c r="AR34" i="16"/>
  <c r="AJ34" i="16"/>
  <c r="AA34" i="16"/>
  <c r="W34" i="16"/>
  <c r="S34" i="16"/>
  <c r="O34" i="16"/>
  <c r="J34" i="16"/>
  <c r="AV41" i="16"/>
  <c r="AN41" i="16"/>
  <c r="AU34" i="16"/>
  <c r="AM34" i="16"/>
  <c r="AV69" i="16"/>
  <c r="AQ69" i="16"/>
  <c r="AK69" i="16"/>
  <c r="AV97" i="16"/>
  <c r="AR97" i="16"/>
  <c r="AN97" i="16"/>
  <c r="AJ97" i="16"/>
  <c r="AU55" i="16"/>
  <c r="AM55" i="16"/>
  <c r="AT62" i="16"/>
  <c r="AN62" i="16"/>
  <c r="AI62" i="16"/>
  <c r="AS48" i="16"/>
  <c r="AO48" i="16"/>
  <c r="AH48" i="16"/>
  <c r="AM76" i="16"/>
  <c r="AR90" i="16"/>
  <c r="AV48" i="16"/>
  <c r="AV76" i="16"/>
  <c r="AS90" i="16"/>
  <c r="AO76" i="16"/>
  <c r="AL83" i="16"/>
  <c r="AI90" i="16"/>
  <c r="AL90" i="16"/>
  <c r="AL48" i="16"/>
  <c r="AP76" i="16"/>
  <c r="AM83" i="16"/>
  <c r="AU76" i="16"/>
  <c r="AV90" i="16"/>
  <c r="AJ76" i="16"/>
  <c r="AW90" i="16"/>
  <c r="AS76" i="16"/>
  <c r="AP83" i="16"/>
  <c r="AQ90" i="16"/>
  <c r="AP90" i="16"/>
  <c r="AT48" i="16"/>
  <c r="AT76" i="16"/>
  <c r="AQ83" i="16"/>
  <c r="AM90" i="16"/>
  <c r="AJ90" i="16"/>
  <c r="AN76" i="16"/>
  <c r="AK90" i="16"/>
  <c r="AK48" i="16"/>
  <c r="AW76" i="16"/>
  <c r="AT83" i="16"/>
  <c r="AT90" i="16"/>
  <c r="AH76" i="16"/>
  <c r="AX76" i="16"/>
  <c r="AY79" i="16" s="1"/>
  <c r="AU83" i="16"/>
  <c r="AN90" i="16"/>
  <c r="AK76" i="16"/>
  <c r="AX90" i="16"/>
  <c r="AY93" i="16" s="1"/>
  <c r="AN48" i="16"/>
  <c r="AH83" i="16"/>
  <c r="AL76" i="16"/>
  <c r="AU90" i="16"/>
  <c r="AH90" i="16"/>
  <c r="AR76" i="16"/>
  <c r="AX83" i="16"/>
  <c r="AY86" i="16" s="1"/>
  <c r="AI83" i="16"/>
  <c r="AO90" i="16"/>
  <c r="R54" i="18"/>
  <c r="L51" i="18"/>
  <c r="Z50" i="18"/>
  <c r="AQ75" i="18"/>
  <c r="AR75" i="18"/>
  <c r="AS75" i="18"/>
  <c r="AT75" i="18"/>
  <c r="AR83" i="18"/>
  <c r="AS83" i="18"/>
  <c r="AT83" i="18"/>
  <c r="AR91" i="18"/>
  <c r="AS91" i="18"/>
  <c r="AT90" i="18"/>
  <c r="AQ79" i="18"/>
  <c r="AN79" i="18"/>
  <c r="AO79" i="18"/>
  <c r="AP79" i="18"/>
  <c r="AQ95" i="18"/>
  <c r="AN95" i="18"/>
  <c r="AO95" i="18"/>
  <c r="AP94" i="18"/>
  <c r="AR86" i="18"/>
  <c r="AS86" i="18"/>
  <c r="AT86" i="18"/>
  <c r="AQ34" i="18"/>
  <c r="AN34" i="18"/>
  <c r="AO34" i="18"/>
  <c r="AP34" i="18"/>
  <c r="AQ39" i="18"/>
  <c r="AN39" i="18"/>
  <c r="AO39" i="18"/>
  <c r="AP39" i="18"/>
  <c r="AT47" i="18"/>
  <c r="AR47" i="18"/>
  <c r="AS47" i="18"/>
  <c r="AR59" i="18"/>
  <c r="AS59" i="18"/>
  <c r="AT59" i="18"/>
  <c r="AP50" i="18"/>
  <c r="AQ50" i="18"/>
  <c r="AN50" i="18"/>
  <c r="AO50" i="18"/>
  <c r="AQ62" i="18"/>
  <c r="AN62" i="18"/>
  <c r="AO62" i="18"/>
  <c r="AP62" i="18"/>
  <c r="AP66" i="18"/>
  <c r="AQ66" i="18"/>
  <c r="AN66" i="18"/>
  <c r="AO66" i="18"/>
  <c r="AP43" i="18"/>
  <c r="AQ43" i="18"/>
  <c r="AN43" i="18"/>
  <c r="AO43" i="18"/>
  <c r="AS54" i="18"/>
  <c r="AT54" i="18"/>
  <c r="AR54" i="18"/>
  <c r="AS70" i="18"/>
  <c r="AT70" i="18"/>
  <c r="AR70" i="18"/>
  <c r="AG54" i="18"/>
  <c r="AJ55" i="18"/>
  <c r="AN74" i="18"/>
  <c r="AO74" i="18"/>
  <c r="AP74" i="18"/>
  <c r="AQ82" i="18"/>
  <c r="AN82" i="18"/>
  <c r="AO82" i="18"/>
  <c r="AP82" i="18"/>
  <c r="AQ90" i="18"/>
  <c r="AN90" i="18"/>
  <c r="AO90" i="18"/>
  <c r="AP91" i="18"/>
  <c r="W79" i="18"/>
  <c r="AR79" i="18"/>
  <c r="AS79" i="18"/>
  <c r="AT79" i="18"/>
  <c r="AR95" i="18"/>
  <c r="AS95" i="18"/>
  <c r="AT94" i="18"/>
  <c r="AQ87" i="18"/>
  <c r="AN87" i="18"/>
  <c r="AO87" i="18"/>
  <c r="AP87" i="18"/>
  <c r="AR34" i="18"/>
  <c r="AS34" i="18"/>
  <c r="AT34" i="18"/>
  <c r="AR39" i="18"/>
  <c r="AS39" i="18"/>
  <c r="AT39" i="18"/>
  <c r="AP46" i="18"/>
  <c r="AQ46" i="18"/>
  <c r="AN46" i="18"/>
  <c r="AO46" i="18"/>
  <c r="AN58" i="18"/>
  <c r="AO58" i="18"/>
  <c r="AP58" i="18"/>
  <c r="AQ58" i="18"/>
  <c r="AT50" i="18"/>
  <c r="AR50" i="18"/>
  <c r="AS50" i="18"/>
  <c r="AR62" i="18"/>
  <c r="AS62" i="18"/>
  <c r="AT62" i="18"/>
  <c r="AT66" i="18"/>
  <c r="AR66" i="18"/>
  <c r="AS66" i="18"/>
  <c r="AT43" i="18"/>
  <c r="AR43" i="18"/>
  <c r="AS43" i="18"/>
  <c r="AO55" i="18"/>
  <c r="AP55" i="18"/>
  <c r="AQ55" i="18"/>
  <c r="AN55" i="18"/>
  <c r="AO71" i="18"/>
  <c r="AP71" i="18"/>
  <c r="AQ71" i="18"/>
  <c r="AN71" i="18"/>
  <c r="O55" i="18"/>
  <c r="AI55" i="18"/>
  <c r="AR74" i="18"/>
  <c r="AT74" i="18"/>
  <c r="AR82" i="18"/>
  <c r="AT82" i="18"/>
  <c r="AR90" i="18"/>
  <c r="AT91" i="18"/>
  <c r="AN78" i="18"/>
  <c r="AP78" i="18"/>
  <c r="AN94" i="18"/>
  <c r="AP95" i="18"/>
  <c r="AS87" i="18"/>
  <c r="AQ35" i="18"/>
  <c r="AO35" i="18"/>
  <c r="AQ38" i="18"/>
  <c r="AO38" i="18"/>
  <c r="AQ47" i="18"/>
  <c r="AO47" i="18"/>
  <c r="AO59" i="18"/>
  <c r="AQ59" i="18"/>
  <c r="AP51" i="18"/>
  <c r="AN51" i="18"/>
  <c r="AQ63" i="18"/>
  <c r="AO63" i="18"/>
  <c r="AP67" i="18"/>
  <c r="AN67" i="18"/>
  <c r="AQ42" i="18"/>
  <c r="AO42" i="18"/>
  <c r="AS55" i="18"/>
  <c r="AS71" i="18"/>
  <c r="AK78" i="18"/>
  <c r="AQ74" i="18"/>
  <c r="AS74" i="18"/>
  <c r="AS82" i="18"/>
  <c r="AS90" i="18"/>
  <c r="AQ78" i="18"/>
  <c r="AO78" i="18"/>
  <c r="AQ94" i="18"/>
  <c r="AO94" i="18"/>
  <c r="AC50" i="18"/>
  <c r="AR87" i="18"/>
  <c r="AT87" i="18"/>
  <c r="AN35" i="18"/>
  <c r="AP35" i="18"/>
  <c r="AN38" i="18"/>
  <c r="AP38" i="18"/>
  <c r="AP47" i="18"/>
  <c r="AN47" i="18"/>
  <c r="AN59" i="18"/>
  <c r="AP59" i="18"/>
  <c r="AQ51" i="18"/>
  <c r="AO51" i="18"/>
  <c r="AN63" i="18"/>
  <c r="AP63" i="18"/>
  <c r="AQ67" i="18"/>
  <c r="AO67" i="18"/>
  <c r="AP42" i="18"/>
  <c r="AN42" i="18"/>
  <c r="AM55" i="18"/>
  <c r="AT55" i="18"/>
  <c r="AR55" i="18"/>
  <c r="AT71" i="18"/>
  <c r="AR71" i="18"/>
  <c r="Y54" i="18"/>
  <c r="AN75" i="18"/>
  <c r="AN83" i="18"/>
  <c r="AN91" i="18"/>
  <c r="AR78" i="18"/>
  <c r="AR94" i="18"/>
  <c r="AN86" i="18"/>
  <c r="AT38" i="18"/>
  <c r="AR46" i="18"/>
  <c r="AT58" i="18"/>
  <c r="AR63" i="18"/>
  <c r="AP54" i="18"/>
  <c r="AP70" i="18"/>
  <c r="AO75" i="18"/>
  <c r="AO83" i="18"/>
  <c r="AO91" i="18"/>
  <c r="AS78" i="18"/>
  <c r="AS94" i="18"/>
  <c r="AO86" i="18"/>
  <c r="AR35" i="18"/>
  <c r="AS46" i="18"/>
  <c r="AR51" i="18"/>
  <c r="AS63" i="18"/>
  <c r="AR67" i="18"/>
  <c r="AR42" i="18"/>
  <c r="AQ54" i="18"/>
  <c r="AQ70" i="18"/>
  <c r="N50" i="18"/>
  <c r="Q54" i="18"/>
  <c r="T51" i="18"/>
  <c r="M50" i="18"/>
  <c r="W51" i="18"/>
  <c r="AA55" i="18"/>
  <c r="Y50" i="18"/>
  <c r="AJ51" i="18"/>
  <c r="T79" i="18"/>
  <c r="Q78" i="18"/>
  <c r="S79" i="18"/>
  <c r="AJ79" i="18"/>
  <c r="AC78" i="18"/>
  <c r="M54" i="18"/>
  <c r="K55" i="18"/>
  <c r="V54" i="18"/>
  <c r="T55" i="18"/>
  <c r="T94" i="18"/>
  <c r="AJ94" i="18"/>
  <c r="V95" i="18"/>
  <c r="AL95" i="18"/>
  <c r="U94" i="18"/>
  <c r="AK94" i="18"/>
  <c r="W95" i="18"/>
  <c r="AM95" i="18"/>
  <c r="V94" i="18"/>
  <c r="AL94" i="18"/>
  <c r="X95" i="18"/>
  <c r="K94" i="18"/>
  <c r="AA94" i="18"/>
  <c r="M95" i="18"/>
  <c r="AC95" i="18"/>
  <c r="P90" i="18"/>
  <c r="AF90" i="18"/>
  <c r="R91" i="18"/>
  <c r="AH91" i="18"/>
  <c r="Q90" i="18"/>
  <c r="AG90" i="18"/>
  <c r="S91" i="18"/>
  <c r="AI91" i="18"/>
  <c r="R90" i="18"/>
  <c r="AH90" i="18"/>
  <c r="T91" i="18"/>
  <c r="AJ91" i="18"/>
  <c r="W90" i="18"/>
  <c r="AM90" i="18"/>
  <c r="Y91" i="18"/>
  <c r="L86" i="18"/>
  <c r="AB86" i="18"/>
  <c r="N87" i="18"/>
  <c r="AD87" i="18"/>
  <c r="M86" i="18"/>
  <c r="AC86" i="18"/>
  <c r="O87" i="18"/>
  <c r="AE87" i="18"/>
  <c r="N86" i="18"/>
  <c r="AD86" i="18"/>
  <c r="P87" i="18"/>
  <c r="AF87" i="18"/>
  <c r="S86" i="18"/>
  <c r="AI86" i="18"/>
  <c r="U87" i="18"/>
  <c r="AK87" i="18"/>
  <c r="AJ82" i="18"/>
  <c r="AD83" i="18"/>
  <c r="Y82" i="18"/>
  <c r="AI83" i="18"/>
  <c r="R82" i="18"/>
  <c r="AH82" i="18"/>
  <c r="T83" i="18"/>
  <c r="AJ83" i="18"/>
  <c r="N83" i="18"/>
  <c r="U82" i="18"/>
  <c r="S83" i="18"/>
  <c r="O82" i="18"/>
  <c r="AE82" i="18"/>
  <c r="Q83" i="18"/>
  <c r="AG83" i="18"/>
  <c r="X79" i="18"/>
  <c r="T78" i="18"/>
  <c r="AJ78" i="18"/>
  <c r="V79" i="18"/>
  <c r="AL79" i="18"/>
  <c r="W78" i="18"/>
  <c r="AM78" i="18"/>
  <c r="Y79" i="18"/>
  <c r="L74" i="18"/>
  <c r="AB74" i="18"/>
  <c r="N75" i="18"/>
  <c r="AD75" i="18"/>
  <c r="M74" i="18"/>
  <c r="AC74" i="18"/>
  <c r="O75" i="18"/>
  <c r="AE75" i="18"/>
  <c r="N74" i="18"/>
  <c r="AD74" i="18"/>
  <c r="P75" i="18"/>
  <c r="AF75" i="18"/>
  <c r="S74" i="18"/>
  <c r="AI74" i="18"/>
  <c r="U75" i="18"/>
  <c r="AK75" i="18"/>
  <c r="X70" i="18"/>
  <c r="J71" i="18"/>
  <c r="Z71" i="18"/>
  <c r="Y70" i="18"/>
  <c r="K71" i="18"/>
  <c r="AA71" i="18"/>
  <c r="J70" i="18"/>
  <c r="J72" i="18" s="1"/>
  <c r="Z70" i="18"/>
  <c r="L71" i="18"/>
  <c r="AB71" i="18"/>
  <c r="O70" i="18"/>
  <c r="AE70" i="18"/>
  <c r="Q71" i="18"/>
  <c r="AG71" i="18"/>
  <c r="T66" i="18"/>
  <c r="AJ66" i="18"/>
  <c r="V67" i="18"/>
  <c r="AL67" i="18"/>
  <c r="U66" i="18"/>
  <c r="AK66" i="18"/>
  <c r="W67" i="18"/>
  <c r="AM67" i="18"/>
  <c r="V66" i="18"/>
  <c r="X67" i="18"/>
  <c r="K66" i="18"/>
  <c r="AA66" i="18"/>
  <c r="M67" i="18"/>
  <c r="AC67" i="18"/>
  <c r="P62" i="18"/>
  <c r="AF62" i="18"/>
  <c r="R63" i="18"/>
  <c r="AH63" i="18"/>
  <c r="Q62" i="18"/>
  <c r="AG62" i="18"/>
  <c r="S63" i="18"/>
  <c r="AI63" i="18"/>
  <c r="R62" i="18"/>
  <c r="AH62" i="18"/>
  <c r="T63" i="18"/>
  <c r="AP75" i="18"/>
  <c r="AP90" i="18"/>
  <c r="AT95" i="18"/>
  <c r="AT46" i="18"/>
  <c r="AS42" i="18"/>
  <c r="AN70" i="18"/>
  <c r="AB51" i="18"/>
  <c r="AI51" i="18"/>
  <c r="AH50" i="18"/>
  <c r="Z54" i="18"/>
  <c r="AG50" i="18"/>
  <c r="L79" i="18"/>
  <c r="AE79" i="18"/>
  <c r="V78" i="18"/>
  <c r="AL78" i="18"/>
  <c r="U54" i="18"/>
  <c r="AB55" i="18"/>
  <c r="L55" i="18"/>
  <c r="X94" i="18"/>
  <c r="N95" i="18"/>
  <c r="AH95" i="18"/>
  <c r="Y94" i="18"/>
  <c r="O95" i="18"/>
  <c r="AI95" i="18"/>
  <c r="Z94" i="18"/>
  <c r="P95" i="18"/>
  <c r="AJ95" i="18"/>
  <c r="AE94" i="18"/>
  <c r="U95" i="18"/>
  <c r="L90" i="18"/>
  <c r="AJ90" i="18"/>
  <c r="Z91" i="18"/>
  <c r="M90" i="18"/>
  <c r="AK90" i="18"/>
  <c r="AA91" i="18"/>
  <c r="N90" i="18"/>
  <c r="AL90" i="18"/>
  <c r="AB91" i="18"/>
  <c r="S90" i="18"/>
  <c r="M91" i="18"/>
  <c r="AG91" i="18"/>
  <c r="X86" i="18"/>
  <c r="R87" i="18"/>
  <c r="AL87" i="18"/>
  <c r="Y86" i="18"/>
  <c r="S87" i="18"/>
  <c r="AM87" i="18"/>
  <c r="Z86" i="18"/>
  <c r="T87" i="18"/>
  <c r="K86" i="18"/>
  <c r="AE86" i="18"/>
  <c r="Y87" i="18"/>
  <c r="T82" i="18"/>
  <c r="V83" i="18"/>
  <c r="AG82" i="18"/>
  <c r="J82" i="18"/>
  <c r="J84" i="18" s="1"/>
  <c r="AD82" i="18"/>
  <c r="X83" i="18"/>
  <c r="X82" i="18"/>
  <c r="M82" i="18"/>
  <c r="W83" i="18"/>
  <c r="W82" i="18"/>
  <c r="M83" i="18"/>
  <c r="AK83" i="18"/>
  <c r="L78" i="18"/>
  <c r="AF78" i="18"/>
  <c r="Z79" i="18"/>
  <c r="O78" i="18"/>
  <c r="AI78" i="18"/>
  <c r="AC79" i="18"/>
  <c r="T74" i="18"/>
  <c r="J75" i="18"/>
  <c r="AH75" i="18"/>
  <c r="U74" i="18"/>
  <c r="K75" i="18"/>
  <c r="AI75" i="18"/>
  <c r="V74" i="18"/>
  <c r="L75" i="18"/>
  <c r="AJ75" i="18"/>
  <c r="AA74" i="18"/>
  <c r="Q75" i="18"/>
  <c r="L70" i="18"/>
  <c r="AF70" i="18"/>
  <c r="V71" i="18"/>
  <c r="AC70" i="18"/>
  <c r="S71" i="18"/>
  <c r="AM71" i="18"/>
  <c r="AD70" i="18"/>
  <c r="T71" i="18"/>
  <c r="K70" i="18"/>
  <c r="AI70" i="18"/>
  <c r="Y71" i="18"/>
  <c r="P66" i="18"/>
  <c r="J67" i="18"/>
  <c r="AD67" i="18"/>
  <c r="Q66" i="18"/>
  <c r="K67" i="18"/>
  <c r="AE67" i="18"/>
  <c r="R66" i="18"/>
  <c r="L67" i="18"/>
  <c r="AF67" i="18"/>
  <c r="W66" i="18"/>
  <c r="Q67" i="18"/>
  <c r="AK67" i="18"/>
  <c r="AB62" i="18"/>
  <c r="V63" i="18"/>
  <c r="AC62" i="18"/>
  <c r="W63" i="18"/>
  <c r="J62" i="18"/>
  <c r="J64" i="18" s="1"/>
  <c r="AD62" i="18"/>
  <c r="X63" i="18"/>
  <c r="K62" i="18"/>
  <c r="AA62" i="18"/>
  <c r="M63" i="18"/>
  <c r="AC63" i="18"/>
  <c r="P58" i="18"/>
  <c r="AF58" i="18"/>
  <c r="R59" i="18"/>
  <c r="AH59" i="18"/>
  <c r="Q58" i="18"/>
  <c r="AG58" i="18"/>
  <c r="S59" i="18"/>
  <c r="AI59" i="18"/>
  <c r="R58" i="18"/>
  <c r="AH58" i="18"/>
  <c r="T59" i="18"/>
  <c r="AJ59" i="18"/>
  <c r="W58" i="18"/>
  <c r="AM58" i="18"/>
  <c r="Y59" i="18"/>
  <c r="W55" i="18"/>
  <c r="T54" i="18"/>
  <c r="AJ54" i="18"/>
  <c r="V55" i="18"/>
  <c r="W54" i="18"/>
  <c r="AM54" i="18"/>
  <c r="Y55" i="18"/>
  <c r="P51" i="18"/>
  <c r="P50" i="18"/>
  <c r="AF50" i="18"/>
  <c r="R51" i="18"/>
  <c r="AH51" i="18"/>
  <c r="S50" i="18"/>
  <c r="AI50" i="18"/>
  <c r="U51" i="18"/>
  <c r="AK51" i="18"/>
  <c r="X46" i="18"/>
  <c r="J47" i="18"/>
  <c r="Z47" i="18"/>
  <c r="Y46" i="18"/>
  <c r="K47" i="18"/>
  <c r="AA47" i="18"/>
  <c r="J46" i="18"/>
  <c r="J48" i="18" s="1"/>
  <c r="Z46" i="18"/>
  <c r="L47" i="18"/>
  <c r="AB47" i="18"/>
  <c r="O46" i="18"/>
  <c r="AE46" i="18"/>
  <c r="Q47" i="18"/>
  <c r="AG47" i="18"/>
  <c r="T42" i="18"/>
  <c r="AJ42" i="18"/>
  <c r="V43" i="18"/>
  <c r="U42" i="18"/>
  <c r="AK42" i="18"/>
  <c r="W43" i="18"/>
  <c r="AM43" i="18"/>
  <c r="V42" i="18"/>
  <c r="X43" i="18"/>
  <c r="K42" i="18"/>
  <c r="AA42" i="18"/>
  <c r="M43" i="18"/>
  <c r="AC43" i="18"/>
  <c r="P38" i="18"/>
  <c r="AF38" i="18"/>
  <c r="R39" i="18"/>
  <c r="AH39" i="18"/>
  <c r="Q38" i="18"/>
  <c r="AG38" i="18"/>
  <c r="S39" i="18"/>
  <c r="AI39" i="18"/>
  <c r="R38" i="18"/>
  <c r="AH38" i="18"/>
  <c r="T39" i="18"/>
  <c r="AJ39" i="18"/>
  <c r="W38" i="18"/>
  <c r="AM38" i="18"/>
  <c r="Y39" i="18"/>
  <c r="K34" i="18"/>
  <c r="X35" i="18"/>
  <c r="AI34" i="18"/>
  <c r="S34" i="18"/>
  <c r="AM35" i="18"/>
  <c r="W35" i="18"/>
  <c r="AH34" i="18"/>
  <c r="R34" i="18"/>
  <c r="V35" i="18"/>
  <c r="AG34" i="18"/>
  <c r="Q34" i="18"/>
  <c r="AK35" i="18"/>
  <c r="U35" i="18"/>
  <c r="AF34" i="18"/>
  <c r="AE51" i="18"/>
  <c r="AM79" i="18"/>
  <c r="U78" i="18"/>
  <c r="AC54" i="18"/>
  <c r="AF55" i="18"/>
  <c r="AC94" i="18"/>
  <c r="J94" i="18"/>
  <c r="J96" i="18" s="1"/>
  <c r="T95" i="18"/>
  <c r="AI94" i="18"/>
  <c r="T90" i="18"/>
  <c r="AD91" i="18"/>
  <c r="K91" i="18"/>
  <c r="V90" i="18"/>
  <c r="AF91" i="18"/>
  <c r="Q91" i="18"/>
  <c r="AF86" i="18"/>
  <c r="AG86" i="18"/>
  <c r="J86" i="18"/>
  <c r="J88" i="18" s="1"/>
  <c r="X87" i="18"/>
  <c r="AM86" i="18"/>
  <c r="AB82" i="18"/>
  <c r="O83" i="18"/>
  <c r="AL82" i="18"/>
  <c r="AF82" i="18"/>
  <c r="AE83" i="18"/>
  <c r="U83" i="18"/>
  <c r="P78" i="18"/>
  <c r="AD79" i="18"/>
  <c r="M79" i="18"/>
  <c r="X74" i="18"/>
  <c r="AL75" i="18"/>
  <c r="S75" i="18"/>
  <c r="Z74" i="18"/>
  <c r="K74" i="18"/>
  <c r="Y75" i="18"/>
  <c r="AJ70" i="18"/>
  <c r="M70" i="18"/>
  <c r="W71" i="18"/>
  <c r="AH70" i="18"/>
  <c r="S70" i="18"/>
  <c r="AC71" i="18"/>
  <c r="N67" i="18"/>
  <c r="Y66" i="18"/>
  <c r="AI67" i="18"/>
  <c r="P67" i="18"/>
  <c r="AE66" i="18"/>
  <c r="L62" i="18"/>
  <c r="Z63" i="18"/>
  <c r="AK62" i="18"/>
  <c r="N62" i="18"/>
  <c r="AB63" i="18"/>
  <c r="AE62" i="18"/>
  <c r="T58" i="18"/>
  <c r="V59" i="18"/>
  <c r="U58" i="18"/>
  <c r="W59" i="18"/>
  <c r="V58" i="18"/>
  <c r="X59" i="18"/>
  <c r="AA58" i="18"/>
  <c r="AC59" i="18"/>
  <c r="X54" i="18"/>
  <c r="Z55" i="18"/>
  <c r="AA54" i="18"/>
  <c r="AC55" i="18"/>
  <c r="T50" i="18"/>
  <c r="V51" i="18"/>
  <c r="W50" i="18"/>
  <c r="Y51" i="18"/>
  <c r="L46" i="18"/>
  <c r="N47" i="18"/>
  <c r="M46" i="18"/>
  <c r="O47" i="18"/>
  <c r="N46" i="18"/>
  <c r="P47" i="18"/>
  <c r="S46" i="18"/>
  <c r="AK47" i="18"/>
  <c r="J43" i="18"/>
  <c r="Y42" i="18"/>
  <c r="AA43" i="18"/>
  <c r="Z42" i="18"/>
  <c r="AB43" i="18"/>
  <c r="AE42" i="18"/>
  <c r="AG43" i="18"/>
  <c r="AJ38" i="18"/>
  <c r="AK38" i="18"/>
  <c r="AM39" i="18"/>
  <c r="K38" i="18"/>
  <c r="M39" i="18"/>
  <c r="AJ35" i="18"/>
  <c r="AE34" i="18"/>
  <c r="AI35" i="18"/>
  <c r="AD34" i="18"/>
  <c r="AH35" i="18"/>
  <c r="AC34" i="18"/>
  <c r="AG35" i="18"/>
  <c r="AQ83" i="18"/>
  <c r="AQ86" i="18"/>
  <c r="P34" i="18"/>
  <c r="AR38" i="18"/>
  <c r="AT63" i="18"/>
  <c r="AO54" i="18"/>
  <c r="P55" i="18"/>
  <c r="J50" i="18"/>
  <c r="J52" i="18" s="1"/>
  <c r="K51" i="18"/>
  <c r="O51" i="18"/>
  <c r="K79" i="18"/>
  <c r="N78" i="18"/>
  <c r="N54" i="18"/>
  <c r="AB94" i="18"/>
  <c r="R95" i="18"/>
  <c r="S95" i="18"/>
  <c r="AD94" i="18"/>
  <c r="O94" i="18"/>
  <c r="Y95" i="18"/>
  <c r="J91" i="18"/>
  <c r="U90" i="18"/>
  <c r="AE91" i="18"/>
  <c r="L91" i="18"/>
  <c r="AA90" i="18"/>
  <c r="AK91" i="18"/>
  <c r="V87" i="18"/>
  <c r="W87" i="18"/>
  <c r="AH86" i="18"/>
  <c r="O86" i="18"/>
  <c r="AC87" i="18"/>
  <c r="AH83" i="18"/>
  <c r="N82" i="18"/>
  <c r="AB83" i="18"/>
  <c r="AC82" i="18"/>
  <c r="AA82" i="18"/>
  <c r="AH78" i="18"/>
  <c r="J79" i="18"/>
  <c r="S78" i="18"/>
  <c r="AG79" i="18"/>
  <c r="R75" i="18"/>
  <c r="Y74" i="18"/>
  <c r="AM75" i="18"/>
  <c r="T75" i="18"/>
  <c r="AE74" i="18"/>
  <c r="P70" i="18"/>
  <c r="AD71" i="18"/>
  <c r="AG70" i="18"/>
  <c r="N70" i="18"/>
  <c r="X71" i="18"/>
  <c r="AM70" i="18"/>
  <c r="X66" i="18"/>
  <c r="AH67" i="18"/>
  <c r="O67" i="18"/>
  <c r="Z66" i="18"/>
  <c r="AJ67" i="18"/>
  <c r="U67" i="18"/>
  <c r="AJ62" i="18"/>
  <c r="M62" i="18"/>
  <c r="AA63" i="18"/>
  <c r="O62" i="18"/>
  <c r="Q63" i="18"/>
  <c r="AG63" i="18"/>
  <c r="AJ58" i="18"/>
  <c r="AK58" i="18"/>
  <c r="AM59" i="18"/>
  <c r="K58" i="18"/>
  <c r="M59" i="18"/>
  <c r="AE55" i="18"/>
  <c r="J55" i="18"/>
  <c r="K54" i="18"/>
  <c r="M55" i="18"/>
  <c r="X51" i="18"/>
  <c r="AJ50" i="18"/>
  <c r="AM50" i="18"/>
  <c r="AB46" i="18"/>
  <c r="AD47" i="18"/>
  <c r="AC46" i="18"/>
  <c r="AE47" i="18"/>
  <c r="AD46" i="18"/>
  <c r="AF47" i="18"/>
  <c r="AI46" i="18"/>
  <c r="U47" i="18"/>
  <c r="X42" i="18"/>
  <c r="Z43" i="18"/>
  <c r="K43" i="18"/>
  <c r="J42" i="18"/>
  <c r="J44" i="18" s="1"/>
  <c r="L43" i="18"/>
  <c r="O42" i="18"/>
  <c r="Q43" i="18"/>
  <c r="T38" i="18"/>
  <c r="V39" i="18"/>
  <c r="U38" i="18"/>
  <c r="W39" i="18"/>
  <c r="V38" i="18"/>
  <c r="X39" i="18"/>
  <c r="AA38" i="18"/>
  <c r="AC39" i="18"/>
  <c r="T35" i="18"/>
  <c r="O34" i="18"/>
  <c r="S35" i="18"/>
  <c r="N34" i="18"/>
  <c r="R35" i="18"/>
  <c r="M34" i="18"/>
  <c r="Q35" i="18"/>
  <c r="AP83" i="18"/>
  <c r="AP86" i="18"/>
  <c r="AS35" i="18"/>
  <c r="AS67" i="18"/>
  <c r="X55" i="18"/>
  <c r="AD54" i="18"/>
  <c r="R94" i="18"/>
  <c r="Q95" i="18"/>
  <c r="W91" i="18"/>
  <c r="O90" i="18"/>
  <c r="J87" i="18"/>
  <c r="AL86" i="18"/>
  <c r="AG87" i="18"/>
  <c r="AF83" i="18"/>
  <c r="AI82" i="18"/>
  <c r="N79" i="18"/>
  <c r="AK79" i="18"/>
  <c r="AG74" i="18"/>
  <c r="X75" i="18"/>
  <c r="T70" i="18"/>
  <c r="U70" i="18"/>
  <c r="P71" i="18"/>
  <c r="L66" i="18"/>
  <c r="AG66" i="18"/>
  <c r="AB67" i="18"/>
  <c r="V62" i="18"/>
  <c r="AI62" i="18"/>
  <c r="J59" i="18"/>
  <c r="K59" i="18"/>
  <c r="L59" i="18"/>
  <c r="Q59" i="18"/>
  <c r="N55" i="18"/>
  <c r="Q55" i="18"/>
  <c r="J51" i="18"/>
  <c r="M51" i="18"/>
  <c r="R47" i="18"/>
  <c r="AM47" i="18"/>
  <c r="K46" i="18"/>
  <c r="R43" i="18"/>
  <c r="O43" i="18"/>
  <c r="P43" i="18"/>
  <c r="U43" i="18"/>
  <c r="Z39" i="18"/>
  <c r="Z38" i="18"/>
  <c r="AE38" i="18"/>
  <c r="P35" i="18"/>
  <c r="O35" i="18"/>
  <c r="N35" i="18"/>
  <c r="T34" i="18"/>
  <c r="AQ91" i="18"/>
  <c r="AT35" i="18"/>
  <c r="AS38" i="18"/>
  <c r="AR58" i="18"/>
  <c r="AT51" i="18"/>
  <c r="AT42" i="18"/>
  <c r="U50" i="18"/>
  <c r="V50" i="18"/>
  <c r="Q50" i="18"/>
  <c r="R78" i="18"/>
  <c r="AB79" i="18"/>
  <c r="M78" i="18"/>
  <c r="AI79" i="18"/>
  <c r="J95" i="18"/>
  <c r="M94" i="18"/>
  <c r="AA95" i="18"/>
  <c r="AH94" i="18"/>
  <c r="S94" i="18"/>
  <c r="AG95" i="18"/>
  <c r="N91" i="18"/>
  <c r="Y90" i="18"/>
  <c r="AM91" i="18"/>
  <c r="P91" i="18"/>
  <c r="AE90" i="18"/>
  <c r="P86" i="18"/>
  <c r="Z87" i="18"/>
  <c r="U86" i="18"/>
  <c r="AI87" i="18"/>
  <c r="L87" i="18"/>
  <c r="AA86" i="18"/>
  <c r="L82" i="18"/>
  <c r="Q82" i="18"/>
  <c r="Z82" i="18"/>
  <c r="P82" i="18"/>
  <c r="K83" i="18"/>
  <c r="AM82" i="18"/>
  <c r="AF79" i="18"/>
  <c r="R79" i="18"/>
  <c r="AE78" i="18"/>
  <c r="P74" i="18"/>
  <c r="Z75" i="18"/>
  <c r="AK74" i="18"/>
  <c r="R74" i="18"/>
  <c r="AB75" i="18"/>
  <c r="M75" i="18"/>
  <c r="AB70" i="18"/>
  <c r="AL71" i="18"/>
  <c r="AK70" i="18"/>
  <c r="R70" i="18"/>
  <c r="AF71" i="18"/>
  <c r="M71" i="18"/>
  <c r="AB66" i="18"/>
  <c r="S67" i="18"/>
  <c r="AD66" i="18"/>
  <c r="O66" i="18"/>
  <c r="Y67" i="18"/>
  <c r="J63" i="18"/>
  <c r="O63" i="18"/>
  <c r="Z62" i="18"/>
  <c r="AJ63" i="18"/>
  <c r="AM62" i="18"/>
  <c r="L58" i="18"/>
  <c r="N59" i="18"/>
  <c r="M58" i="18"/>
  <c r="O59" i="18"/>
  <c r="N58" i="18"/>
  <c r="P59" i="18"/>
  <c r="S58" i="18"/>
  <c r="U59" i="18"/>
  <c r="P54" i="18"/>
  <c r="R55" i="18"/>
  <c r="S54" i="18"/>
  <c r="U55" i="18"/>
  <c r="L50" i="18"/>
  <c r="N51" i="18"/>
  <c r="O50" i="18"/>
  <c r="Q51" i="18"/>
  <c r="T46" i="18"/>
  <c r="V47" i="18"/>
  <c r="Q46" i="18"/>
  <c r="S47" i="18"/>
  <c r="R46" i="18"/>
  <c r="T47" i="18"/>
  <c r="W46" i="18"/>
  <c r="Y47" i="18"/>
  <c r="AB42" i="18"/>
  <c r="AD43" i="18"/>
  <c r="Q42" i="18"/>
  <c r="S43" i="18"/>
  <c r="R42" i="18"/>
  <c r="T43" i="18"/>
  <c r="W42" i="18"/>
  <c r="Y43" i="18"/>
  <c r="AB38" i="18"/>
  <c r="AD39" i="18"/>
  <c r="AC38" i="18"/>
  <c r="AE39" i="18"/>
  <c r="AD38" i="18"/>
  <c r="AF39" i="18"/>
  <c r="AI38" i="18"/>
  <c r="AK39" i="18"/>
  <c r="AM34" i="18"/>
  <c r="L35" i="18"/>
  <c r="L34" i="18"/>
  <c r="AK34" i="18"/>
  <c r="K35" i="18"/>
  <c r="AJ34" i="18"/>
  <c r="S51" i="18"/>
  <c r="AT78" i="18"/>
  <c r="AS58" i="18"/>
  <c r="AS51" i="18"/>
  <c r="AN54" i="18"/>
  <c r="R50" i="18"/>
  <c r="AD50" i="18"/>
  <c r="AM51" i="18"/>
  <c r="AA51" i="18"/>
  <c r="AG78" i="18"/>
  <c r="AD78" i="18"/>
  <c r="AK54" i="18"/>
  <c r="L94" i="18"/>
  <c r="Z95" i="18"/>
  <c r="Q94" i="18"/>
  <c r="AE95" i="18"/>
  <c r="L95" i="18"/>
  <c r="W94" i="18"/>
  <c r="AK95" i="18"/>
  <c r="V91" i="18"/>
  <c r="AC90" i="18"/>
  <c r="J90" i="18"/>
  <c r="J92" i="18" s="1"/>
  <c r="X91" i="18"/>
  <c r="AI90" i="18"/>
  <c r="T86" i="18"/>
  <c r="AH87" i="18"/>
  <c r="AK86" i="18"/>
  <c r="R86" i="18"/>
  <c r="AB87" i="18"/>
  <c r="M87" i="18"/>
  <c r="J83" i="18"/>
  <c r="AA83" i="18"/>
  <c r="L83" i="18"/>
  <c r="Z83" i="18"/>
  <c r="K82" i="18"/>
  <c r="Y83" i="18"/>
  <c r="X78" i="18"/>
  <c r="AH79" i="18"/>
  <c r="Q79" i="18"/>
  <c r="AF74" i="18"/>
  <c r="W75" i="18"/>
  <c r="AH74" i="18"/>
  <c r="O74" i="18"/>
  <c r="AC75" i="18"/>
  <c r="N71" i="18"/>
  <c r="O71" i="18"/>
  <c r="V70" i="18"/>
  <c r="AJ71" i="18"/>
  <c r="U71" i="18"/>
  <c r="AF66" i="18"/>
  <c r="M66" i="18"/>
  <c r="AA67" i="18"/>
  <c r="AH66" i="18"/>
  <c r="S66" i="18"/>
  <c r="AG67" i="18"/>
  <c r="N63" i="18"/>
  <c r="U62" i="18"/>
  <c r="AE63" i="18"/>
  <c r="L63" i="18"/>
  <c r="S62" i="18"/>
  <c r="U63" i="18"/>
  <c r="X58" i="18"/>
  <c r="Z59" i="18"/>
  <c r="Y58" i="18"/>
  <c r="AA59" i="18"/>
  <c r="Z58" i="18"/>
  <c r="AB59" i="18"/>
  <c r="AE58" i="18"/>
  <c r="AG59" i="18"/>
  <c r="AB54" i="18"/>
  <c r="AD55" i="18"/>
  <c r="AE54" i="18"/>
  <c r="AG55" i="18"/>
  <c r="X50" i="18"/>
  <c r="Z51" i="18"/>
  <c r="AA50" i="18"/>
  <c r="AC51" i="18"/>
  <c r="AF46" i="18"/>
  <c r="AH47" i="18"/>
  <c r="U46" i="18"/>
  <c r="W47" i="18"/>
  <c r="V46" i="18"/>
  <c r="X47" i="18"/>
  <c r="AA46" i="18"/>
  <c r="AC47" i="18"/>
  <c r="AF42" i="18"/>
  <c r="AH43" i="18"/>
  <c r="AC42" i="18"/>
  <c r="AE43" i="18"/>
  <c r="AD42" i="18"/>
  <c r="AF43" i="18"/>
  <c r="AI42" i="18"/>
  <c r="AK43" i="18"/>
  <c r="J39" i="18"/>
  <c r="K39" i="18"/>
  <c r="J38" i="18"/>
  <c r="J40" i="18" s="1"/>
  <c r="L39" i="18"/>
  <c r="O38" i="18"/>
  <c r="Q39" i="18"/>
  <c r="AF35" i="18"/>
  <c r="AA34" i="18"/>
  <c r="AE35" i="18"/>
  <c r="Z34" i="18"/>
  <c r="AD35" i="18"/>
  <c r="Y34" i="18"/>
  <c r="AC35" i="18"/>
  <c r="AB34" i="18"/>
  <c r="AT67" i="18"/>
  <c r="AO70" i="18"/>
  <c r="AH54" i="18"/>
  <c r="J54" i="18"/>
  <c r="J56" i="18" s="1"/>
  <c r="J78" i="18"/>
  <c r="J80" i="18" s="1"/>
  <c r="Y78" i="18"/>
  <c r="AA79" i="18"/>
  <c r="S55" i="18"/>
  <c r="P94" i="18"/>
  <c r="AD95" i="18"/>
  <c r="AG94" i="18"/>
  <c r="N94" i="18"/>
  <c r="AB95" i="18"/>
  <c r="AM94" i="18"/>
  <c r="X90" i="18"/>
  <c r="AL91" i="18"/>
  <c r="O91" i="18"/>
  <c r="Z90" i="18"/>
  <c r="K90" i="18"/>
  <c r="U91" i="18"/>
  <c r="AJ86" i="18"/>
  <c r="K87" i="18"/>
  <c r="V86" i="18"/>
  <c r="AJ87" i="18"/>
  <c r="Q87" i="18"/>
  <c r="R83" i="18"/>
  <c r="AM83" i="18"/>
  <c r="P83" i="18"/>
  <c r="AL83" i="18"/>
  <c r="S82" i="18"/>
  <c r="AC83" i="18"/>
  <c r="AB78" i="18"/>
  <c r="K78" i="18"/>
  <c r="U79" i="18"/>
  <c r="AJ74" i="18"/>
  <c r="Q74" i="18"/>
  <c r="AA75" i="18"/>
  <c r="AL74" i="18"/>
  <c r="W74" i="18"/>
  <c r="AG75" i="18"/>
  <c r="R71" i="18"/>
  <c r="Q70" i="18"/>
  <c r="AE71" i="18"/>
  <c r="AL70" i="18"/>
  <c r="W70" i="18"/>
  <c r="AK71" i="18"/>
  <c r="R67" i="18"/>
  <c r="AC66" i="18"/>
  <c r="J66" i="18"/>
  <c r="J68" i="18" s="1"/>
  <c r="T67" i="18"/>
  <c r="AI66" i="18"/>
  <c r="T62" i="18"/>
  <c r="AD63" i="18"/>
  <c r="Y62" i="18"/>
  <c r="AM63" i="18"/>
  <c r="P63" i="18"/>
  <c r="W62" i="18"/>
  <c r="Y63" i="18"/>
  <c r="AB58" i="18"/>
  <c r="AD59" i="18"/>
  <c r="AC58" i="18"/>
  <c r="AE59" i="18"/>
  <c r="AD58" i="18"/>
  <c r="AF59" i="18"/>
  <c r="AI58" i="18"/>
  <c r="AK59" i="18"/>
  <c r="AF54" i="18"/>
  <c r="AH55" i="18"/>
  <c r="AI54" i="18"/>
  <c r="AK55" i="18"/>
  <c r="AB50" i="18"/>
  <c r="AD51" i="18"/>
  <c r="AE50" i="18"/>
  <c r="AG51" i="18"/>
  <c r="AJ46" i="18"/>
  <c r="AG46" i="18"/>
  <c r="AI47" i="18"/>
  <c r="AH46" i="18"/>
  <c r="AJ47" i="18"/>
  <c r="AM46" i="18"/>
  <c r="L42" i="18"/>
  <c r="N43" i="18"/>
  <c r="AG42" i="18"/>
  <c r="AI43" i="18"/>
  <c r="AH42" i="18"/>
  <c r="AJ43" i="18"/>
  <c r="AM42" i="18"/>
  <c r="L38" i="18"/>
  <c r="N39" i="18"/>
  <c r="M38" i="18"/>
  <c r="O39" i="18"/>
  <c r="N38" i="18"/>
  <c r="P39" i="18"/>
  <c r="S38" i="18"/>
  <c r="U39" i="18"/>
  <c r="AB35" i="18"/>
  <c r="W34" i="18"/>
  <c r="AA35" i="18"/>
  <c r="V34" i="18"/>
  <c r="Z35" i="18"/>
  <c r="U34" i="18"/>
  <c r="Y35" i="18"/>
  <c r="X34" i="18"/>
  <c r="AK50" i="18"/>
  <c r="O79" i="18"/>
  <c r="Z78" i="18"/>
  <c r="AF94" i="18"/>
  <c r="K95" i="18"/>
  <c r="AF95" i="18"/>
  <c r="AB90" i="18"/>
  <c r="AD90" i="18"/>
  <c r="AC91" i="18"/>
  <c r="Q86" i="18"/>
  <c r="AA87" i="18"/>
  <c r="W86" i="18"/>
  <c r="V82" i="18"/>
  <c r="AK82" i="18"/>
  <c r="P79" i="18"/>
  <c r="AA78" i="18"/>
  <c r="V75" i="18"/>
  <c r="J74" i="18"/>
  <c r="J76" i="18" s="1"/>
  <c r="AM74" i="18"/>
  <c r="AH71" i="18"/>
  <c r="AI71" i="18"/>
  <c r="AA70" i="18"/>
  <c r="Z67" i="18"/>
  <c r="N66" i="18"/>
  <c r="AM66" i="18"/>
  <c r="X62" i="18"/>
  <c r="K63" i="18"/>
  <c r="AF63" i="18"/>
  <c r="AK63" i="18"/>
  <c r="J58" i="18"/>
  <c r="J60" i="18" s="1"/>
  <c r="O58" i="18"/>
  <c r="L54" i="18"/>
  <c r="O54" i="18"/>
  <c r="AF51" i="18"/>
  <c r="K50" i="18"/>
  <c r="P46" i="18"/>
  <c r="AK46" i="18"/>
  <c r="M47" i="18"/>
  <c r="P42" i="18"/>
  <c r="M42" i="18"/>
  <c r="N42" i="18"/>
  <c r="S42" i="18"/>
  <c r="X38" i="18"/>
  <c r="Y38" i="18"/>
  <c r="AA39" i="18"/>
  <c r="AB39" i="18"/>
  <c r="AG39" i="18"/>
  <c r="J34" i="18"/>
  <c r="J36" i="18" s="1"/>
  <c r="J35" i="18"/>
  <c r="M35" i="18"/>
  <c r="BR57" i="5"/>
  <c r="BR32" i="5"/>
  <c r="BR54" i="5"/>
  <c r="BR30" i="5"/>
  <c r="BR62" i="5"/>
  <c r="BR38" i="5"/>
  <c r="BR29" i="5"/>
  <c r="BR46" i="5"/>
  <c r="BR35" i="5"/>
  <c r="BR65" i="5"/>
  <c r="BR49" i="5"/>
  <c r="BR41" i="5"/>
  <c r="BE30" i="15"/>
  <c r="BE29" i="15"/>
  <c r="AY66" i="16" l="1"/>
  <c r="K80" i="18"/>
  <c r="L80" i="18" s="1"/>
  <c r="M80" i="18" s="1"/>
  <c r="N80" i="18" s="1"/>
  <c r="O80" i="18" s="1"/>
  <c r="P80" i="18" s="1"/>
  <c r="Q80" i="18" s="1"/>
  <c r="R80" i="18" s="1"/>
  <c r="S80" i="18" s="1"/>
  <c r="T80" i="18" s="1"/>
  <c r="U80" i="18" s="1"/>
  <c r="V80" i="18" s="1"/>
  <c r="W80" i="18" s="1"/>
  <c r="X80" i="18" s="1"/>
  <c r="Y80" i="18" s="1"/>
  <c r="Z80" i="18" s="1"/>
  <c r="AA80" i="18" s="1"/>
  <c r="AB80" i="18" s="1"/>
  <c r="AC80" i="18" s="1"/>
  <c r="AD80" i="18" s="1"/>
  <c r="AE80" i="18" s="1"/>
  <c r="AF80" i="18" s="1"/>
  <c r="AG80" i="18" s="1"/>
  <c r="AH80" i="18" s="1"/>
  <c r="AI80" i="18" s="1"/>
  <c r="AJ80" i="18" s="1"/>
  <c r="AK80" i="18" s="1"/>
  <c r="AL80" i="18" s="1"/>
  <c r="AM80" i="18" s="1"/>
  <c r="AN80" i="18" s="1"/>
  <c r="AO80" i="18" s="1"/>
  <c r="AP80" i="18" s="1"/>
  <c r="AQ80" i="18" s="1"/>
  <c r="AR80" i="18" s="1"/>
  <c r="AS80" i="18" s="1"/>
  <c r="AT80" i="18" s="1"/>
  <c r="AU80" i="18" s="1"/>
  <c r="AV80" i="18" s="1"/>
  <c r="AW80" i="18" s="1"/>
  <c r="AX80" i="18" s="1"/>
  <c r="AY80" i="18" s="1"/>
  <c r="AZ80" i="18" s="1"/>
  <c r="BA80" i="18" s="1"/>
  <c r="AY80" i="16"/>
  <c r="AY87" i="16"/>
  <c r="AY45" i="16"/>
  <c r="AY59" i="16"/>
  <c r="BB53" i="16"/>
  <c r="BB50" i="16"/>
  <c r="BB36" i="16"/>
  <c r="BB39" i="16"/>
  <c r="AZ60" i="16"/>
  <c r="AZ57" i="16"/>
  <c r="BA58" i="16"/>
  <c r="BA59" i="16" s="1"/>
  <c r="BB57" i="16"/>
  <c r="BB60" i="16"/>
  <c r="AZ39" i="16"/>
  <c r="BA37" i="16"/>
  <c r="BA38" i="16" s="1"/>
  <c r="AZ36" i="16"/>
  <c r="BA99" i="16"/>
  <c r="BB100" i="16"/>
  <c r="BB101" i="16" s="1"/>
  <c r="BA102" i="16"/>
  <c r="BB95" i="16"/>
  <c r="BB92" i="16"/>
  <c r="BB64" i="16"/>
  <c r="BB67" i="16"/>
  <c r="BA44" i="16"/>
  <c r="BA45" i="16" s="1"/>
  <c r="AZ43" i="16"/>
  <c r="AZ46" i="16"/>
  <c r="BB81" i="16"/>
  <c r="BB78" i="16"/>
  <c r="AZ79" i="16"/>
  <c r="AZ80" i="16" s="1"/>
  <c r="AY81" i="16"/>
  <c r="AY78" i="16"/>
  <c r="BB102" i="16"/>
  <c r="BB99" i="16"/>
  <c r="AZ65" i="16"/>
  <c r="AZ66" i="16" s="1"/>
  <c r="AY64" i="16"/>
  <c r="AY67" i="16"/>
  <c r="AZ53" i="16"/>
  <c r="AZ50" i="16"/>
  <c r="BA51" i="16"/>
  <c r="BA52" i="16" s="1"/>
  <c r="BB71" i="16"/>
  <c r="BB74" i="16"/>
  <c r="BA71" i="16"/>
  <c r="BB72" i="16"/>
  <c r="BB73" i="16" s="1"/>
  <c r="BA74" i="16"/>
  <c r="BB37" i="16"/>
  <c r="BB38" i="16" s="1"/>
  <c r="BA39" i="16"/>
  <c r="BA36" i="16"/>
  <c r="AZ64" i="16"/>
  <c r="AZ67" i="16"/>
  <c r="BA65" i="16"/>
  <c r="BA66" i="16" s="1"/>
  <c r="BA92" i="16"/>
  <c r="BB93" i="16"/>
  <c r="BB94" i="16" s="1"/>
  <c r="BA95" i="16"/>
  <c r="AZ58" i="16"/>
  <c r="AZ59" i="16" s="1"/>
  <c r="AY60" i="16"/>
  <c r="AY57" i="16"/>
  <c r="BB85" i="16"/>
  <c r="BB88" i="16"/>
  <c r="AZ86" i="16"/>
  <c r="AZ87" i="16" s="1"/>
  <c r="AY85" i="16"/>
  <c r="AY88" i="16"/>
  <c r="AZ44" i="16"/>
  <c r="AZ45" i="16" s="1"/>
  <c r="AY43" i="16"/>
  <c r="AY46" i="16"/>
  <c r="BA78" i="16"/>
  <c r="BB79" i="16"/>
  <c r="BB80" i="16" s="1"/>
  <c r="BA81" i="16"/>
  <c r="AZ93" i="16"/>
  <c r="AZ94" i="16" s="1"/>
  <c r="AY94" i="16"/>
  <c r="AY92" i="16"/>
  <c r="AY95" i="16"/>
  <c r="AZ85" i="16"/>
  <c r="BA86" i="16"/>
  <c r="BA87" i="16" s="1"/>
  <c r="AZ88" i="16"/>
  <c r="AZ51" i="16"/>
  <c r="AZ52" i="16" s="1"/>
  <c r="AY52" i="16"/>
  <c r="AY50" i="16"/>
  <c r="AY53" i="16"/>
  <c r="BA57" i="16"/>
  <c r="BB58" i="16"/>
  <c r="BB59" i="16" s="1"/>
  <c r="BA60" i="16"/>
  <c r="BA67" i="16"/>
  <c r="BA64" i="16"/>
  <c r="BB65" i="16"/>
  <c r="BB66" i="16" s="1"/>
  <c r="BB44" i="16"/>
  <c r="BB45" i="16" s="1"/>
  <c r="BA43" i="16"/>
  <c r="BA46" i="16"/>
  <c r="BA72" i="16"/>
  <c r="BA73" i="16" s="1"/>
  <c r="AZ74" i="16"/>
  <c r="AZ71" i="16"/>
  <c r="AY101" i="16"/>
  <c r="AZ100" i="16"/>
  <c r="AZ101" i="16" s="1"/>
  <c r="AY99" i="16"/>
  <c r="AY102" i="16"/>
  <c r="BA93" i="16"/>
  <c r="BA94" i="16" s="1"/>
  <c r="AZ95" i="16"/>
  <c r="AZ92" i="16"/>
  <c r="BB51" i="16"/>
  <c r="BB52" i="16" s="1"/>
  <c r="BA53" i="16"/>
  <c r="BA50" i="16"/>
  <c r="BB43" i="16"/>
  <c r="BB46" i="16"/>
  <c r="AZ72" i="16"/>
  <c r="AZ73" i="16" s="1"/>
  <c r="AY73" i="16"/>
  <c r="AY74" i="16"/>
  <c r="AY71" i="16"/>
  <c r="BA85" i="16"/>
  <c r="BB86" i="16"/>
  <c r="BB87" i="16" s="1"/>
  <c r="BA88" i="16"/>
  <c r="AZ78" i="16"/>
  <c r="AZ81" i="16"/>
  <c r="BA79" i="16"/>
  <c r="BA80" i="16" s="1"/>
  <c r="AZ37" i="16"/>
  <c r="AZ38" i="16" s="1"/>
  <c r="AY39" i="16"/>
  <c r="AY36" i="16"/>
  <c r="BA100" i="16"/>
  <c r="BA101" i="16" s="1"/>
  <c r="AZ102" i="16"/>
  <c r="AZ99" i="16"/>
  <c r="K44" i="18"/>
  <c r="L44" i="18" s="1"/>
  <c r="M44" i="18" s="1"/>
  <c r="N44" i="18" s="1"/>
  <c r="O44" i="18" s="1"/>
  <c r="P44" i="18" s="1"/>
  <c r="Q44" i="18" s="1"/>
  <c r="R44" i="18" s="1"/>
  <c r="S44" i="18" s="1"/>
  <c r="T44" i="18" s="1"/>
  <c r="U44" i="18" s="1"/>
  <c r="V44" i="18" s="1"/>
  <c r="W44" i="18" s="1"/>
  <c r="X44" i="18" s="1"/>
  <c r="Y44" i="18" s="1"/>
  <c r="Z44" i="18" s="1"/>
  <c r="AA44" i="18" s="1"/>
  <c r="AB44" i="18" s="1"/>
  <c r="AC44" i="18" s="1"/>
  <c r="AD44" i="18" s="1"/>
  <c r="AE44" i="18" s="1"/>
  <c r="AF44" i="18" s="1"/>
  <c r="AG44" i="18" s="1"/>
  <c r="AH44" i="18" s="1"/>
  <c r="AI44" i="18" s="1"/>
  <c r="AJ44" i="18" s="1"/>
  <c r="AK44" i="18" s="1"/>
  <c r="K76" i="18"/>
  <c r="L76" i="18" s="1"/>
  <c r="M76" i="18" s="1"/>
  <c r="N76" i="18" s="1"/>
  <c r="O76" i="18" s="1"/>
  <c r="P76" i="18" s="1"/>
  <c r="Q76" i="18" s="1"/>
  <c r="R76" i="18" s="1"/>
  <c r="S76" i="18" s="1"/>
  <c r="T76" i="18" s="1"/>
  <c r="U76" i="18" s="1"/>
  <c r="V76" i="18" s="1"/>
  <c r="W76" i="18" s="1"/>
  <c r="X76" i="18" s="1"/>
  <c r="Y76" i="18" s="1"/>
  <c r="Z76" i="18" s="1"/>
  <c r="AA76" i="18" s="1"/>
  <c r="AB76" i="18" s="1"/>
  <c r="AC76" i="18" s="1"/>
  <c r="AD76" i="18" s="1"/>
  <c r="AE76" i="18" s="1"/>
  <c r="AF76" i="18" s="1"/>
  <c r="AG76" i="18" s="1"/>
  <c r="AH76" i="18" s="1"/>
  <c r="AI76" i="18" s="1"/>
  <c r="AJ76" i="18" s="1"/>
  <c r="AK76" i="18" s="1"/>
  <c r="AL76" i="18" s="1"/>
  <c r="AM76" i="18" s="1"/>
  <c r="AN76" i="18" s="1"/>
  <c r="AO76" i="18" s="1"/>
  <c r="AP76" i="18" s="1"/>
  <c r="AQ76" i="18" s="1"/>
  <c r="AR76" i="18" s="1"/>
  <c r="AS76" i="18" s="1"/>
  <c r="AT76" i="18" s="1"/>
  <c r="AU76" i="18" s="1"/>
  <c r="AV76" i="18" s="1"/>
  <c r="AW76" i="18" s="1"/>
  <c r="AX76" i="18" s="1"/>
  <c r="AY76" i="18" s="1"/>
  <c r="AZ76" i="18" s="1"/>
  <c r="BA76" i="18" s="1"/>
  <c r="K60" i="18"/>
  <c r="L60" i="18" s="1"/>
  <c r="M60" i="18" s="1"/>
  <c r="N60" i="18" s="1"/>
  <c r="O60" i="18" s="1"/>
  <c r="P60" i="18" s="1"/>
  <c r="Q60" i="18" s="1"/>
  <c r="R60" i="18" s="1"/>
  <c r="S60" i="18" s="1"/>
  <c r="T60" i="18" s="1"/>
  <c r="U60" i="18" s="1"/>
  <c r="V60" i="18" s="1"/>
  <c r="W60" i="18" s="1"/>
  <c r="X60" i="18" s="1"/>
  <c r="Y60" i="18" s="1"/>
  <c r="Z60" i="18" s="1"/>
  <c r="AA60" i="18" s="1"/>
  <c r="AB60" i="18" s="1"/>
  <c r="AC60" i="18" s="1"/>
  <c r="AD60" i="18" s="1"/>
  <c r="AE60" i="18" s="1"/>
  <c r="AF60" i="18" s="1"/>
  <c r="AG60" i="18" s="1"/>
  <c r="AH60" i="18" s="1"/>
  <c r="AI60" i="18" s="1"/>
  <c r="AJ60" i="18" s="1"/>
  <c r="AK60" i="18" s="1"/>
  <c r="K88" i="18"/>
  <c r="L88" i="18" s="1"/>
  <c r="M88" i="18" s="1"/>
  <c r="N88" i="18" s="1"/>
  <c r="O88" i="18" s="1"/>
  <c r="P88" i="18" s="1"/>
  <c r="Q88" i="18" s="1"/>
  <c r="R88" i="18" s="1"/>
  <c r="S88" i="18" s="1"/>
  <c r="T88" i="18" s="1"/>
  <c r="U88" i="18" s="1"/>
  <c r="V88" i="18" s="1"/>
  <c r="W88" i="18" s="1"/>
  <c r="X88" i="18" s="1"/>
  <c r="Y88" i="18" s="1"/>
  <c r="Z88" i="18" s="1"/>
  <c r="AA88" i="18" s="1"/>
  <c r="AB88" i="18" s="1"/>
  <c r="AC88" i="18" s="1"/>
  <c r="AD88" i="18" s="1"/>
  <c r="AE88" i="18" s="1"/>
  <c r="AF88" i="18" s="1"/>
  <c r="AG88" i="18" s="1"/>
  <c r="AH88" i="18" s="1"/>
  <c r="AI88" i="18" s="1"/>
  <c r="AJ88" i="18" s="1"/>
  <c r="AK88" i="18" s="1"/>
  <c r="AL88" i="18" s="1"/>
  <c r="AM88" i="18" s="1"/>
  <c r="AN88" i="18" s="1"/>
  <c r="AO88" i="18" s="1"/>
  <c r="AP88" i="18" s="1"/>
  <c r="AQ88" i="18" s="1"/>
  <c r="AR88" i="18" s="1"/>
  <c r="AS88" i="18" s="1"/>
  <c r="AT88" i="18" s="1"/>
  <c r="AU88" i="18" s="1"/>
  <c r="AV88" i="18" s="1"/>
  <c r="AW88" i="18" s="1"/>
  <c r="AX88" i="18" s="1"/>
  <c r="AY88" i="18" s="1"/>
  <c r="AZ88" i="18" s="1"/>
  <c r="BA88" i="18" s="1"/>
  <c r="AL81" i="16"/>
  <c r="AL78" i="16"/>
  <c r="AM79" i="16"/>
  <c r="AM80" i="16" s="1"/>
  <c r="AW78" i="16"/>
  <c r="AW81" i="16"/>
  <c r="AX79" i="16"/>
  <c r="AX80" i="16" s="1"/>
  <c r="AP88" i="16"/>
  <c r="AP85" i="16"/>
  <c r="AQ86" i="16"/>
  <c r="AQ87" i="16" s="1"/>
  <c r="AL88" i="16"/>
  <c r="AL85" i="16"/>
  <c r="AM86" i="16"/>
  <c r="AM87" i="16" s="1"/>
  <c r="AP51" i="16"/>
  <c r="AP52" i="16" s="1"/>
  <c r="AO53" i="16"/>
  <c r="AO50" i="16"/>
  <c r="AV102" i="16"/>
  <c r="AW100" i="16"/>
  <c r="AW101" i="16" s="1"/>
  <c r="AV99" i="16"/>
  <c r="AU67" i="16"/>
  <c r="AV65" i="16"/>
  <c r="AV66" i="16" s="1"/>
  <c r="AU64" i="16"/>
  <c r="AL44" i="16"/>
  <c r="AL45" i="16" s="1"/>
  <c r="AK46" i="16"/>
  <c r="AK43" i="16"/>
  <c r="AH57" i="16"/>
  <c r="AH60" i="16"/>
  <c r="AI58" i="16"/>
  <c r="AI59" i="16" s="1"/>
  <c r="AV88" i="16"/>
  <c r="AV85" i="16"/>
  <c r="AW86" i="16"/>
  <c r="AW87" i="16" s="1"/>
  <c r="AL64" i="16"/>
  <c r="AM65" i="16"/>
  <c r="AM66" i="16" s="1"/>
  <c r="AL67" i="16"/>
  <c r="AQ100" i="16"/>
  <c r="AQ101" i="16" s="1"/>
  <c r="AP102" i="16"/>
  <c r="AP99" i="16"/>
  <c r="AS44" i="16"/>
  <c r="AS45" i="16" s="1"/>
  <c r="AR46" i="16"/>
  <c r="AR43" i="16"/>
  <c r="AL39" i="16"/>
  <c r="AL36" i="16"/>
  <c r="AM37" i="16"/>
  <c r="AM38" i="16" s="1"/>
  <c r="K52" i="18"/>
  <c r="L52" i="18" s="1"/>
  <c r="M52" i="18" s="1"/>
  <c r="N52" i="18" s="1"/>
  <c r="O52" i="18" s="1"/>
  <c r="P52" i="18" s="1"/>
  <c r="Q52" i="18" s="1"/>
  <c r="R52" i="18" s="1"/>
  <c r="S52" i="18" s="1"/>
  <c r="T52" i="18" s="1"/>
  <c r="U52" i="18" s="1"/>
  <c r="V52" i="18" s="1"/>
  <c r="W52" i="18" s="1"/>
  <c r="X52" i="18" s="1"/>
  <c r="Y52" i="18" s="1"/>
  <c r="Z52" i="18" s="1"/>
  <c r="AA52" i="18" s="1"/>
  <c r="AB52" i="18" s="1"/>
  <c r="AC52" i="18" s="1"/>
  <c r="AD52" i="18" s="1"/>
  <c r="AE52" i="18" s="1"/>
  <c r="AF52" i="18" s="1"/>
  <c r="AG52" i="18" s="1"/>
  <c r="AH52" i="18" s="1"/>
  <c r="AI52" i="18" s="1"/>
  <c r="AJ52" i="18" s="1"/>
  <c r="AK52" i="18" s="1"/>
  <c r="K36" i="18"/>
  <c r="L36" i="18" s="1"/>
  <c r="M36" i="18" s="1"/>
  <c r="N36" i="18" s="1"/>
  <c r="O36" i="18" s="1"/>
  <c r="P36" i="18" s="1"/>
  <c r="Q36" i="18" s="1"/>
  <c r="R36" i="18" s="1"/>
  <c r="S36" i="18" s="1"/>
  <c r="T36" i="18" s="1"/>
  <c r="U36" i="18" s="1"/>
  <c r="V36" i="18" s="1"/>
  <c r="W36" i="18" s="1"/>
  <c r="X36" i="18" s="1"/>
  <c r="Y36" i="18" s="1"/>
  <c r="Z36" i="18" s="1"/>
  <c r="AA36" i="18" s="1"/>
  <c r="AB36" i="18" s="1"/>
  <c r="AC36" i="18" s="1"/>
  <c r="AD36" i="18" s="1"/>
  <c r="AE36" i="18" s="1"/>
  <c r="AF36" i="18" s="1"/>
  <c r="AG36" i="18" s="1"/>
  <c r="AH36" i="18" s="1"/>
  <c r="AI36" i="18" s="1"/>
  <c r="AJ36" i="18" s="1"/>
  <c r="AK36" i="18" s="1"/>
  <c r="K68" i="18"/>
  <c r="L68" i="18" s="1"/>
  <c r="M68" i="18" s="1"/>
  <c r="N68" i="18" s="1"/>
  <c r="O68" i="18" s="1"/>
  <c r="P68" i="18" s="1"/>
  <c r="Q68" i="18" s="1"/>
  <c r="R68" i="18" s="1"/>
  <c r="S68" i="18" s="1"/>
  <c r="T68" i="18" s="1"/>
  <c r="U68" i="18" s="1"/>
  <c r="V68" i="18" s="1"/>
  <c r="W68" i="18" s="1"/>
  <c r="X68" i="18" s="1"/>
  <c r="Y68" i="18" s="1"/>
  <c r="Z68" i="18" s="1"/>
  <c r="AA68" i="18" s="1"/>
  <c r="AB68" i="18" s="1"/>
  <c r="AC68" i="18" s="1"/>
  <c r="AD68" i="18" s="1"/>
  <c r="AE68" i="18" s="1"/>
  <c r="AF68" i="18" s="1"/>
  <c r="AG68" i="18" s="1"/>
  <c r="AH68" i="18" s="1"/>
  <c r="AI68" i="18" s="1"/>
  <c r="AJ68" i="18" s="1"/>
  <c r="AK68" i="18" s="1"/>
  <c r="AL68" i="18" s="1"/>
  <c r="AM68" i="18" s="1"/>
  <c r="AN68" i="18" s="1"/>
  <c r="AO68" i="18" s="1"/>
  <c r="AP68" i="18" s="1"/>
  <c r="AQ68" i="18" s="1"/>
  <c r="AR68" i="18" s="1"/>
  <c r="AS68" i="18" s="1"/>
  <c r="AT68" i="18" s="1"/>
  <c r="AU68" i="18" s="1"/>
  <c r="AV68" i="18" s="1"/>
  <c r="AW68" i="18" s="1"/>
  <c r="AX68" i="18" s="1"/>
  <c r="AY68" i="18" s="1"/>
  <c r="AZ68" i="18" s="1"/>
  <c r="BA68" i="18" s="1"/>
  <c r="AH88" i="16"/>
  <c r="AI86" i="16"/>
  <c r="AI87" i="16" s="1"/>
  <c r="AH85" i="16"/>
  <c r="AK50" i="16"/>
  <c r="AK53" i="16"/>
  <c r="AL51" i="16"/>
  <c r="AL52" i="16" s="1"/>
  <c r="AS78" i="16"/>
  <c r="AS81" i="16"/>
  <c r="AT79" i="16"/>
  <c r="AT80" i="16" s="1"/>
  <c r="AO78" i="16"/>
  <c r="AP79" i="16"/>
  <c r="AP80" i="16" s="1"/>
  <c r="AO81" i="16"/>
  <c r="AT67" i="16"/>
  <c r="AT64" i="16"/>
  <c r="AU65" i="16"/>
  <c r="AU66" i="16" s="1"/>
  <c r="AM39" i="16"/>
  <c r="AM36" i="16"/>
  <c r="AN37" i="16"/>
  <c r="AN38" i="16" s="1"/>
  <c r="AS67" i="16"/>
  <c r="AT65" i="16"/>
  <c r="AT66" i="16" s="1"/>
  <c r="AS64" i="16"/>
  <c r="AQ58" i="16"/>
  <c r="AQ59" i="16" s="1"/>
  <c r="AP60" i="16"/>
  <c r="AP57" i="16"/>
  <c r="AR65" i="16"/>
  <c r="AR66" i="16" s="1"/>
  <c r="AQ64" i="16"/>
  <c r="AQ67" i="16"/>
  <c r="AT99" i="16"/>
  <c r="AU100" i="16"/>
  <c r="AU101" i="16" s="1"/>
  <c r="AT102" i="16"/>
  <c r="AM46" i="16"/>
  <c r="AN44" i="16"/>
  <c r="AN45" i="16" s="1"/>
  <c r="AM43" i="16"/>
  <c r="K96" i="18"/>
  <c r="L96" i="18" s="1"/>
  <c r="M96" i="18" s="1"/>
  <c r="N96" i="18" s="1"/>
  <c r="O96" i="18" s="1"/>
  <c r="P96" i="18" s="1"/>
  <c r="Q96" i="18" s="1"/>
  <c r="R96" i="18" s="1"/>
  <c r="S96" i="18" s="1"/>
  <c r="T96" i="18" s="1"/>
  <c r="U96" i="18" s="1"/>
  <c r="V96" i="18" s="1"/>
  <c r="W96" i="18" s="1"/>
  <c r="X96" i="18" s="1"/>
  <c r="Y96" i="18" s="1"/>
  <c r="Z96" i="18" s="1"/>
  <c r="AA96" i="18" s="1"/>
  <c r="AB96" i="18" s="1"/>
  <c r="AC96" i="18" s="1"/>
  <c r="AD96" i="18" s="1"/>
  <c r="AE96" i="18" s="1"/>
  <c r="AF96" i="18" s="1"/>
  <c r="AG96" i="18" s="1"/>
  <c r="AH96" i="18" s="1"/>
  <c r="AI96" i="18" s="1"/>
  <c r="AJ96" i="18" s="1"/>
  <c r="AK96" i="18" s="1"/>
  <c r="AL96" i="18" s="1"/>
  <c r="AM96" i="18" s="1"/>
  <c r="AN96" i="18" s="1"/>
  <c r="AO96" i="18" s="1"/>
  <c r="AP96" i="18" s="1"/>
  <c r="AQ96" i="18" s="1"/>
  <c r="AR96" i="18" s="1"/>
  <c r="AS96" i="18" s="1"/>
  <c r="AT96" i="18" s="1"/>
  <c r="AU96" i="18" s="1"/>
  <c r="AV96" i="18" s="1"/>
  <c r="AW96" i="18" s="1"/>
  <c r="AX96" i="18" s="1"/>
  <c r="AY96" i="18" s="1"/>
  <c r="AZ96" i="18" s="1"/>
  <c r="BA96" i="18" s="1"/>
  <c r="AR81" i="16"/>
  <c r="AS79" i="16"/>
  <c r="AS80" i="16" s="1"/>
  <c r="AR78" i="16"/>
  <c r="AK81" i="16"/>
  <c r="AK78" i="16"/>
  <c r="AL79" i="16"/>
  <c r="AL80" i="16" s="1"/>
  <c r="AH81" i="16"/>
  <c r="AI79" i="16"/>
  <c r="AI80" i="16" s="1"/>
  <c r="AH78" i="16"/>
  <c r="AT78" i="16"/>
  <c r="AT81" i="16"/>
  <c r="AU79" i="16"/>
  <c r="AU80" i="16" s="1"/>
  <c r="AJ81" i="16"/>
  <c r="AJ78" i="16"/>
  <c r="AK79" i="16"/>
  <c r="AK80" i="16" s="1"/>
  <c r="AP81" i="16"/>
  <c r="AP78" i="16"/>
  <c r="AQ79" i="16"/>
  <c r="AQ80" i="16" s="1"/>
  <c r="AW51" i="16"/>
  <c r="AW52" i="16" s="1"/>
  <c r="AV53" i="16"/>
  <c r="AV50" i="16"/>
  <c r="AN67" i="16"/>
  <c r="AO65" i="16"/>
  <c r="AO66" i="16" s="1"/>
  <c r="AN64" i="16"/>
  <c r="AV58" i="16"/>
  <c r="AV59" i="16" s="1"/>
  <c r="AU60" i="16"/>
  <c r="AU57" i="16"/>
  <c r="AV74" i="16"/>
  <c r="AW72" i="16"/>
  <c r="AW73" i="16" s="1"/>
  <c r="AV71" i="16"/>
  <c r="AV46" i="16"/>
  <c r="AW44" i="16"/>
  <c r="AW45" i="16" s="1"/>
  <c r="AV43" i="16"/>
  <c r="AJ100" i="16"/>
  <c r="AJ101" i="16" s="1"/>
  <c r="AI102" i="16"/>
  <c r="AI99" i="16"/>
  <c r="AQ46" i="16"/>
  <c r="AQ43" i="16"/>
  <c r="AR44" i="16"/>
  <c r="AR45" i="16" s="1"/>
  <c r="AT60" i="16"/>
  <c r="AT57" i="16"/>
  <c r="AU58" i="16"/>
  <c r="AU59" i="16" s="1"/>
  <c r="AU53" i="16"/>
  <c r="AV51" i="16"/>
  <c r="AV52" i="16" s="1"/>
  <c r="AU50" i="16"/>
  <c r="AW102" i="16"/>
  <c r="AX100" i="16"/>
  <c r="AX101" i="16" s="1"/>
  <c r="AW99" i="16"/>
  <c r="AH39" i="16"/>
  <c r="AH36" i="16"/>
  <c r="AI37" i="16"/>
  <c r="AI38" i="16" s="1"/>
  <c r="AQ57" i="16"/>
  <c r="AQ60" i="16"/>
  <c r="AR58" i="16"/>
  <c r="AR59" i="16" s="1"/>
  <c r="AO72" i="16"/>
  <c r="AO73" i="16" s="1"/>
  <c r="AN74" i="16"/>
  <c r="AN71" i="16"/>
  <c r="AJ37" i="16"/>
  <c r="AJ38" i="16" s="1"/>
  <c r="AI36" i="16"/>
  <c r="AI39" i="16"/>
  <c r="AV36" i="16"/>
  <c r="AV39" i="16"/>
  <c r="AW37" i="16"/>
  <c r="AW38" i="16" s="1"/>
  <c r="AX71" i="16"/>
  <c r="AX74" i="16"/>
  <c r="AW88" i="16"/>
  <c r="AX86" i="16"/>
  <c r="AX87" i="16" s="1"/>
  <c r="AW85" i="16"/>
  <c r="AH64" i="16"/>
  <c r="AH67" i="16"/>
  <c r="AI65" i="16"/>
  <c r="AI66" i="16" s="1"/>
  <c r="AQ99" i="16"/>
  <c r="AQ102" i="16"/>
  <c r="AR100" i="16"/>
  <c r="AR101" i="16" s="1"/>
  <c r="AO43" i="16"/>
  <c r="AO46" i="16"/>
  <c r="AP44" i="16"/>
  <c r="AP45" i="16" s="1"/>
  <c r="K92" i="18"/>
  <c r="L92" i="18" s="1"/>
  <c r="M92" i="18" s="1"/>
  <c r="N92" i="18" s="1"/>
  <c r="O92" i="18" s="1"/>
  <c r="P92" i="18" s="1"/>
  <c r="Q92" i="18" s="1"/>
  <c r="R92" i="18" s="1"/>
  <c r="S92" i="18" s="1"/>
  <c r="T92" i="18" s="1"/>
  <c r="U92" i="18" s="1"/>
  <c r="V92" i="18" s="1"/>
  <c r="W92" i="18" s="1"/>
  <c r="X92" i="18" s="1"/>
  <c r="Y92" i="18" s="1"/>
  <c r="Z92" i="18" s="1"/>
  <c r="AA92" i="18" s="1"/>
  <c r="AB92" i="18" s="1"/>
  <c r="AC92" i="18" s="1"/>
  <c r="AD92" i="18" s="1"/>
  <c r="AE92" i="18" s="1"/>
  <c r="AF92" i="18" s="1"/>
  <c r="AG92" i="18" s="1"/>
  <c r="AH92" i="18" s="1"/>
  <c r="AI92" i="18" s="1"/>
  <c r="AJ92" i="18" s="1"/>
  <c r="AK92" i="18" s="1"/>
  <c r="AL92" i="18" s="1"/>
  <c r="AM92" i="18" s="1"/>
  <c r="AN92" i="18" s="1"/>
  <c r="AO92" i="18" s="1"/>
  <c r="AP92" i="18" s="1"/>
  <c r="AQ92" i="18" s="1"/>
  <c r="AR92" i="18" s="1"/>
  <c r="AS92" i="18" s="1"/>
  <c r="AT92" i="18" s="1"/>
  <c r="AU92" i="18" s="1"/>
  <c r="AV92" i="18" s="1"/>
  <c r="AW92" i="18" s="1"/>
  <c r="AX92" i="18" s="1"/>
  <c r="AY92" i="18" s="1"/>
  <c r="AZ92" i="18" s="1"/>
  <c r="BA92" i="18" s="1"/>
  <c r="K48" i="18"/>
  <c r="L48" i="18" s="1"/>
  <c r="M48" i="18" s="1"/>
  <c r="N48" i="18" s="1"/>
  <c r="O48" i="18" s="1"/>
  <c r="P48" i="18" s="1"/>
  <c r="Q48" i="18" s="1"/>
  <c r="R48" i="18" s="1"/>
  <c r="S48" i="18" s="1"/>
  <c r="T48" i="18" s="1"/>
  <c r="U48" i="18" s="1"/>
  <c r="V48" i="18" s="1"/>
  <c r="W48" i="18" s="1"/>
  <c r="X48" i="18" s="1"/>
  <c r="Y48" i="18" s="1"/>
  <c r="Z48" i="18" s="1"/>
  <c r="AA48" i="18" s="1"/>
  <c r="AB48" i="18" s="1"/>
  <c r="AC48" i="18" s="1"/>
  <c r="AD48" i="18" s="1"/>
  <c r="AE48" i="18" s="1"/>
  <c r="AF48" i="18" s="1"/>
  <c r="AG48" i="18" s="1"/>
  <c r="AH48" i="18" s="1"/>
  <c r="AI48" i="18" s="1"/>
  <c r="AJ48" i="18" s="1"/>
  <c r="AK48" i="18" s="1"/>
  <c r="K64" i="18"/>
  <c r="L64" i="18" s="1"/>
  <c r="M64" i="18" s="1"/>
  <c r="N64" i="18" s="1"/>
  <c r="O64" i="18" s="1"/>
  <c r="P64" i="18" s="1"/>
  <c r="Q64" i="18" s="1"/>
  <c r="R64" i="18" s="1"/>
  <c r="S64" i="18" s="1"/>
  <c r="T64" i="18" s="1"/>
  <c r="U64" i="18" s="1"/>
  <c r="V64" i="18" s="1"/>
  <c r="W64" i="18" s="1"/>
  <c r="X64" i="18" s="1"/>
  <c r="Y64" i="18" s="1"/>
  <c r="Z64" i="18" s="1"/>
  <c r="AA64" i="18" s="1"/>
  <c r="AB64" i="18" s="1"/>
  <c r="AC64" i="18" s="1"/>
  <c r="AD64" i="18" s="1"/>
  <c r="AE64" i="18" s="1"/>
  <c r="AF64" i="18" s="1"/>
  <c r="AG64" i="18" s="1"/>
  <c r="AH64" i="18" s="1"/>
  <c r="AI64" i="18" s="1"/>
  <c r="AJ64" i="18" s="1"/>
  <c r="AK64" i="18" s="1"/>
  <c r="AO95" i="16"/>
  <c r="AP93" i="16"/>
  <c r="AP94" i="16" s="1"/>
  <c r="AO92" i="16"/>
  <c r="AO93" i="16"/>
  <c r="AO94" i="16" s="1"/>
  <c r="AN95" i="16"/>
  <c r="AN92" i="16"/>
  <c r="AT95" i="16"/>
  <c r="AT92" i="16"/>
  <c r="AU93" i="16"/>
  <c r="AU94" i="16" s="1"/>
  <c r="AK93" i="16"/>
  <c r="AK94" i="16" s="1"/>
  <c r="AJ92" i="16"/>
  <c r="AJ95" i="16"/>
  <c r="AU51" i="16"/>
  <c r="AU52" i="16" s="1"/>
  <c r="AT53" i="16"/>
  <c r="AT50" i="16"/>
  <c r="AV92" i="16"/>
  <c r="AV95" i="16"/>
  <c r="AW93" i="16"/>
  <c r="AW94" i="16" s="1"/>
  <c r="AL53" i="16"/>
  <c r="AM51" i="16"/>
  <c r="AM52" i="16" s="1"/>
  <c r="AL50" i="16"/>
  <c r="AR95" i="16"/>
  <c r="AS93" i="16"/>
  <c r="AS94" i="16" s="1"/>
  <c r="AR92" i="16"/>
  <c r="AT51" i="16"/>
  <c r="AT52" i="16" s="1"/>
  <c r="AS53" i="16"/>
  <c r="AS50" i="16"/>
  <c r="AK100" i="16"/>
  <c r="AK101" i="16" s="1"/>
  <c r="AJ102" i="16"/>
  <c r="AJ99" i="16"/>
  <c r="AH46" i="16"/>
  <c r="AH43" i="16"/>
  <c r="AI44" i="16"/>
  <c r="AI45" i="16" s="1"/>
  <c r="AX37" i="16"/>
  <c r="AX38" i="16" s="1"/>
  <c r="AW36" i="16"/>
  <c r="AW39" i="16"/>
  <c r="AK86" i="16"/>
  <c r="AK87" i="16" s="1"/>
  <c r="AJ85" i="16"/>
  <c r="AJ88" i="16"/>
  <c r="AX60" i="16"/>
  <c r="AX57" i="16"/>
  <c r="AU102" i="16"/>
  <c r="AV100" i="16"/>
  <c r="AV101" i="16" s="1"/>
  <c r="AU99" i="16"/>
  <c r="AO36" i="16"/>
  <c r="AO39" i="16"/>
  <c r="AP37" i="16"/>
  <c r="AP38" i="16" s="1"/>
  <c r="AK65" i="16"/>
  <c r="AK66" i="16" s="1"/>
  <c r="AJ67" i="16"/>
  <c r="AJ64" i="16"/>
  <c r="AM74" i="16"/>
  <c r="AN72" i="16"/>
  <c r="AN73" i="16" s="1"/>
  <c r="AM71" i="16"/>
  <c r="AP36" i="16"/>
  <c r="AQ37" i="16"/>
  <c r="AQ38" i="16" s="1"/>
  <c r="AP39" i="16"/>
  <c r="AS39" i="16"/>
  <c r="AT37" i="16"/>
  <c r="AT38" i="16" s="1"/>
  <c r="AS36" i="16"/>
  <c r="AK51" i="16"/>
  <c r="AK52" i="16" s="1"/>
  <c r="AJ53" i="16"/>
  <c r="AJ50" i="16"/>
  <c r="AT72" i="16"/>
  <c r="AT73" i="16" s="1"/>
  <c r="AS74" i="16"/>
  <c r="AS71" i="16"/>
  <c r="AQ39" i="16"/>
  <c r="AR37" i="16"/>
  <c r="AR38" i="16" s="1"/>
  <c r="AQ36" i="16"/>
  <c r="AK67" i="16"/>
  <c r="AL65" i="16"/>
  <c r="AL66" i="16" s="1"/>
  <c r="AK64" i="16"/>
  <c r="AX67" i="16"/>
  <c r="AX64" i="16"/>
  <c r="AJ71" i="16"/>
  <c r="AJ74" i="16"/>
  <c r="AK72" i="16"/>
  <c r="AK73" i="16" s="1"/>
  <c r="AO67" i="16"/>
  <c r="AO64" i="16"/>
  <c r="AP65" i="16"/>
  <c r="AP66" i="16" s="1"/>
  <c r="AM72" i="16"/>
  <c r="AM73" i="16" s="1"/>
  <c r="AL71" i="16"/>
  <c r="AL74" i="16"/>
  <c r="K84" i="18"/>
  <c r="L84" i="18" s="1"/>
  <c r="M84" i="18" s="1"/>
  <c r="N84" i="18" s="1"/>
  <c r="O84" i="18" s="1"/>
  <c r="P84" i="18" s="1"/>
  <c r="Q84" i="18" s="1"/>
  <c r="R84" i="18" s="1"/>
  <c r="S84" i="18" s="1"/>
  <c r="T84" i="18" s="1"/>
  <c r="U84" i="18" s="1"/>
  <c r="V84" i="18" s="1"/>
  <c r="W84" i="18" s="1"/>
  <c r="X84" i="18" s="1"/>
  <c r="Y84" i="18" s="1"/>
  <c r="Z84" i="18" s="1"/>
  <c r="AA84" i="18" s="1"/>
  <c r="AB84" i="18" s="1"/>
  <c r="AC84" i="18" s="1"/>
  <c r="AD84" i="18" s="1"/>
  <c r="AE84" i="18" s="1"/>
  <c r="AF84" i="18" s="1"/>
  <c r="AG84" i="18" s="1"/>
  <c r="AH84" i="18" s="1"/>
  <c r="AI84" i="18" s="1"/>
  <c r="AJ84" i="18" s="1"/>
  <c r="AK84" i="18" s="1"/>
  <c r="AL84" i="18" s="1"/>
  <c r="AM84" i="18" s="1"/>
  <c r="AN84" i="18" s="1"/>
  <c r="AO84" i="18" s="1"/>
  <c r="AP84" i="18" s="1"/>
  <c r="AQ84" i="18" s="1"/>
  <c r="AR84" i="18" s="1"/>
  <c r="AS84" i="18" s="1"/>
  <c r="AT84" i="18" s="1"/>
  <c r="AU84" i="18" s="1"/>
  <c r="AV84" i="18" s="1"/>
  <c r="AW84" i="18" s="1"/>
  <c r="AX84" i="18" s="1"/>
  <c r="AY84" i="18" s="1"/>
  <c r="AZ84" i="18" s="1"/>
  <c r="BA84" i="18" s="1"/>
  <c r="K40" i="18"/>
  <c r="L40" i="18" s="1"/>
  <c r="M40" i="18" s="1"/>
  <c r="N40" i="18" s="1"/>
  <c r="O40" i="18" s="1"/>
  <c r="P40" i="18" s="1"/>
  <c r="Q40" i="18" s="1"/>
  <c r="R40" i="18" s="1"/>
  <c r="S40" i="18" s="1"/>
  <c r="T40" i="18" s="1"/>
  <c r="U40" i="18" s="1"/>
  <c r="V40" i="18" s="1"/>
  <c r="W40" i="18" s="1"/>
  <c r="X40" i="18" s="1"/>
  <c r="Y40" i="18" s="1"/>
  <c r="Z40" i="18" s="1"/>
  <c r="AA40" i="18" s="1"/>
  <c r="AB40" i="18" s="1"/>
  <c r="AC40" i="18" s="1"/>
  <c r="AD40" i="18" s="1"/>
  <c r="AE40" i="18" s="1"/>
  <c r="AF40" i="18" s="1"/>
  <c r="AG40" i="18" s="1"/>
  <c r="AH40" i="18" s="1"/>
  <c r="AI40" i="18" s="1"/>
  <c r="AJ40" i="18" s="1"/>
  <c r="AK40" i="18" s="1"/>
  <c r="AI88" i="16"/>
  <c r="AI85" i="16"/>
  <c r="AJ86" i="16"/>
  <c r="AJ87" i="16" s="1"/>
  <c r="AH95" i="16"/>
  <c r="AI93" i="16"/>
  <c r="AI94" i="16" s="1"/>
  <c r="AH92" i="16"/>
  <c r="AN53" i="16"/>
  <c r="AO51" i="16"/>
  <c r="AO52" i="16" s="1"/>
  <c r="AN50" i="16"/>
  <c r="AU85" i="16"/>
  <c r="AV86" i="16"/>
  <c r="AV87" i="16" s="1"/>
  <c r="AU88" i="16"/>
  <c r="AL93" i="16"/>
  <c r="AL94" i="16" s="1"/>
  <c r="AK92" i="16"/>
  <c r="AK95" i="16"/>
  <c r="AM95" i="16"/>
  <c r="AM92" i="16"/>
  <c r="AN93" i="16"/>
  <c r="AN94" i="16" s="1"/>
  <c r="AQ93" i="16"/>
  <c r="AQ94" i="16" s="1"/>
  <c r="AP92" i="16"/>
  <c r="AP95" i="16"/>
  <c r="AW95" i="16"/>
  <c r="AX93" i="16"/>
  <c r="AX94" i="16" s="1"/>
  <c r="AW92" i="16"/>
  <c r="AU78" i="16"/>
  <c r="AV79" i="16"/>
  <c r="AV80" i="16" s="1"/>
  <c r="AU81" i="16"/>
  <c r="AM93" i="16"/>
  <c r="AM94" i="16" s="1"/>
  <c r="AL92" i="16"/>
  <c r="AL95" i="16"/>
  <c r="AS92" i="16"/>
  <c r="AS95" i="16"/>
  <c r="AT93" i="16"/>
  <c r="AT94" i="16" s="1"/>
  <c r="AN79" i="16"/>
  <c r="AN80" i="16" s="1"/>
  <c r="AM78" i="16"/>
  <c r="AM81" i="16"/>
  <c r="AN102" i="16"/>
  <c r="AO100" i="16"/>
  <c r="AO101" i="16" s="1"/>
  <c r="AN99" i="16"/>
  <c r="AK74" i="16"/>
  <c r="AK71" i="16"/>
  <c r="AL72" i="16"/>
  <c r="AL73" i="16" s="1"/>
  <c r="AU39" i="16"/>
  <c r="AU36" i="16"/>
  <c r="AV37" i="16"/>
  <c r="AV38" i="16" s="1"/>
  <c r="AJ39" i="16"/>
  <c r="AJ36" i="16"/>
  <c r="AK37" i="16"/>
  <c r="AK38" i="16" s="1"/>
  <c r="AP46" i="16"/>
  <c r="AP43" i="16"/>
  <c r="AQ44" i="16"/>
  <c r="AQ45" i="16" s="1"/>
  <c r="AO60" i="16"/>
  <c r="AO57" i="16"/>
  <c r="AP58" i="16"/>
  <c r="AP59" i="16" s="1"/>
  <c r="AK85" i="16"/>
  <c r="AK88" i="16"/>
  <c r="AL86" i="16"/>
  <c r="AL87" i="16" s="1"/>
  <c r="AR50" i="16"/>
  <c r="AS51" i="16"/>
  <c r="AS52" i="16" s="1"/>
  <c r="AR53" i="16"/>
  <c r="AV72" i="16"/>
  <c r="AV73" i="16" s="1"/>
  <c r="AU71" i="16"/>
  <c r="AU74" i="16"/>
  <c r="AV60" i="16"/>
  <c r="AV57" i="16"/>
  <c r="AW58" i="16"/>
  <c r="AW59" i="16" s="1"/>
  <c r="AI53" i="16"/>
  <c r="AI50" i="16"/>
  <c r="AJ51" i="16"/>
  <c r="AJ52" i="16" s="1"/>
  <c r="AS102" i="16"/>
  <c r="AT100" i="16"/>
  <c r="AT101" i="16" s="1"/>
  <c r="AS99" i="16"/>
  <c r="AK36" i="16"/>
  <c r="AK39" i="16"/>
  <c r="AL37" i="16"/>
  <c r="AL38" i="16" s="1"/>
  <c r="AX65" i="16"/>
  <c r="AX66" i="16" s="1"/>
  <c r="AW64" i="16"/>
  <c r="AW67" i="16"/>
  <c r="AM50" i="16"/>
  <c r="AN51" i="16"/>
  <c r="AN52" i="16" s="1"/>
  <c r="AM53" i="16"/>
  <c r="AO58" i="16"/>
  <c r="AO59" i="16" s="1"/>
  <c r="AN57" i="16"/>
  <c r="AN60" i="16"/>
  <c r="AP64" i="16"/>
  <c r="AQ65" i="16"/>
  <c r="AQ66" i="16" s="1"/>
  <c r="AP67" i="16"/>
  <c r="AK99" i="16"/>
  <c r="AK102" i="16"/>
  <c r="AL100" i="16"/>
  <c r="AL101" i="16" s="1"/>
  <c r="AR74" i="16"/>
  <c r="AS72" i="16"/>
  <c r="AS73" i="16" s="1"/>
  <c r="AR71" i="16"/>
  <c r="AX39" i="16"/>
  <c r="AX36" i="16"/>
  <c r="AS46" i="16"/>
  <c r="AT44" i="16"/>
  <c r="AT45" i="16" s="1"/>
  <c r="AS43" i="16"/>
  <c r="AJ60" i="16"/>
  <c r="AJ57" i="16"/>
  <c r="AK58" i="16"/>
  <c r="AK59" i="16" s="1"/>
  <c r="AQ53" i="16"/>
  <c r="AR51" i="16"/>
  <c r="AR52" i="16" s="1"/>
  <c r="AQ50" i="16"/>
  <c r="AV67" i="16"/>
  <c r="AV64" i="16"/>
  <c r="AW65" i="16"/>
  <c r="AW66" i="16" s="1"/>
  <c r="AH102" i="16"/>
  <c r="AI100" i="16"/>
  <c r="AI101" i="16" s="1"/>
  <c r="AH99" i="16"/>
  <c r="AX102" i="16"/>
  <c r="AX99" i="16"/>
  <c r="AL43" i="16"/>
  <c r="AL46" i="16"/>
  <c r="AM44" i="16"/>
  <c r="AM45" i="16" s="1"/>
  <c r="AL58" i="16"/>
  <c r="AL59" i="16" s="1"/>
  <c r="AK60" i="16"/>
  <c r="AK57" i="16"/>
  <c r="AM58" i="16"/>
  <c r="AM59" i="16" s="1"/>
  <c r="AL60" i="16"/>
  <c r="AL57" i="16"/>
  <c r="AO74" i="16"/>
  <c r="AP72" i="16"/>
  <c r="AP73" i="16" s="1"/>
  <c r="AO71" i="16"/>
  <c r="K56" i="18"/>
  <c r="L56" i="18" s="1"/>
  <c r="M56" i="18" s="1"/>
  <c r="N56" i="18" s="1"/>
  <c r="O56" i="18" s="1"/>
  <c r="P56" i="18" s="1"/>
  <c r="Q56" i="18" s="1"/>
  <c r="R56" i="18" s="1"/>
  <c r="S56" i="18" s="1"/>
  <c r="T56" i="18" s="1"/>
  <c r="U56" i="18" s="1"/>
  <c r="V56" i="18" s="1"/>
  <c r="W56" i="18" s="1"/>
  <c r="X56" i="18" s="1"/>
  <c r="Y56" i="18" s="1"/>
  <c r="Z56" i="18" s="1"/>
  <c r="AA56" i="18" s="1"/>
  <c r="AB56" i="18" s="1"/>
  <c r="AC56" i="18" s="1"/>
  <c r="AD56" i="18" s="1"/>
  <c r="AE56" i="18" s="1"/>
  <c r="AF56" i="18" s="1"/>
  <c r="AG56" i="18" s="1"/>
  <c r="AH56" i="18" s="1"/>
  <c r="AI56" i="18" s="1"/>
  <c r="AJ56" i="18" s="1"/>
  <c r="AK56" i="18" s="1"/>
  <c r="K72" i="18"/>
  <c r="L72" i="18" s="1"/>
  <c r="M72" i="18" s="1"/>
  <c r="N72" i="18" s="1"/>
  <c r="O72" i="18" s="1"/>
  <c r="P72" i="18" s="1"/>
  <c r="Q72" i="18" s="1"/>
  <c r="R72" i="18" s="1"/>
  <c r="S72" i="18" s="1"/>
  <c r="T72" i="18" s="1"/>
  <c r="U72" i="18" s="1"/>
  <c r="V72" i="18" s="1"/>
  <c r="W72" i="18" s="1"/>
  <c r="X72" i="18" s="1"/>
  <c r="Y72" i="18" s="1"/>
  <c r="Z72" i="18" s="1"/>
  <c r="AA72" i="18" s="1"/>
  <c r="AB72" i="18" s="1"/>
  <c r="AC72" i="18" s="1"/>
  <c r="AD72" i="18" s="1"/>
  <c r="AE72" i="18" s="1"/>
  <c r="AF72" i="18" s="1"/>
  <c r="AG72" i="18" s="1"/>
  <c r="AH72" i="18" s="1"/>
  <c r="AI72" i="18" s="1"/>
  <c r="AJ72" i="18" s="1"/>
  <c r="AK72" i="18" s="1"/>
  <c r="AL72" i="18" s="1"/>
  <c r="AM72" i="18" s="1"/>
  <c r="AN72" i="18" s="1"/>
  <c r="AO72" i="18" s="1"/>
  <c r="AP72" i="18" s="1"/>
  <c r="AQ72" i="18" s="1"/>
  <c r="AR72" i="18" s="1"/>
  <c r="AS72" i="18" s="1"/>
  <c r="AT72" i="18" s="1"/>
  <c r="AU72" i="18" s="1"/>
  <c r="AV72" i="18" s="1"/>
  <c r="AW72" i="18" s="1"/>
  <c r="AX72" i="18" s="1"/>
  <c r="AY72" i="18" s="1"/>
  <c r="AZ72" i="18" s="1"/>
  <c r="BA72" i="18" s="1"/>
  <c r="AX85" i="16"/>
  <c r="AX88" i="16"/>
  <c r="AU95" i="16"/>
  <c r="AU92" i="16"/>
  <c r="AV93" i="16"/>
  <c r="AV94" i="16" s="1"/>
  <c r="AX95" i="16"/>
  <c r="AX92" i="16"/>
  <c r="AX78" i="16"/>
  <c r="AX81" i="16"/>
  <c r="AT88" i="16"/>
  <c r="AT85" i="16"/>
  <c r="AU86" i="16"/>
  <c r="AU87" i="16" s="1"/>
  <c r="AN81" i="16"/>
  <c r="AN78" i="16"/>
  <c r="AO79" i="16"/>
  <c r="AO80" i="16" s="1"/>
  <c r="AQ88" i="16"/>
  <c r="AQ85" i="16"/>
  <c r="AR86" i="16"/>
  <c r="AR87" i="16" s="1"/>
  <c r="AQ95" i="16"/>
  <c r="AR93" i="16"/>
  <c r="AR94" i="16" s="1"/>
  <c r="AQ92" i="16"/>
  <c r="AM85" i="16"/>
  <c r="AN86" i="16"/>
  <c r="AN87" i="16" s="1"/>
  <c r="AM88" i="16"/>
  <c r="AI95" i="16"/>
  <c r="AJ93" i="16"/>
  <c r="AJ94" i="16" s="1"/>
  <c r="AI92" i="16"/>
  <c r="AV81" i="16"/>
  <c r="AV78" i="16"/>
  <c r="AW79" i="16"/>
  <c r="AW80" i="16" s="1"/>
  <c r="AH50" i="16"/>
  <c r="AI51" i="16"/>
  <c r="AI52" i="16" s="1"/>
  <c r="AH53" i="16"/>
  <c r="AI67" i="16"/>
  <c r="AJ65" i="16"/>
  <c r="AJ66" i="16" s="1"/>
  <c r="AI64" i="16"/>
  <c r="AM60" i="16"/>
  <c r="AM57" i="16"/>
  <c r="AN58" i="16"/>
  <c r="AN59" i="16" s="1"/>
  <c r="AR102" i="16"/>
  <c r="AS100" i="16"/>
  <c r="AS101" i="16" s="1"/>
  <c r="AR99" i="16"/>
  <c r="AQ71" i="16"/>
  <c r="AQ74" i="16"/>
  <c r="AR72" i="16"/>
  <c r="AR73" i="16" s="1"/>
  <c r="AN46" i="16"/>
  <c r="AN43" i="16"/>
  <c r="AO44" i="16"/>
  <c r="AO45" i="16" s="1"/>
  <c r="AR39" i="16"/>
  <c r="AS37" i="16"/>
  <c r="AS38" i="16" s="1"/>
  <c r="AR36" i="16"/>
  <c r="AX46" i="16"/>
  <c r="AX43" i="16"/>
  <c r="AW60" i="16"/>
  <c r="AX58" i="16"/>
  <c r="AX59" i="16" s="1"/>
  <c r="AW57" i="16"/>
  <c r="AP74" i="16"/>
  <c r="AQ72" i="16"/>
  <c r="AQ73" i="16" s="1"/>
  <c r="AP71" i="16"/>
  <c r="AT86" i="16"/>
  <c r="AT87" i="16" s="1"/>
  <c r="AS88" i="16"/>
  <c r="AS85" i="16"/>
  <c r="AR67" i="16"/>
  <c r="AR64" i="16"/>
  <c r="AS65" i="16"/>
  <c r="AS66" i="16" s="1"/>
  <c r="AU46" i="16"/>
  <c r="AV44" i="16"/>
  <c r="AV45" i="16" s="1"/>
  <c r="AU43" i="16"/>
  <c r="AW46" i="16"/>
  <c r="AX44" i="16"/>
  <c r="AX45" i="16" s="1"/>
  <c r="AW43" i="16"/>
  <c r="AW74" i="16"/>
  <c r="AX72" i="16"/>
  <c r="AX73" i="16" s="1"/>
  <c r="AW71" i="16"/>
  <c r="AM64" i="16"/>
  <c r="AM67" i="16"/>
  <c r="AN65" i="16"/>
  <c r="AN66" i="16" s="1"/>
  <c r="AT39" i="16"/>
  <c r="AU37" i="16"/>
  <c r="AU38" i="16" s="1"/>
  <c r="AT36" i="16"/>
  <c r="AP53" i="16"/>
  <c r="AP50" i="16"/>
  <c r="AQ51" i="16"/>
  <c r="AQ52" i="16" s="1"/>
  <c r="AP100" i="16"/>
  <c r="AP101" i="16" s="1"/>
  <c r="AO99" i="16"/>
  <c r="AO102" i="16"/>
  <c r="AJ79" i="16"/>
  <c r="AJ80" i="16" s="1"/>
  <c r="AI78" i="16"/>
  <c r="AI81" i="16"/>
  <c r="AI46" i="16"/>
  <c r="AJ44" i="16"/>
  <c r="AJ45" i="16" s="1"/>
  <c r="AI43" i="16"/>
  <c r="AR60" i="16"/>
  <c r="AS58" i="16"/>
  <c r="AS59" i="16" s="1"/>
  <c r="AR57" i="16"/>
  <c r="AT71" i="16"/>
  <c r="AU72" i="16"/>
  <c r="AU73" i="16" s="1"/>
  <c r="AT74" i="16"/>
  <c r="AO86" i="16"/>
  <c r="AO87" i="16" s="1"/>
  <c r="AN85" i="16"/>
  <c r="AN88" i="16"/>
  <c r="AX51" i="16"/>
  <c r="AX52" i="16" s="1"/>
  <c r="AW50" i="16"/>
  <c r="AW53" i="16"/>
  <c r="AI60" i="16"/>
  <c r="AJ58" i="16"/>
  <c r="AJ59" i="16" s="1"/>
  <c r="AI57" i="16"/>
  <c r="AM100" i="16"/>
  <c r="AM101" i="16" s="1"/>
  <c r="AL102" i="16"/>
  <c r="AL99" i="16"/>
  <c r="AI74" i="16"/>
  <c r="AJ72" i="16"/>
  <c r="AJ73" i="16" s="1"/>
  <c r="AI71" i="16"/>
  <c r="AR79" i="16"/>
  <c r="AR80" i="16" s="1"/>
  <c r="AQ78" i="16"/>
  <c r="AQ81" i="16"/>
  <c r="AK44" i="16"/>
  <c r="AK45" i="16" s="1"/>
  <c r="AJ43" i="16"/>
  <c r="AJ46" i="16"/>
  <c r="AO37" i="16"/>
  <c r="AO38" i="16" s="1"/>
  <c r="AN39" i="16"/>
  <c r="AN36" i="16"/>
  <c r="AT46" i="16"/>
  <c r="AU44" i="16"/>
  <c r="AU45" i="16" s="1"/>
  <c r="AT43" i="16"/>
  <c r="AT58" i="16"/>
  <c r="AT59" i="16" s="1"/>
  <c r="AS57" i="16"/>
  <c r="AS60" i="16"/>
  <c r="AH74" i="16"/>
  <c r="AH71" i="16"/>
  <c r="AI72" i="16"/>
  <c r="AI73" i="16" s="1"/>
  <c r="AP86" i="16"/>
  <c r="AP87" i="16" s="1"/>
  <c r="AO85" i="16"/>
  <c r="AO88" i="16"/>
  <c r="AX53" i="16"/>
  <c r="AX50" i="16"/>
  <c r="AN100" i="16"/>
  <c r="AN101" i="16" s="1"/>
  <c r="AM99" i="16"/>
  <c r="AM102" i="16"/>
  <c r="AR88" i="16"/>
  <c r="AS86" i="16"/>
  <c r="AS87" i="16" s="1"/>
  <c r="AR85" i="16"/>
  <c r="AL36" i="18" l="1"/>
  <c r="AM36" i="18" s="1"/>
  <c r="AN36" i="18" s="1"/>
  <c r="AO36" i="18" s="1"/>
  <c r="AP36" i="18" s="1"/>
  <c r="AQ36" i="18" s="1"/>
  <c r="AR36" i="18" s="1"/>
  <c r="AS36" i="18" s="1"/>
  <c r="AT36" i="18" s="1"/>
  <c r="AU36" i="18" s="1"/>
  <c r="AV36" i="18" s="1"/>
  <c r="AW36" i="18" s="1"/>
  <c r="AX36" i="18" s="1"/>
  <c r="AY36" i="18" s="1"/>
  <c r="AZ36" i="18" s="1"/>
  <c r="BA36" i="18" s="1"/>
  <c r="AL40" i="18"/>
  <c r="AM40" i="18" s="1"/>
  <c r="AN40" i="18" s="1"/>
  <c r="AO40" i="18" s="1"/>
  <c r="AP40" i="18" s="1"/>
  <c r="AQ40" i="18" s="1"/>
  <c r="AR40" i="18" s="1"/>
  <c r="AS40" i="18" s="1"/>
  <c r="AT40" i="18" s="1"/>
  <c r="AU40" i="18" s="1"/>
  <c r="AV40" i="18" s="1"/>
  <c r="AW40" i="18" s="1"/>
  <c r="AX40" i="18" s="1"/>
  <c r="AY40" i="18" s="1"/>
  <c r="AZ40" i="18" s="1"/>
  <c r="BA40" i="18" s="1"/>
  <c r="AL64" i="18"/>
  <c r="AM64" i="18" s="1"/>
  <c r="AN64" i="18" s="1"/>
  <c r="AO64" i="18" s="1"/>
  <c r="AP64" i="18" s="1"/>
  <c r="AQ64" i="18" s="1"/>
  <c r="AR64" i="18" s="1"/>
  <c r="AS64" i="18" s="1"/>
  <c r="AT64" i="18" s="1"/>
  <c r="AU64" i="18" s="1"/>
  <c r="AV64" i="18" s="1"/>
  <c r="AW64" i="18" s="1"/>
  <c r="AX64" i="18" s="1"/>
  <c r="AY64" i="18" s="1"/>
  <c r="AZ64" i="18" s="1"/>
  <c r="BA64" i="18" s="1"/>
  <c r="AL52" i="18"/>
  <c r="AM52" i="18" s="1"/>
  <c r="AN52" i="18" s="1"/>
  <c r="AO52" i="18" s="1"/>
  <c r="AP52" i="18" s="1"/>
  <c r="AQ52" i="18" s="1"/>
  <c r="AR52" i="18" s="1"/>
  <c r="AS52" i="18" s="1"/>
  <c r="AT52" i="18" s="1"/>
  <c r="AU52" i="18" s="1"/>
  <c r="AV52" i="18" s="1"/>
  <c r="AW52" i="18" s="1"/>
  <c r="AX52" i="18" s="1"/>
  <c r="AY52" i="18" s="1"/>
  <c r="AZ52" i="18" s="1"/>
  <c r="BA52" i="18" s="1"/>
  <c r="AL48" i="18"/>
  <c r="AM48" i="18" s="1"/>
  <c r="AN48" i="18" s="1"/>
  <c r="AO48" i="18" s="1"/>
  <c r="AP48" i="18" s="1"/>
  <c r="AQ48" i="18" s="1"/>
  <c r="AR48" i="18" s="1"/>
  <c r="AS48" i="18" s="1"/>
  <c r="AT48" i="18" s="1"/>
  <c r="AU48" i="18" s="1"/>
  <c r="AV48" i="18" s="1"/>
  <c r="AW48" i="18" s="1"/>
  <c r="AX48" i="18" s="1"/>
  <c r="AY48" i="18" s="1"/>
  <c r="AZ48" i="18" s="1"/>
  <c r="BA48" i="18" s="1"/>
  <c r="AL56" i="18"/>
  <c r="AM56" i="18" s="1"/>
  <c r="AN56" i="18" s="1"/>
  <c r="AO56" i="18" s="1"/>
  <c r="AP56" i="18" s="1"/>
  <c r="AQ56" i="18" s="1"/>
  <c r="AR56" i="18" s="1"/>
  <c r="AS56" i="18" s="1"/>
  <c r="AT56" i="18" s="1"/>
  <c r="AU56" i="18" s="1"/>
  <c r="AV56" i="18" s="1"/>
  <c r="AW56" i="18" s="1"/>
  <c r="AX56" i="18" s="1"/>
  <c r="AY56" i="18" s="1"/>
  <c r="AZ56" i="18" s="1"/>
  <c r="BA56" i="18" s="1"/>
  <c r="AL60" i="18"/>
  <c r="AM60" i="18" s="1"/>
  <c r="AN60" i="18" s="1"/>
  <c r="AO60" i="18" s="1"/>
  <c r="AP60" i="18" s="1"/>
  <c r="AQ60" i="18" s="1"/>
  <c r="AR60" i="18" s="1"/>
  <c r="AS60" i="18" s="1"/>
  <c r="AT60" i="18" s="1"/>
  <c r="AU60" i="18" s="1"/>
  <c r="AV60" i="18" s="1"/>
  <c r="AW60" i="18" s="1"/>
  <c r="AX60" i="18" s="1"/>
  <c r="AY60" i="18" s="1"/>
  <c r="AZ60" i="18" s="1"/>
  <c r="BA60" i="18" s="1"/>
  <c r="AL44" i="18"/>
  <c r="AM44" i="18" s="1"/>
  <c r="AN44" i="18" s="1"/>
  <c r="AO44" i="18" s="1"/>
  <c r="AP44" i="18" s="1"/>
  <c r="AQ44" i="18" s="1"/>
  <c r="AR44" i="18" s="1"/>
  <c r="AS44" i="18" s="1"/>
  <c r="AT44" i="18" s="1"/>
  <c r="AU44" i="18" s="1"/>
  <c r="AV44" i="18" s="1"/>
  <c r="AW44" i="18" s="1"/>
  <c r="AX44" i="18" s="1"/>
  <c r="AY44" i="18" s="1"/>
  <c r="AZ44" i="18" s="1"/>
  <c r="BA44" i="18" s="1"/>
  <c r="I41" i="24"/>
  <c r="I41" i="24" a="1"/>
  <c r="J41" i="2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<sst xmlns="http://schemas.openxmlformats.org/spreadsheetml/2006/main" count="4738" uniqueCount="208">
  <si>
    <t>ADMINISTRATION DATA</t>
  </si>
  <si>
    <t>Date</t>
  </si>
  <si>
    <t>Weight</t>
  </si>
  <si>
    <t>Tumor Volume</t>
  </si>
  <si>
    <t>Calc. Activity</t>
  </si>
  <si>
    <t>CAGE</t>
  </si>
  <si>
    <t>MOUSE</t>
  </si>
  <si>
    <t>Unique Sample ID</t>
  </si>
  <si>
    <t>DAY:</t>
  </si>
  <si>
    <t>Avg:</t>
  </si>
  <si>
    <t>Group</t>
  </si>
  <si>
    <t>Std:</t>
  </si>
  <si>
    <t>INOCULATION 
DATA</t>
  </si>
  <si>
    <t>DATE:</t>
  </si>
  <si>
    <t>Trial</t>
  </si>
  <si>
    <t xml:space="preserve">       BODY WEIGHT</t>
  </si>
  <si>
    <t>Total</t>
  </si>
  <si>
    <t>Theoretical</t>
  </si>
  <si>
    <t>Theoretical:</t>
  </si>
  <si>
    <t>Excision Size</t>
  </si>
  <si>
    <t>Radiodose Escalation</t>
  </si>
  <si>
    <t>Length</t>
  </si>
  <si>
    <t>Width</t>
  </si>
  <si>
    <t>Inj. ELP Vol.</t>
  </si>
  <si>
    <t>Radio dose uCi/mg</t>
  </si>
  <si>
    <t>%Dose</t>
  </si>
  <si>
    <t>Count</t>
  </si>
  <si>
    <t>Experimental Groups</t>
  </si>
  <si>
    <t>Avg</t>
  </si>
  <si>
    <t>StDev</t>
  </si>
  <si>
    <t xml:space="preserve">Body Weight </t>
  </si>
  <si>
    <t>Radioactivity</t>
  </si>
  <si>
    <t>Activity</t>
  </si>
  <si>
    <t xml:space="preserve">       WHOLE BODY RADIOACTIVITY</t>
  </si>
  <si>
    <r>
      <rPr>
        <b/>
        <sz val="11"/>
        <color theme="1"/>
        <rFont val="Times New Roman"/>
        <family val="1"/>
      </rPr>
      <t xml:space="preserve">Theor </t>
    </r>
    <r>
      <rPr>
        <b/>
        <sz val="11"/>
        <color theme="1"/>
        <rFont val="Mathematica1"/>
        <charset val="2"/>
      </rPr>
      <t>D:</t>
    </r>
  </si>
  <si>
    <r>
      <t xml:space="preserve">D2D </t>
    </r>
    <r>
      <rPr>
        <b/>
        <sz val="11"/>
        <color theme="1"/>
        <rFont val="Mathematica1"/>
        <charset val="2"/>
      </rPr>
      <t>D</t>
    </r>
    <r>
      <rPr>
        <b/>
        <sz val="11"/>
        <color theme="1"/>
        <rFont val="Times New Roman"/>
        <family val="1"/>
      </rPr>
      <t>:</t>
    </r>
  </si>
  <si>
    <t>Survival</t>
  </si>
  <si>
    <t xml:space="preserve">       SURVIVAL</t>
  </si>
  <si>
    <t>Group 11</t>
  </si>
  <si>
    <t>Group 12</t>
  </si>
  <si>
    <t>Group 13</t>
  </si>
  <si>
    <t>Group 14</t>
  </si>
  <si>
    <t>Group 15</t>
  </si>
  <si>
    <t>Group 16</t>
  </si>
  <si>
    <r>
      <t>Tumor Volume (mm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</si>
  <si>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r>
      <t>Radiation Dose (uCi/mm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</si>
  <si>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t>Body Weight
(g)</t>
  </si>
  <si>
    <t>List of Groups</t>
  </si>
  <si>
    <t>D2D Theor:</t>
  </si>
  <si>
    <t>Retention (Decay corrected)</t>
  </si>
  <si>
    <t>Surviving:</t>
  </si>
  <si>
    <t>Censored:</t>
  </si>
  <si>
    <t>Surviving</t>
  </si>
  <si>
    <t>Surv. Prob:</t>
  </si>
  <si>
    <t xml:space="preserve">       PERCENT CHANGE</t>
  </si>
  <si>
    <t xml:space="preserve">       PERCENT GROWTH</t>
  </si>
  <si>
    <t>Orthotopic Combotherapy</t>
  </si>
  <si>
    <t>G2 DAY:</t>
  </si>
  <si>
    <t>G2 DATE:</t>
  </si>
  <si>
    <r>
      <rPr>
        <b/>
        <vertAlign val="superscript"/>
        <sz val="10"/>
        <rFont val="Times New Roman"/>
        <family val="1"/>
      </rPr>
      <t>131</t>
    </r>
    <r>
      <rPr>
        <b/>
        <sz val="10"/>
        <rFont val="Times New Roman"/>
        <family val="1"/>
      </rPr>
      <t>I Activity</t>
    </r>
  </si>
  <si>
    <t>Group 10</t>
  </si>
  <si>
    <t>BxPc3 - Abraxane Combo</t>
  </si>
  <si>
    <t>BxPc3 - Control</t>
  </si>
  <si>
    <t>BxPc3 - CP-PTX Combo</t>
  </si>
  <si>
    <t>BxPc3 - Abraxane only</t>
  </si>
  <si>
    <t xml:space="preserve">       TUMOR Volume</t>
  </si>
  <si>
    <t>BxPc3</t>
  </si>
  <si>
    <t>Cell Line</t>
  </si>
  <si>
    <t>CP-PTX</t>
  </si>
  <si>
    <t>nAb PTX</t>
  </si>
  <si>
    <t>Alive</t>
  </si>
  <si>
    <t>Sacrificed</t>
  </si>
  <si>
    <t>BxPc3 - 131I-ELP only</t>
  </si>
  <si>
    <r>
      <t xml:space="preserve">BxPc3 - </t>
    </r>
    <r>
      <rPr>
        <vertAlign val="superscript"/>
        <sz val="11"/>
        <color theme="1"/>
        <rFont val="Garamond"/>
        <family val="1"/>
      </rPr>
      <t>131</t>
    </r>
    <r>
      <rPr>
        <sz val="11"/>
        <color theme="1"/>
        <rFont val="Garamond"/>
        <family val="1"/>
      </rPr>
      <t>I-ELP only</t>
    </r>
  </si>
  <si>
    <t>Group 5</t>
  </si>
  <si>
    <t>Group 6</t>
  </si>
  <si>
    <t>Group 7</t>
  </si>
  <si>
    <t>Group 8</t>
  </si>
  <si>
    <t>Group 9</t>
  </si>
  <si>
    <r>
      <rPr>
        <b/>
        <vertAlign val="superscript"/>
        <sz val="20"/>
        <color theme="1"/>
        <rFont val="Times New Roman"/>
        <family val="1"/>
      </rPr>
      <t>131</t>
    </r>
    <r>
      <rPr>
        <b/>
        <sz val="20"/>
        <color theme="1"/>
        <rFont val="Times New Roman"/>
        <family val="1"/>
      </rPr>
      <t>I-ELP + Abraxane</t>
    </r>
  </si>
  <si>
    <r>
      <rPr>
        <b/>
        <vertAlign val="superscript"/>
        <sz val="18"/>
        <color theme="1"/>
        <rFont val="Garamond"/>
        <family val="1"/>
      </rPr>
      <t>131</t>
    </r>
    <r>
      <rPr>
        <b/>
        <sz val="18"/>
        <color theme="1"/>
        <rFont val="Garamond"/>
        <family val="1"/>
      </rPr>
      <t>I-ELP + Abraxane Combotherapy</t>
    </r>
  </si>
  <si>
    <t>Tumor Size</t>
  </si>
  <si>
    <t xml:space="preserve">       TUMOR SIZE</t>
  </si>
  <si>
    <t>Dose Scheme</t>
  </si>
  <si>
    <t>CP-PTX Vol (uL)</t>
  </si>
  <si>
    <t>CP-PTX (mg/kg)</t>
  </si>
  <si>
    <t>PTX:Tumor (ug/mm3)</t>
  </si>
  <si>
    <t>CP-PTX Dose Escalation</t>
  </si>
  <si>
    <t>Untreated Control</t>
  </si>
  <si>
    <t>5Gy x5</t>
  </si>
  <si>
    <r>
      <t>Bliss. Ind f</t>
    </r>
    <r>
      <rPr>
        <b/>
        <vertAlign val="subscript"/>
        <sz val="11"/>
        <color theme="1"/>
        <rFont val="Times New Roman"/>
        <family val="1"/>
      </rPr>
      <t>u</t>
    </r>
    <r>
      <rPr>
        <b/>
        <sz val="11"/>
        <color theme="1"/>
        <rFont val="Times New Roman"/>
        <family val="1"/>
      </rPr>
      <t>:</t>
    </r>
  </si>
  <si>
    <t>Bliss p-val:</t>
  </si>
  <si>
    <t>Died</t>
  </si>
  <si>
    <t>5x 5Gy EBRT</t>
  </si>
  <si>
    <t>5x 5Gy EBRT Combo</t>
  </si>
  <si>
    <t>5x 5Gy EBRT + CP-PTX</t>
  </si>
  <si>
    <t>Summary Analysis</t>
  </si>
  <si>
    <t>N</t>
  </si>
  <si>
    <t>Initial Tumor Size</t>
  </si>
  <si>
    <t>Body Weight</t>
  </si>
  <si>
    <t># Inflamed</t>
  </si>
  <si>
    <t>Inflamation Deaths</t>
  </si>
  <si>
    <t>% Tumor Response</t>
  </si>
  <si>
    <t>RECIST Results</t>
  </si>
  <si>
    <r>
      <t>Avg (mm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</si>
  <si>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Average (g)</t>
  </si>
  <si>
    <t>BW StD</t>
  </si>
  <si>
    <t>CR</t>
  </si>
  <si>
    <t>PR</t>
  </si>
  <si>
    <t>SD</t>
  </si>
  <si>
    <t>PD</t>
  </si>
  <si>
    <t>Untreated</t>
  </si>
  <si>
    <t>3x15</t>
  </si>
  <si>
    <t>3x15 PTX</t>
  </si>
  <si>
    <t>10x5</t>
  </si>
  <si>
    <t>10x5 PTX</t>
  </si>
  <si>
    <t>Day 0 = Date of Tumor Inoculations</t>
  </si>
  <si>
    <t>Treatment = Day 12</t>
  </si>
  <si>
    <t>Experiment Over = Day 116</t>
  </si>
  <si>
    <t>Day</t>
  </si>
  <si>
    <t>Treatment Day</t>
  </si>
  <si>
    <t>Mouse</t>
  </si>
  <si>
    <t>Treatment</t>
  </si>
  <si>
    <t>Weight (g)</t>
  </si>
  <si>
    <t>%BW</t>
  </si>
  <si>
    <t>Tumor Length (mm)</t>
  </si>
  <si>
    <t>Tumor Width (mm)</t>
  </si>
  <si>
    <t>Tumor Volume (mm^3)</t>
  </si>
  <si>
    <t>Notes</t>
  </si>
  <si>
    <t>2nd tumor: 4x3.4</t>
  </si>
  <si>
    <t>&lt;- Weird shape</t>
  </si>
  <si>
    <t>* Double check</t>
  </si>
  <si>
    <t>* Check</t>
  </si>
  <si>
    <t>*Check</t>
  </si>
  <si>
    <t>Jumpy</t>
  </si>
  <si>
    <t>Marks on back</t>
  </si>
  <si>
    <t>Very jumpy</t>
  </si>
  <si>
    <t>Cuts no worse</t>
  </si>
  <si>
    <t>Too jumpy to weigh</t>
  </si>
  <si>
    <t>Several "clumps"</t>
  </si>
  <si>
    <t>Fewer marks</t>
  </si>
  <si>
    <t>Marks look better</t>
  </si>
  <si>
    <t>Cut on right back foot</t>
  </si>
  <si>
    <t>Sac'd</t>
  </si>
  <si>
    <t>Right foot very red/swollen, mouse sac'd</t>
  </si>
  <si>
    <t>Marks appear healed</t>
  </si>
  <si>
    <t>Foot is red/seems tender</t>
  </si>
  <si>
    <t>Cuts look fine</t>
  </si>
  <si>
    <t>Foot slightly red</t>
  </si>
  <si>
    <t>Foot very red/swollen, mouse sac'd</t>
  </si>
  <si>
    <t>Overmeasured</t>
  </si>
  <si>
    <t>Foot slightly red, jumpy</t>
  </si>
  <si>
    <t>Foot red</t>
  </si>
  <si>
    <t>Significant redness/swollen foot, mouse sac'd</t>
  </si>
  <si>
    <t>Foot red/swollen, mouse sac'd</t>
  </si>
  <si>
    <t>Marks look fine</t>
  </si>
  <si>
    <t>Very jumpy, foot red/swollen, mouse sac'd</t>
  </si>
  <si>
    <t>Foot red, painful, mouse sac'd</t>
  </si>
  <si>
    <t>Foot slightly swollen</t>
  </si>
  <si>
    <t>Foot irritated</t>
  </si>
  <si>
    <t>Mouse sac'd - tumor size</t>
  </si>
  <si>
    <t>Foot slightly swollen, marks look fine</t>
  </si>
  <si>
    <t>Foot red, marks look fine, mixed more food</t>
  </si>
  <si>
    <t>Foot swollen</t>
  </si>
  <si>
    <t>Marks look fine, foot swollen slightly</t>
  </si>
  <si>
    <t>Mouse sac'd</t>
  </si>
  <si>
    <t>Must have been sac'd here</t>
  </si>
  <si>
    <t>Foot red/swollen</t>
  </si>
  <si>
    <t>Marks fine, foot slightly swollen</t>
  </si>
  <si>
    <t>Cuts on back</t>
  </si>
  <si>
    <t>Mouse looks sickly, can't walk right, sac'd</t>
  </si>
  <si>
    <t>Marks</t>
  </si>
  <si>
    <t>Tumor too large, mouse sac'd</t>
  </si>
  <si>
    <t>Foot swollen slightly</t>
  </si>
  <si>
    <t>Single mark on back</t>
  </si>
  <si>
    <t>Mark on back</t>
  </si>
  <si>
    <t>Foot red/swollen a little</t>
  </si>
  <si>
    <t>Foot slightly red/swollen</t>
  </si>
  <si>
    <t>Foot swollen + slightly red, marks</t>
  </si>
  <si>
    <t>Foot red/swollen - bruise on tumor</t>
  </si>
  <si>
    <t>~2 marks on back</t>
  </si>
  <si>
    <t>Mouse looks unkempt, unhelathy, sac'd</t>
  </si>
  <si>
    <t>Mouse has mark/cut on nose, looks unhealthy, sac'd</t>
  </si>
  <si>
    <t>Possible bruising under skin?</t>
  </si>
  <si>
    <t>Foot slightly red?</t>
  </si>
  <si>
    <t>Moribund, mouse sac'd</t>
  </si>
  <si>
    <t>Looks weak/small</t>
  </si>
  <si>
    <t>Very frail/on verge of moribund, mouse sac'd</t>
  </si>
  <si>
    <t>Second tumor noticed: 6.1x6.0 Tumor ulcerated, mouse sac'd</t>
  </si>
  <si>
    <t>Mouse looks unhealthy, body weight drop, sac'd</t>
  </si>
  <si>
    <t>Suvival Notes</t>
  </si>
  <si>
    <t>Survival Duration</t>
  </si>
  <si>
    <t>Foot Inflammation?</t>
  </si>
  <si>
    <t>Inflammation Severity</t>
  </si>
  <si>
    <t>Max Tumor Response</t>
  </si>
  <si>
    <t>Yes</t>
  </si>
  <si>
    <t>Mild</t>
  </si>
  <si>
    <t>Severe Swelling</t>
  </si>
  <si>
    <t>Foot red/very swollen, mouse sac'd</t>
  </si>
  <si>
    <t>Tumor too large and foot irritated, mouse sac'd</t>
  </si>
  <si>
    <t xml:space="preserve">Moderate </t>
  </si>
  <si>
    <t>Mouse has mark/cut on nose, foot is very read and swollen, looks unhealthy, sac'd</t>
  </si>
  <si>
    <t>Foot slightly swollen, body condition moribund, mouse sac'd</t>
  </si>
  <si>
    <t xml:space="preserve">  3x 15Gy EBRT + CP-PTX</t>
  </si>
  <si>
    <t xml:space="preserve">  5x 10Gy EBRT + CP-PTX</t>
  </si>
  <si>
    <t>Mouse Measurements:</t>
  </si>
  <si>
    <t>Additional EBRT Studies for Reviewers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</si>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</sst>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E+00"/>
    <numFmt numFmtId="165" formatCode="0.0"/>
    <numFmt numFmtId="166" formatCode="[$-409]d\-mmm;@"/>
    <numFmt numFmtId="167" formatCode="0.000"/>
    <numFmt numFmtId="168" formatCode="0.0%"/>
    <numFmt numFmtId="169" formatCode="0.00000"/>
  </numFmts>
  <fonts count="4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3"/>
      <name val="Times New Roman"/>
      <family val="1"/>
    </font>
    <font>
      <sz val="10"/>
      <color theme="4" tint="-0.249977111117893"/>
      <name val="Times New Roman"/>
      <family val="1"/>
    </font>
    <font>
      <b/>
      <sz val="10"/>
      <name val="Times New Roman"/>
      <family val="1"/>
    </font>
    <font>
      <sz val="16"/>
      <color theme="4" tint="-0.249977111117893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vertAlign val="superscript"/>
      <sz val="2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C00000"/>
      <name val="Times New Roman"/>
      <family val="1"/>
    </font>
    <font>
      <b/>
      <sz val="11"/>
      <color theme="1"/>
      <name val="Mathematica1"/>
      <charset val="2"/>
    </font>
    <font>
      <sz val="11"/>
      <color theme="1"/>
      <name val="Garamond"/>
      <family val="1"/>
    </font>
    <font>
      <b/>
      <u/>
      <sz val="11"/>
      <color theme="1"/>
      <name val="Garamond"/>
      <family val="1"/>
    </font>
    <font>
      <b/>
      <sz val="18"/>
      <color theme="1"/>
      <name val="Garamond"/>
      <family val="1"/>
    </font>
    <font>
      <b/>
      <sz val="11"/>
      <color theme="1"/>
      <name val="Garamond"/>
      <family val="1"/>
    </font>
    <font>
      <sz val="10"/>
      <color theme="1"/>
      <name val="Garamond"/>
      <family val="1"/>
    </font>
    <font>
      <i/>
      <sz val="11"/>
      <color theme="1"/>
      <name val="Garamond"/>
      <family val="1"/>
    </font>
    <font>
      <b/>
      <sz val="12"/>
      <color rgb="FF008000"/>
      <name val="Times New Roman"/>
      <family val="1"/>
    </font>
    <font>
      <b/>
      <sz val="12"/>
      <color theme="7" tint="-0.249977111117893"/>
      <name val="Times New Roman"/>
      <family val="1"/>
    </font>
    <font>
      <b/>
      <vertAlign val="superscript"/>
      <sz val="11"/>
      <color theme="1"/>
      <name val="Garamond"/>
      <family val="1"/>
    </font>
    <font>
      <b/>
      <sz val="12"/>
      <name val="Times New Roman"/>
      <family val="1"/>
    </font>
    <font>
      <b/>
      <vertAlign val="superscript"/>
      <sz val="10"/>
      <name val="Times New Roman"/>
      <family val="1"/>
    </font>
    <font>
      <b/>
      <sz val="9"/>
      <color rgb="FFC00000"/>
      <name val="Times New Roman"/>
      <family val="1"/>
    </font>
    <font>
      <sz val="8"/>
      <color theme="1"/>
      <name val="Times New Roman"/>
      <family val="1"/>
    </font>
    <font>
      <vertAlign val="superscript"/>
      <sz val="11"/>
      <color theme="1"/>
      <name val="Garamond"/>
      <family val="1"/>
    </font>
    <font>
      <sz val="8"/>
      <name val="Calibri"/>
      <family val="2"/>
      <scheme val="minor"/>
    </font>
    <font>
      <b/>
      <vertAlign val="superscript"/>
      <sz val="18"/>
      <color theme="1"/>
      <name val="Garamond"/>
      <family val="1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 style="thin">
        <color indexed="64"/>
      </right>
      <top style="dott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</cellStyleXfs>
  <cellXfs count="376">
    <xf numFmtId="0" fontId="0" fillId="0" borderId="0" xfId="0"/>
    <xf numFmtId="0" fontId="1" fillId="0" borderId="6" xfId="0" applyFont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14" fontId="11" fillId="0" borderId="0" xfId="0" applyNumberFormat="1" applyFont="1" applyProtection="1">
      <protection locked="0"/>
    </xf>
    <xf numFmtId="165" fontId="11" fillId="0" borderId="0" xfId="0" applyNumberFormat="1" applyFont="1" applyProtection="1">
      <protection locked="0"/>
    </xf>
    <xf numFmtId="164" fontId="11" fillId="0" borderId="0" xfId="0" applyNumberFormat="1" applyFont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2" fillId="0" borderId="8" xfId="0" applyFont="1" applyBorder="1" applyProtection="1">
      <protection locked="0"/>
    </xf>
    <xf numFmtId="14" fontId="2" fillId="0" borderId="2" xfId="0" applyNumberFormat="1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14" fontId="1" fillId="0" borderId="9" xfId="0" applyNumberFormat="1" applyFont="1" applyBorder="1" applyProtection="1">
      <protection locked="0"/>
    </xf>
    <xf numFmtId="165" fontId="1" fillId="0" borderId="4" xfId="0" applyNumberFormat="1" applyFont="1" applyBorder="1" applyProtection="1">
      <protection locked="0"/>
    </xf>
    <xf numFmtId="165" fontId="1" fillId="0" borderId="10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165" fontId="1" fillId="0" borderId="6" xfId="0" applyNumberFormat="1" applyFont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165" fontId="1" fillId="0" borderId="0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Protection="1">
      <protection locked="0"/>
    </xf>
    <xf numFmtId="0" fontId="7" fillId="0" borderId="2" xfId="0" applyFont="1" applyBorder="1" applyAlignme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65" fontId="1" fillId="0" borderId="0" xfId="0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166" fontId="4" fillId="0" borderId="0" xfId="0" applyNumberFormat="1" applyFont="1" applyBorder="1" applyAlignment="1" applyProtection="1">
      <alignment horizontal="left"/>
      <protection locked="0"/>
    </xf>
    <xf numFmtId="166" fontId="4" fillId="0" borderId="0" xfId="0" applyNumberFormat="1" applyFont="1" applyBorder="1" applyAlignment="1" applyProtection="1">
      <alignment horizontal="center"/>
      <protection locked="0"/>
    </xf>
    <xf numFmtId="166" fontId="6" fillId="0" borderId="0" xfId="0" applyNumberFormat="1" applyFont="1" applyBorder="1" applyProtection="1">
      <protection locked="0"/>
    </xf>
    <xf numFmtId="166" fontId="4" fillId="0" borderId="8" xfId="0" applyNumberFormat="1" applyFont="1" applyBorder="1" applyProtection="1">
      <protection locked="0"/>
    </xf>
    <xf numFmtId="166" fontId="4" fillId="0" borderId="2" xfId="0" applyNumberFormat="1" applyFont="1" applyBorder="1" applyProtection="1">
      <protection locked="0"/>
    </xf>
    <xf numFmtId="166" fontId="4" fillId="0" borderId="0" xfId="0" applyNumberFormat="1" applyFont="1" applyProtection="1">
      <protection locked="0"/>
    </xf>
    <xf numFmtId="165" fontId="11" fillId="0" borderId="0" xfId="0" applyNumberFormat="1" applyFont="1" applyBorder="1" applyProtection="1">
      <protection locked="0"/>
    </xf>
    <xf numFmtId="167" fontId="11" fillId="0" borderId="0" xfId="0" applyNumberFormat="1" applyFont="1" applyBorder="1" applyProtection="1">
      <protection locked="0"/>
    </xf>
    <xf numFmtId="167" fontId="1" fillId="0" borderId="0" xfId="0" applyNumberFormat="1" applyFont="1" applyBorder="1" applyProtection="1">
      <protection locked="0"/>
    </xf>
    <xf numFmtId="9" fontId="11" fillId="0" borderId="0" xfId="1" applyFont="1" applyBorder="1" applyAlignment="1" applyProtection="1">
      <alignment horizontal="center"/>
      <protection locked="0"/>
    </xf>
    <xf numFmtId="9" fontId="1" fillId="0" borderId="0" xfId="1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14" fontId="1" fillId="0" borderId="0" xfId="0" applyNumberFormat="1" applyFont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168" fontId="1" fillId="0" borderId="4" xfId="1" applyNumberFormat="1" applyFont="1" applyBorder="1" applyAlignment="1" applyProtection="1">
      <alignment horizontal="center"/>
      <protection locked="0"/>
    </xf>
    <xf numFmtId="168" fontId="1" fillId="0" borderId="16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Alignment="1" applyProtection="1">
      <alignment horizontal="center"/>
      <protection locked="0"/>
    </xf>
    <xf numFmtId="168" fontId="1" fillId="0" borderId="2" xfId="1" applyNumberFormat="1" applyFont="1" applyBorder="1" applyProtection="1">
      <protection locked="0"/>
    </xf>
    <xf numFmtId="168" fontId="1" fillId="0" borderId="14" xfId="1" applyNumberFormat="1" applyFont="1" applyBorder="1" applyAlignment="1" applyProtection="1">
      <alignment horizontal="center"/>
      <protection locked="0"/>
    </xf>
    <xf numFmtId="165" fontId="1" fillId="0" borderId="4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5" fontId="1" fillId="0" borderId="15" xfId="0" applyNumberFormat="1" applyFont="1" applyBorder="1" applyAlignment="1" applyProtection="1">
      <alignment horizontal="center"/>
      <protection locked="0"/>
    </xf>
    <xf numFmtId="165" fontId="1" fillId="0" borderId="16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Border="1" applyAlignment="1" applyProtection="1">
      <alignment horizontal="center"/>
      <protection locked="0"/>
    </xf>
    <xf numFmtId="165" fontId="1" fillId="0" borderId="6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14" fontId="1" fillId="0" borderId="0" xfId="0" applyNumberFormat="1" applyFont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3" fillId="0" borderId="8" xfId="0" applyFont="1" applyBorder="1" applyProtection="1"/>
    <xf numFmtId="0" fontId="3" fillId="0" borderId="0" xfId="0" applyFont="1"/>
    <xf numFmtId="0" fontId="3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166" fontId="15" fillId="0" borderId="0" xfId="0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Fill="1" applyBorder="1" applyProtection="1">
      <protection locked="0"/>
    </xf>
    <xf numFmtId="165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168" fontId="3" fillId="0" borderId="10" xfId="1" applyNumberFormat="1" applyFont="1" applyBorder="1" applyAlignment="1" applyProtection="1">
      <alignment horizontal="center"/>
      <protection locked="0"/>
    </xf>
    <xf numFmtId="168" fontId="3" fillId="0" borderId="17" xfId="1" applyNumberFormat="1" applyFont="1" applyBorder="1" applyAlignment="1" applyProtection="1">
      <alignment horizontal="center"/>
      <protection locked="0"/>
    </xf>
    <xf numFmtId="168" fontId="3" fillId="0" borderId="8" xfId="1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locked="0"/>
    </xf>
    <xf numFmtId="165" fontId="1" fillId="0" borderId="0" xfId="0" applyNumberFormat="1" applyFont="1" applyBorder="1" applyAlignment="1" applyProtection="1">
      <alignment vertical="top"/>
      <protection locked="0"/>
    </xf>
    <xf numFmtId="0" fontId="1" fillId="0" borderId="13" xfId="0" applyFont="1" applyFill="1" applyBorder="1" applyAlignment="1" applyProtection="1">
      <alignment horizontal="left"/>
      <protection locked="0"/>
    </xf>
    <xf numFmtId="0" fontId="8" fillId="0" borderId="13" xfId="0" applyFont="1" applyFill="1" applyBorder="1" applyProtection="1">
      <protection locked="0"/>
    </xf>
    <xf numFmtId="14" fontId="1" fillId="0" borderId="13" xfId="0" applyNumberFormat="1" applyFont="1" applyFill="1" applyBorder="1" applyProtection="1">
      <protection locked="0"/>
    </xf>
    <xf numFmtId="165" fontId="1" fillId="0" borderId="13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20" fillId="0" borderId="0" xfId="0" applyFont="1"/>
    <xf numFmtId="0" fontId="22" fillId="0" borderId="0" xfId="0" applyFont="1" applyAlignment="1">
      <alignment horizontal="center"/>
    </xf>
    <xf numFmtId="0" fontId="5" fillId="0" borderId="0" xfId="0" applyFont="1" applyBorder="1" applyAlignment="1" applyProtection="1">
      <protection locked="0"/>
    </xf>
    <xf numFmtId="165" fontId="1" fillId="2" borderId="5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Protection="1">
      <protection locked="0"/>
    </xf>
    <xf numFmtId="14" fontId="1" fillId="0" borderId="0" xfId="0" applyNumberFormat="1" applyFont="1" applyFill="1" applyBorder="1" applyProtection="1">
      <protection locked="0"/>
    </xf>
    <xf numFmtId="165" fontId="1" fillId="0" borderId="0" xfId="0" applyNumberFormat="1" applyFont="1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horizontal="right"/>
      <protection locked="0"/>
    </xf>
    <xf numFmtId="168" fontId="1" fillId="0" borderId="0" xfId="1" applyNumberFormat="1" applyFont="1" applyBorder="1" applyProtection="1">
      <protection locked="0"/>
    </xf>
    <xf numFmtId="168" fontId="16" fillId="0" borderId="8" xfId="1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right"/>
      <protection locked="0"/>
    </xf>
    <xf numFmtId="0" fontId="3" fillId="0" borderId="17" xfId="0" applyFont="1" applyBorder="1" applyAlignment="1" applyProtection="1">
      <alignment horizontal="right"/>
      <protection locked="0"/>
    </xf>
    <xf numFmtId="168" fontId="3" fillId="0" borderId="10" xfId="1" applyNumberFormat="1" applyFont="1" applyBorder="1" applyAlignment="1" applyProtection="1">
      <alignment horizontal="right"/>
      <protection locked="0"/>
    </xf>
    <xf numFmtId="168" fontId="3" fillId="0" borderId="17" xfId="1" applyNumberFormat="1" applyFont="1" applyBorder="1" applyAlignment="1" applyProtection="1">
      <alignment horizontal="right"/>
      <protection locked="0"/>
    </xf>
    <xf numFmtId="0" fontId="24" fillId="0" borderId="0" xfId="0" applyFont="1" applyBorder="1" applyAlignment="1" applyProtection="1">
      <protection locked="0"/>
    </xf>
    <xf numFmtId="2" fontId="21" fillId="0" borderId="0" xfId="0" applyNumberFormat="1" applyFont="1" applyAlignment="1">
      <alignment horizontal="center"/>
    </xf>
    <xf numFmtId="2" fontId="1" fillId="0" borderId="4" xfId="1" applyNumberFormat="1" applyFont="1" applyBorder="1" applyAlignment="1" applyProtection="1">
      <alignment horizontal="center"/>
      <protection locked="0"/>
    </xf>
    <xf numFmtId="168" fontId="1" fillId="0" borderId="4" xfId="1" applyNumberFormat="1" applyFont="1" applyBorder="1" applyProtection="1"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18" fillId="0" borderId="0" xfId="0" applyFont="1" applyAlignment="1">
      <alignment horizontal="center"/>
    </xf>
    <xf numFmtId="168" fontId="1" fillId="0" borderId="0" xfId="1" applyNumberFormat="1" applyFont="1" applyFill="1" applyBorder="1" applyAlignment="1" applyProtection="1">
      <alignment horizontal="center"/>
      <protection locked="0"/>
    </xf>
    <xf numFmtId="168" fontId="1" fillId="0" borderId="15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Protection="1">
      <protection locked="0"/>
    </xf>
    <xf numFmtId="0" fontId="18" fillId="0" borderId="0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2" fontId="21" fillId="0" borderId="0" xfId="0" applyNumberFormat="1" applyFont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2" fontId="1" fillId="0" borderId="0" xfId="1" applyNumberFormat="1" applyFont="1" applyBorder="1" applyAlignment="1" applyProtection="1">
      <alignment horizontal="center"/>
      <protection locked="0"/>
    </xf>
    <xf numFmtId="168" fontId="3" fillId="0" borderId="0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Border="1" applyAlignment="1" applyProtection="1">
      <alignment horizontal="center"/>
      <protection locked="0"/>
    </xf>
    <xf numFmtId="168" fontId="17" fillId="0" borderId="0" xfId="0" applyNumberFormat="1" applyFont="1"/>
    <xf numFmtId="168" fontId="1" fillId="0" borderId="0" xfId="0" applyNumberFormat="1" applyFont="1" applyAlignment="1" applyProtection="1">
      <alignment horizontal="center"/>
      <protection locked="0"/>
    </xf>
    <xf numFmtId="168" fontId="8" fillId="0" borderId="0" xfId="0" applyNumberFormat="1" applyFont="1" applyProtection="1">
      <protection locked="0"/>
    </xf>
    <xf numFmtId="168" fontId="20" fillId="0" borderId="0" xfId="0" applyNumberFormat="1" applyFont="1"/>
    <xf numFmtId="168" fontId="1" fillId="0" borderId="0" xfId="0" applyNumberFormat="1" applyFont="1" applyProtection="1">
      <protection locked="0"/>
    </xf>
    <xf numFmtId="168" fontId="3" fillId="0" borderId="0" xfId="0" applyNumberFormat="1" applyFont="1"/>
    <xf numFmtId="168" fontId="1" fillId="0" borderId="0" xfId="0" applyNumberFormat="1" applyFont="1" applyBorder="1" applyAlignment="1" applyProtection="1">
      <alignment vertical="top"/>
      <protection locked="0"/>
    </xf>
    <xf numFmtId="168" fontId="3" fillId="0" borderId="0" xfId="0" applyNumberFormat="1" applyFont="1" applyBorder="1" applyAlignment="1" applyProtection="1">
      <alignment horizontal="center"/>
      <protection locked="0"/>
    </xf>
    <xf numFmtId="169" fontId="1" fillId="0" borderId="0" xfId="1" applyNumberFormat="1" applyFont="1" applyBorder="1" applyAlignment="1" applyProtection="1">
      <alignment horizontal="center"/>
      <protection locked="0"/>
    </xf>
    <xf numFmtId="169" fontId="17" fillId="0" borderId="0" xfId="0" applyNumberFormat="1" applyFont="1"/>
    <xf numFmtId="169" fontId="1" fillId="0" borderId="0" xfId="0" applyNumberFormat="1" applyFont="1" applyAlignment="1" applyProtection="1">
      <alignment horizontal="center"/>
      <protection locked="0"/>
    </xf>
    <xf numFmtId="169" fontId="8" fillId="0" borderId="0" xfId="0" applyNumberFormat="1" applyFont="1" applyProtection="1">
      <protection locked="0"/>
    </xf>
    <xf numFmtId="169" fontId="20" fillId="0" borderId="0" xfId="0" applyNumberFormat="1" applyFont="1"/>
    <xf numFmtId="169" fontId="1" fillId="0" borderId="0" xfId="0" applyNumberFormat="1" applyFont="1" applyProtection="1">
      <protection locked="0"/>
    </xf>
    <xf numFmtId="169" fontId="3" fillId="0" borderId="0" xfId="0" applyNumberFormat="1" applyFont="1"/>
    <xf numFmtId="169" fontId="1" fillId="0" borderId="0" xfId="0" applyNumberFormat="1" applyFont="1" applyBorder="1" applyAlignment="1" applyProtection="1">
      <alignment vertical="top"/>
      <protection locked="0"/>
    </xf>
    <xf numFmtId="169" fontId="3" fillId="0" borderId="0" xfId="0" applyNumberFormat="1" applyFont="1" applyBorder="1" applyAlignment="1" applyProtection="1">
      <alignment horizontal="center"/>
      <protection locked="0"/>
    </xf>
    <xf numFmtId="169" fontId="3" fillId="0" borderId="0" xfId="1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0" fontId="1" fillId="0" borderId="0" xfId="0" applyNumberFormat="1" applyFont="1" applyProtection="1">
      <protection locked="0"/>
    </xf>
    <xf numFmtId="10" fontId="1" fillId="0" borderId="0" xfId="1" applyNumberFormat="1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left"/>
      <protection locked="0"/>
    </xf>
    <xf numFmtId="169" fontId="1" fillId="0" borderId="0" xfId="0" applyNumberFormat="1" applyFont="1" applyAlignment="1" applyProtection="1">
      <alignment horizontal="left"/>
      <protection locked="0"/>
    </xf>
    <xf numFmtId="166" fontId="2" fillId="2" borderId="2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" fontId="15" fillId="0" borderId="0" xfId="0" applyNumberFormat="1" applyFont="1" applyBorder="1" applyAlignment="1" applyProtection="1">
      <alignment horizontal="center"/>
      <protection locked="0"/>
    </xf>
    <xf numFmtId="166" fontId="26" fillId="0" borderId="0" xfId="0" applyNumberFormat="1" applyFont="1" applyBorder="1" applyAlignment="1" applyProtection="1">
      <alignment horizontal="left"/>
      <protection locked="0"/>
    </xf>
    <xf numFmtId="166" fontId="26" fillId="0" borderId="0" xfId="0" applyNumberFormat="1" applyFont="1" applyBorder="1" applyAlignment="1" applyProtection="1">
      <alignment horizontal="center"/>
      <protection locked="0"/>
    </xf>
    <xf numFmtId="166" fontId="26" fillId="0" borderId="0" xfId="0" applyNumberFormat="1" applyFont="1" applyBorder="1" applyProtection="1">
      <protection locked="0"/>
    </xf>
    <xf numFmtId="166" fontId="26" fillId="0" borderId="8" xfId="0" applyNumberFormat="1" applyFont="1" applyBorder="1" applyProtection="1">
      <protection locked="0"/>
    </xf>
    <xf numFmtId="166" fontId="9" fillId="2" borderId="5" xfId="0" applyNumberFormat="1" applyFont="1" applyFill="1" applyBorder="1" applyAlignment="1" applyProtection="1">
      <alignment horizontal="left"/>
      <protection locked="0"/>
    </xf>
    <xf numFmtId="0" fontId="26" fillId="0" borderId="2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 applyProtection="1">
      <alignment horizontal="left" vertical="top"/>
      <protection locked="0"/>
    </xf>
    <xf numFmtId="0" fontId="26" fillId="0" borderId="8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8" xfId="0" applyFont="1" applyBorder="1" applyProtection="1">
      <protection locked="0"/>
    </xf>
    <xf numFmtId="14" fontId="9" fillId="0" borderId="2" xfId="0" applyNumberFormat="1" applyFont="1" applyBorder="1" applyProtection="1">
      <protection locked="0"/>
    </xf>
    <xf numFmtId="165" fontId="9" fillId="0" borderId="0" xfId="0" applyNumberFormat="1" applyFont="1" applyBorder="1" applyProtection="1">
      <protection locked="0"/>
    </xf>
    <xf numFmtId="2" fontId="9" fillId="0" borderId="0" xfId="1" applyNumberFormat="1" applyFont="1" applyBorder="1" applyAlignment="1" applyProtection="1">
      <alignment horizontal="left"/>
      <protection locked="0"/>
    </xf>
    <xf numFmtId="167" fontId="9" fillId="0" borderId="0" xfId="0" applyNumberFormat="1" applyFont="1" applyBorder="1" applyAlignment="1" applyProtection="1">
      <alignment horizontal="left"/>
      <protection locked="0"/>
    </xf>
    <xf numFmtId="167" fontId="9" fillId="0" borderId="8" xfId="0" applyNumberFormat="1" applyFont="1" applyBorder="1" applyAlignment="1" applyProtection="1">
      <alignment horizontal="left"/>
      <protection locked="0"/>
    </xf>
    <xf numFmtId="0" fontId="9" fillId="2" borderId="3" xfId="0" applyFont="1" applyFill="1" applyBorder="1" applyAlignment="1" applyProtection="1">
      <alignment horizontal="left"/>
      <protection locked="0"/>
    </xf>
    <xf numFmtId="166" fontId="5" fillId="0" borderId="0" xfId="0" applyNumberFormat="1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11" fillId="0" borderId="0" xfId="0" applyNumberFormat="1" applyFont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center" vertical="top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14" fontId="1" fillId="0" borderId="13" xfId="0" applyNumberFormat="1" applyFont="1" applyFill="1" applyBorder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/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165" fontId="11" fillId="0" borderId="0" xfId="0" applyNumberFormat="1" applyFont="1" applyAlignment="1" applyProtection="1">
      <alignment horizontal="center"/>
      <protection locked="0"/>
    </xf>
    <xf numFmtId="14" fontId="9" fillId="0" borderId="2" xfId="0" applyNumberFormat="1" applyFont="1" applyBorder="1" applyAlignment="1" applyProtection="1">
      <protection locked="0"/>
    </xf>
    <xf numFmtId="14" fontId="9" fillId="0" borderId="0" xfId="0" applyNumberFormat="1" applyFont="1" applyBorder="1" applyAlignment="1" applyProtection="1">
      <protection locked="0"/>
    </xf>
    <xf numFmtId="165" fontId="9" fillId="0" borderId="0" xfId="0" applyNumberFormat="1" applyFont="1" applyBorder="1" applyAlignment="1" applyProtection="1"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14" fontId="28" fillId="0" borderId="0" xfId="0" applyNumberFormat="1" applyFont="1" applyBorder="1" applyAlignment="1" applyProtection="1">
      <alignment horizontal="left" vertical="center"/>
      <protection locked="0"/>
    </xf>
    <xf numFmtId="14" fontId="1" fillId="0" borderId="9" xfId="0" applyNumberFormat="1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14" fontId="2" fillId="0" borderId="2" xfId="0" applyNumberFormat="1" applyFont="1" applyBorder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/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165" fontId="1" fillId="0" borderId="0" xfId="0" applyNumberFormat="1" applyFont="1" applyBorder="1" applyAlignment="1" applyProtection="1">
      <alignment horizontal="center" vertical="top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14" fontId="1" fillId="0" borderId="0" xfId="0" applyNumberFormat="1" applyFont="1" applyFill="1" applyBorder="1" applyAlignment="1" applyProtection="1">
      <alignment horizontal="center"/>
      <protection locked="0"/>
    </xf>
    <xf numFmtId="168" fontId="29" fillId="0" borderId="6" xfId="1" applyNumberFormat="1" applyFont="1" applyBorder="1" applyAlignment="1" applyProtection="1">
      <alignment horizontal="center"/>
      <protection locked="0"/>
    </xf>
    <xf numFmtId="168" fontId="29" fillId="0" borderId="14" xfId="1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4" fontId="28" fillId="0" borderId="0" xfId="0" applyNumberFormat="1" applyFont="1" applyBorder="1" applyAlignment="1" applyProtection="1">
      <alignment horizontal="center" vertical="center"/>
      <protection locked="0"/>
    </xf>
    <xf numFmtId="1" fontId="11" fillId="0" borderId="0" xfId="0" applyNumberFormat="1" applyFont="1" applyBorder="1" applyProtection="1">
      <protection locked="0"/>
    </xf>
    <xf numFmtId="1" fontId="26" fillId="0" borderId="0" xfId="0" applyNumberFormat="1" applyFont="1" applyBorder="1" applyAlignment="1" applyProtection="1">
      <alignment horizontal="left" vertical="top"/>
      <protection locked="0"/>
    </xf>
    <xf numFmtId="1" fontId="9" fillId="0" borderId="0" xfId="0" applyNumberFormat="1" applyFont="1" applyBorder="1" applyAlignment="1" applyProtection="1">
      <alignment horizontal="left"/>
      <protection locked="0"/>
    </xf>
    <xf numFmtId="1" fontId="1" fillId="0" borderId="4" xfId="1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1" fontId="1" fillId="0" borderId="0" xfId="0" applyNumberFormat="1" applyFont="1" applyBorder="1" applyProtection="1"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Border="1" applyAlignment="1" applyProtection="1">
      <alignment vertical="top"/>
      <protection locked="0"/>
    </xf>
    <xf numFmtId="0" fontId="9" fillId="2" borderId="21" xfId="0" applyFon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18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right"/>
      <protection locked="0"/>
    </xf>
    <xf numFmtId="167" fontId="1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8" xfId="0" applyFont="1" applyBorder="1" applyProtection="1">
      <protection locked="0"/>
    </xf>
    <xf numFmtId="0" fontId="7" fillId="0" borderId="2" xfId="0" applyFont="1" applyBorder="1" applyProtection="1">
      <protection locked="0"/>
    </xf>
    <xf numFmtId="166" fontId="4" fillId="0" borderId="0" xfId="0" applyNumberFormat="1" applyFont="1" applyAlignment="1" applyProtection="1">
      <alignment horizontal="left"/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66" fontId="6" fillId="0" borderId="0" xfId="0" applyNumberFormat="1" applyFont="1" applyProtection="1">
      <protection locked="0"/>
    </xf>
    <xf numFmtId="166" fontId="2" fillId="2" borderId="5" xfId="0" applyNumberFormat="1" applyFont="1" applyFill="1" applyBorder="1" applyAlignment="1" applyProtection="1">
      <alignment horizontal="left"/>
      <protection locked="0"/>
    </xf>
    <xf numFmtId="166" fontId="15" fillId="0" borderId="0" xfId="0" applyNumberFormat="1" applyFont="1" applyAlignment="1" applyProtection="1">
      <alignment horizontal="center"/>
      <protection locked="0"/>
    </xf>
    <xf numFmtId="166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165" fontId="2" fillId="0" borderId="0" xfId="0" applyNumberFormat="1" applyFont="1" applyProtection="1">
      <protection locked="0"/>
    </xf>
    <xf numFmtId="165" fontId="2" fillId="0" borderId="0" xfId="1" applyNumberFormat="1" applyFont="1" applyBorder="1" applyAlignment="1" applyProtection="1">
      <alignment horizontal="left"/>
      <protection locked="0"/>
    </xf>
    <xf numFmtId="167" fontId="2" fillId="0" borderId="8" xfId="0" applyNumberFormat="1" applyFont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5" fontId="1" fillId="0" borderId="4" xfId="0" applyNumberFormat="1" applyFont="1" applyBorder="1" applyAlignment="1" applyProtection="1">
      <alignment horizontal="right"/>
      <protection locked="0"/>
    </xf>
    <xf numFmtId="165" fontId="1" fillId="0" borderId="4" xfId="1" applyNumberFormat="1" applyFont="1" applyBorder="1" applyAlignment="1" applyProtection="1">
      <alignment horizontal="right"/>
      <protection locked="0"/>
    </xf>
    <xf numFmtId="2" fontId="1" fillId="0" borderId="4" xfId="1" applyNumberFormat="1" applyFont="1" applyBorder="1" applyAlignment="1" applyProtection="1">
      <alignment horizontal="right"/>
      <protection locked="0"/>
    </xf>
    <xf numFmtId="167" fontId="1" fillId="0" borderId="4" xfId="1" applyNumberFormat="1" applyFont="1" applyBorder="1" applyAlignment="1" applyProtection="1">
      <alignment horizontal="right"/>
      <protection locked="0"/>
    </xf>
    <xf numFmtId="168" fontId="1" fillId="0" borderId="6" xfId="1" applyNumberFormat="1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8" fillId="0" borderId="22" xfId="0" applyFont="1" applyBorder="1" applyProtection="1">
      <protection locked="0"/>
    </xf>
    <xf numFmtId="165" fontId="1" fillId="0" borderId="22" xfId="0" applyNumberFormat="1" applyFont="1" applyBorder="1" applyProtection="1">
      <protection locked="0"/>
    </xf>
    <xf numFmtId="165" fontId="1" fillId="0" borderId="0" xfId="0" applyNumberFormat="1" applyFont="1" applyAlignment="1" applyProtection="1">
      <alignment horizontal="right"/>
      <protection locked="0"/>
    </xf>
    <xf numFmtId="165" fontId="1" fillId="0" borderId="0" xfId="1" applyNumberFormat="1" applyFont="1" applyBorder="1" applyAlignment="1" applyProtection="1">
      <alignment horizontal="right"/>
      <protection locked="0"/>
    </xf>
    <xf numFmtId="165" fontId="1" fillId="0" borderId="23" xfId="0" applyNumberFormat="1" applyFont="1" applyBorder="1" applyProtection="1">
      <protection locked="0"/>
    </xf>
    <xf numFmtId="165" fontId="1" fillId="0" borderId="24" xfId="0" applyNumberFormat="1" applyFont="1" applyBorder="1" applyAlignment="1" applyProtection="1">
      <alignment horizontal="center"/>
      <protection locked="0"/>
    </xf>
    <xf numFmtId="165" fontId="1" fillId="0" borderId="22" xfId="0" applyNumberFormat="1" applyFont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8" fillId="0" borderId="13" xfId="0" applyFont="1" applyBorder="1" applyProtection="1">
      <protection locked="0"/>
    </xf>
    <xf numFmtId="0" fontId="1" fillId="0" borderId="13" xfId="0" applyFont="1" applyBorder="1" applyProtection="1">
      <protection locked="0"/>
    </xf>
    <xf numFmtId="14" fontId="1" fillId="0" borderId="13" xfId="0" applyNumberFormat="1" applyFont="1" applyBorder="1" applyProtection="1">
      <protection locked="0"/>
    </xf>
    <xf numFmtId="165" fontId="1" fillId="0" borderId="13" xfId="0" applyNumberFormat="1" applyFont="1" applyBorder="1" applyProtection="1">
      <protection locked="0"/>
    </xf>
    <xf numFmtId="164" fontId="1" fillId="0" borderId="13" xfId="0" applyNumberFormat="1" applyFont="1" applyBorder="1" applyProtection="1">
      <protection locked="0"/>
    </xf>
    <xf numFmtId="165" fontId="1" fillId="0" borderId="13" xfId="1" applyNumberFormat="1" applyFont="1" applyFill="1" applyBorder="1" applyAlignment="1" applyProtection="1">
      <alignment horizontal="right"/>
      <protection locked="0"/>
    </xf>
    <xf numFmtId="167" fontId="1" fillId="0" borderId="13" xfId="0" applyNumberFormat="1" applyFont="1" applyBorder="1" applyProtection="1">
      <protection locked="0"/>
    </xf>
    <xf numFmtId="165" fontId="1" fillId="0" borderId="13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0" fontId="3" fillId="0" borderId="8" xfId="0" applyFont="1" applyBorder="1"/>
    <xf numFmtId="165" fontId="1" fillId="0" borderId="0" xfId="0" applyNumberFormat="1" applyFont="1" applyAlignment="1" applyProtection="1">
      <alignment vertical="top"/>
      <protection locked="0"/>
    </xf>
    <xf numFmtId="2" fontId="1" fillId="0" borderId="0" xfId="0" applyNumberFormat="1" applyFont="1" applyAlignment="1" applyProtection="1">
      <alignment horizontal="right" vertical="top"/>
      <protection locked="0"/>
    </xf>
    <xf numFmtId="168" fontId="1" fillId="0" borderId="0" xfId="0" applyNumberFormat="1" applyFont="1" applyAlignment="1" applyProtection="1">
      <alignment vertical="top"/>
      <protection locked="0"/>
    </xf>
    <xf numFmtId="168" fontId="1" fillId="0" borderId="0" xfId="0" applyNumberFormat="1" applyFont="1" applyAlignment="1" applyProtection="1">
      <alignment horizontal="right" vertical="top"/>
      <protection locked="0"/>
    </xf>
    <xf numFmtId="168" fontId="3" fillId="0" borderId="0" xfId="0" applyNumberFormat="1" applyFont="1" applyAlignment="1" applyProtection="1">
      <alignment horizontal="center"/>
      <protection locked="0"/>
    </xf>
    <xf numFmtId="169" fontId="1" fillId="0" borderId="0" xfId="0" applyNumberFormat="1" applyFont="1" applyAlignment="1" applyProtection="1">
      <alignment vertical="top"/>
      <protection locked="0"/>
    </xf>
    <xf numFmtId="169" fontId="1" fillId="0" borderId="0" xfId="0" applyNumberFormat="1" applyFont="1" applyAlignment="1" applyProtection="1">
      <alignment horizontal="right" vertical="top"/>
      <protection locked="0"/>
    </xf>
    <xf numFmtId="169" fontId="3" fillId="0" borderId="0" xfId="0" applyNumberFormat="1" applyFont="1" applyAlignment="1" applyProtection="1">
      <alignment horizontal="center"/>
      <protection locked="0"/>
    </xf>
    <xf numFmtId="169" fontId="3" fillId="0" borderId="17" xfId="1" applyNumberFormat="1" applyFont="1" applyBorder="1" applyAlignment="1" applyProtection="1">
      <alignment horizontal="right"/>
      <protection locked="0"/>
    </xf>
    <xf numFmtId="167" fontId="1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6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36" fillId="0" borderId="0" xfId="2" applyFont="1"/>
    <xf numFmtId="0" fontId="35" fillId="0" borderId="0" xfId="2"/>
    <xf numFmtId="0" fontId="37" fillId="0" borderId="0" xfId="2" applyFont="1"/>
    <xf numFmtId="0" fontId="35" fillId="0" borderId="0" xfId="2" applyAlignment="1">
      <alignment horizontal="center"/>
    </xf>
    <xf numFmtId="165" fontId="35" fillId="0" borderId="0" xfId="2" applyNumberFormat="1" applyAlignment="1">
      <alignment horizontal="center"/>
    </xf>
    <xf numFmtId="168" fontId="0" fillId="0" borderId="0" xfId="3" applyNumberFormat="1" applyFont="1" applyAlignment="1">
      <alignment horizontal="center"/>
    </xf>
    <xf numFmtId="0" fontId="37" fillId="0" borderId="0" xfId="2" applyFont="1" applyAlignment="1">
      <alignment horizontal="center"/>
    </xf>
    <xf numFmtId="165" fontId="33" fillId="0" borderId="20" xfId="2" applyNumberFormat="1" applyFont="1" applyBorder="1" applyAlignment="1">
      <alignment horizontal="center"/>
    </xf>
    <xf numFmtId="165" fontId="33" fillId="0" borderId="1" xfId="2" applyNumberFormat="1" applyFont="1" applyBorder="1" applyAlignment="1">
      <alignment horizontal="center"/>
    </xf>
    <xf numFmtId="165" fontId="33" fillId="0" borderId="19" xfId="2" applyNumberFormat="1" applyFont="1" applyBorder="1" applyAlignment="1">
      <alignment horizontal="center"/>
    </xf>
    <xf numFmtId="0" fontId="35" fillId="0" borderId="1" xfId="2" applyBorder="1" applyAlignment="1">
      <alignment horizontal="center"/>
    </xf>
    <xf numFmtId="0" fontId="33" fillId="0" borderId="1" xfId="2" applyFont="1" applyBorder="1" applyAlignment="1">
      <alignment horizontal="center"/>
    </xf>
    <xf numFmtId="0" fontId="33" fillId="0" borderId="19" xfId="2" applyFont="1" applyBorder="1" applyAlignment="1">
      <alignment horizontal="center"/>
    </xf>
    <xf numFmtId="0" fontId="37" fillId="0" borderId="8" xfId="2" applyFont="1" applyBorder="1"/>
    <xf numFmtId="0" fontId="14" fillId="0" borderId="0" xfId="2" applyFont="1" applyAlignment="1">
      <alignment horizontal="center"/>
    </xf>
    <xf numFmtId="165" fontId="14" fillId="0" borderId="2" xfId="2" applyNumberFormat="1" applyFont="1" applyBorder="1" applyAlignment="1">
      <alignment horizontal="center"/>
    </xf>
    <xf numFmtId="165" fontId="14" fillId="0" borderId="0" xfId="2" applyNumberFormat="1" applyFont="1" applyAlignment="1">
      <alignment horizontal="center"/>
    </xf>
    <xf numFmtId="165" fontId="14" fillId="0" borderId="8" xfId="2" applyNumberFormat="1" applyFont="1" applyBorder="1" applyAlignment="1">
      <alignment horizontal="center"/>
    </xf>
    <xf numFmtId="0" fontId="35" fillId="0" borderId="2" xfId="2" applyBorder="1" applyAlignment="1">
      <alignment horizontal="center"/>
    </xf>
    <xf numFmtId="0" fontId="35" fillId="0" borderId="8" xfId="2" applyBorder="1" applyAlignment="1">
      <alignment horizontal="center"/>
    </xf>
    <xf numFmtId="168" fontId="0" fillId="0" borderId="2" xfId="3" applyNumberFormat="1" applyFont="1" applyBorder="1" applyAlignment="1">
      <alignment horizontal="center"/>
    </xf>
    <xf numFmtId="165" fontId="35" fillId="0" borderId="0" xfId="2" applyNumberFormat="1"/>
    <xf numFmtId="168" fontId="0" fillId="0" borderId="0" xfId="3" applyNumberFormat="1" applyFont="1"/>
    <xf numFmtId="0" fontId="40" fillId="0" borderId="0" xfId="2" applyFont="1"/>
    <xf numFmtId="168" fontId="40" fillId="0" borderId="0" xfId="3" applyNumberFormat="1" applyFont="1"/>
    <xf numFmtId="165" fontId="37" fillId="0" borderId="0" xfId="2" applyNumberFormat="1" applyFont="1"/>
    <xf numFmtId="168" fontId="37" fillId="0" borderId="0" xfId="3" applyNumberFormat="1" applyFont="1"/>
    <xf numFmtId="0" fontId="41" fillId="0" borderId="0" xfId="2" applyFont="1"/>
    <xf numFmtId="0" fontId="42" fillId="0" borderId="0" xfId="2" applyFont="1"/>
    <xf numFmtId="0" fontId="43" fillId="0" borderId="0" xfId="2" applyFont="1" applyAlignment="1">
      <alignment vertical="top"/>
    </xf>
    <xf numFmtId="1" fontId="43" fillId="0" borderId="0" xfId="2" applyNumberFormat="1" applyFont="1" applyAlignment="1">
      <alignment horizontal="center" vertical="top"/>
    </xf>
    <xf numFmtId="168" fontId="43" fillId="0" borderId="0" xfId="3" applyNumberFormat="1" applyFont="1" applyAlignment="1">
      <alignment horizontal="center" vertical="top"/>
    </xf>
    <xf numFmtId="0" fontId="37" fillId="0" borderId="0" xfId="2" applyFont="1" applyAlignment="1">
      <alignment vertical="top"/>
    </xf>
    <xf numFmtId="1" fontId="37" fillId="0" borderId="0" xfId="2" applyNumberFormat="1" applyFont="1" applyAlignment="1">
      <alignment horizontal="center" vertical="top"/>
    </xf>
    <xf numFmtId="168" fontId="37" fillId="0" borderId="0" xfId="3" applyNumberFormat="1" applyFont="1" applyAlignment="1">
      <alignment horizontal="center" vertical="top"/>
    </xf>
    <xf numFmtId="165" fontId="37" fillId="0" borderId="0" xfId="2" applyNumberFormat="1" applyFont="1" applyAlignment="1">
      <alignment vertical="top"/>
    </xf>
    <xf numFmtId="168" fontId="37" fillId="0" borderId="0" xfId="3" applyNumberFormat="1" applyFont="1" applyAlignment="1">
      <alignment vertical="top"/>
    </xf>
    <xf numFmtId="0" fontId="35" fillId="0" borderId="0" xfId="2" applyAlignment="1">
      <alignment horizontal="center" vertical="top"/>
    </xf>
    <xf numFmtId="0" fontId="35" fillId="0" borderId="0" xfId="2" applyAlignment="1">
      <alignment vertical="top"/>
    </xf>
    <xf numFmtId="1" fontId="35" fillId="0" borderId="0" xfId="2" applyNumberFormat="1" applyAlignment="1">
      <alignment horizontal="center" vertical="top"/>
    </xf>
    <xf numFmtId="168" fontId="0" fillId="0" borderId="0" xfId="3" applyNumberFormat="1" applyFont="1" applyAlignment="1">
      <alignment horizontal="center" vertical="top"/>
    </xf>
    <xf numFmtId="168" fontId="0" fillId="0" borderId="0" xfId="3" applyNumberFormat="1" applyFont="1" applyAlignment="1">
      <alignment vertical="top"/>
    </xf>
    <xf numFmtId="0" fontId="37" fillId="0" borderId="1" xfId="2" applyFont="1" applyBorder="1" applyAlignment="1">
      <alignment horizontal="left" vertical="top" wrapText="1"/>
    </xf>
    <xf numFmtId="0" fontId="37" fillId="0" borderId="19" xfId="2" applyFont="1" applyBorder="1" applyAlignment="1">
      <alignment vertical="top" wrapText="1"/>
    </xf>
    <xf numFmtId="1" fontId="37" fillId="0" borderId="1" xfId="2" applyNumberFormat="1" applyFont="1" applyBorder="1" applyAlignment="1">
      <alignment horizontal="center" vertical="top" wrapText="1"/>
    </xf>
    <xf numFmtId="168" fontId="37" fillId="0" borderId="1" xfId="3" applyNumberFormat="1" applyFont="1" applyBorder="1" applyAlignment="1">
      <alignment horizontal="center" vertical="top" wrapText="1"/>
    </xf>
    <xf numFmtId="168" fontId="37" fillId="0" borderId="1" xfId="3" applyNumberFormat="1" applyFont="1" applyBorder="1" applyAlignment="1">
      <alignment vertical="top" wrapText="1"/>
    </xf>
    <xf numFmtId="0" fontId="35" fillId="0" borderId="0" xfId="2" applyAlignment="1">
      <alignment vertical="top" wrapText="1"/>
    </xf>
    <xf numFmtId="0" fontId="35" fillId="0" borderId="8" xfId="2" applyBorder="1" applyAlignment="1">
      <alignment vertical="top"/>
    </xf>
    <xf numFmtId="1" fontId="0" fillId="0" borderId="0" xfId="3" applyNumberFormat="1" applyFont="1" applyAlignment="1">
      <alignment horizontal="center" vertical="top"/>
    </xf>
    <xf numFmtId="0" fontId="44" fillId="0" borderId="0" xfId="0" applyFont="1" applyAlignment="1" applyProtection="1">
      <alignment horizontal="left"/>
      <protection locked="0"/>
    </xf>
    <xf numFmtId="0" fontId="45" fillId="0" borderId="0" xfId="2" applyFont="1"/>
    <xf numFmtId="165" fontId="45" fillId="0" borderId="0" xfId="2" applyNumberFormat="1" applyFont="1"/>
    <xf numFmtId="168" fontId="45" fillId="0" borderId="0" xfId="3" applyNumberFormat="1" applyFont="1"/>
    <xf numFmtId="0" fontId="36" fillId="0" borderId="0" xfId="2" applyFont="1" applyAlignment="1"/>
    <xf numFmtId="0" fontId="40" fillId="0" borderId="0" xfId="2" applyFont="1" applyAlignment="1"/>
    <xf numFmtId="0" fontId="36" fillId="0" borderId="0" xfId="2" applyFont="1" applyAlignment="1">
      <alignment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2" fillId="0" borderId="0" xfId="0" applyNumberFormat="1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18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top"/>
      <protection locked="0"/>
    </xf>
    <xf numFmtId="14" fontId="2" fillId="0" borderId="0" xfId="0" applyNumberFormat="1" applyFont="1" applyAlignment="1" applyProtection="1">
      <alignment horizontal="left" vertical="top"/>
      <protection locked="0"/>
    </xf>
    <xf numFmtId="168" fontId="37" fillId="0" borderId="2" xfId="3" applyNumberFormat="1" applyFont="1" applyBorder="1" applyAlignment="1">
      <alignment horizontal="center" vertical="top" wrapText="1"/>
    </xf>
    <xf numFmtId="168" fontId="37" fillId="0" borderId="20" xfId="3" applyNumberFormat="1" applyFont="1" applyBorder="1" applyAlignment="1">
      <alignment horizontal="center" vertical="top" wrapText="1"/>
    </xf>
    <xf numFmtId="0" fontId="37" fillId="0" borderId="0" xfId="2" applyFont="1" applyAlignment="1">
      <alignment horizontal="center"/>
    </xf>
    <xf numFmtId="0" fontId="37" fillId="0" borderId="8" xfId="2" applyFont="1" applyBorder="1" applyAlignment="1">
      <alignment horizontal="center"/>
    </xf>
    <xf numFmtId="0" fontId="38" fillId="0" borderId="0" xfId="2" applyFont="1" applyAlignment="1">
      <alignment horizontal="center" vertical="center"/>
    </xf>
    <xf numFmtId="0" fontId="38" fillId="0" borderId="1" xfId="2" applyFont="1" applyBorder="1" applyAlignment="1">
      <alignment horizontal="center" vertical="center"/>
    </xf>
    <xf numFmtId="0" fontId="37" fillId="0" borderId="2" xfId="2" applyFont="1" applyBorder="1" applyAlignment="1">
      <alignment horizontal="center"/>
    </xf>
    <xf numFmtId="165" fontId="37" fillId="0" borderId="2" xfId="2" applyNumberFormat="1" applyFont="1" applyBorder="1" applyAlignment="1">
      <alignment horizontal="center" vertical="top"/>
    </xf>
    <xf numFmtId="165" fontId="37" fillId="0" borderId="20" xfId="2" applyNumberFormat="1" applyFont="1" applyBorder="1" applyAlignment="1">
      <alignment horizontal="center" vertical="top"/>
    </xf>
    <xf numFmtId="165" fontId="37" fillId="0" borderId="8" xfId="2" applyNumberFormat="1" applyFont="1" applyBorder="1" applyAlignment="1">
      <alignment horizontal="center" vertical="top" wrapText="1"/>
    </xf>
    <xf numFmtId="165" fontId="37" fillId="0" borderId="19" xfId="2" applyNumberFormat="1" applyFont="1" applyBorder="1" applyAlignment="1">
      <alignment horizontal="center" vertical="top" wrapText="1"/>
    </xf>
  </cellXfs>
  <cellStyles count="4">
    <cellStyle name="Normal" xfId="0" builtinId="0"/>
    <cellStyle name="Normal 2" xfId="2" xr:uid="{8B4710B9-C787-4D6F-9475-0E05F9869F70}"/>
    <cellStyle name="Percent" xfId="1" builtinId="5"/>
    <cellStyle name="Percent 2" xfId="3" xr:uid="{5C90F1C4-B05F-400C-8E71-C10AABB1BF0B}"/>
  </cellStyles>
  <dxfs count="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4B4B"/>
        </patternFill>
      </fill>
    </dxf>
  </dxfs>
  <tableStyles count="0" defaultTableStyle="TableStyleMedium2" defaultPivotStyle="PivotStyleLight16"/>
  <colors>
    <mruColors>
      <color rgb="FFFF4B4B"/>
      <color rgb="FFFFFF66"/>
      <color rgb="FF0000FF"/>
      <color rgb="FF008000"/>
      <color rgb="FF0099FF"/>
      <color rgb="FF0066FF"/>
      <color rgb="FFFF33CC"/>
      <color rgb="FF00CC00"/>
      <color rgb="FF99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64"/>
  <sheetViews>
    <sheetView showGridLines="0"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E14" sqref="E14"/>
    </sheetView>
  </sheetViews>
  <sheetFormatPr defaultRowHeight="12.75" outlineLevelCol="1"/>
  <cols>
    <col min="1" max="1" width="9.85546875" style="47" bestFit="1" customWidth="1"/>
    <col min="2" max="2" width="9.140625" style="37"/>
    <col min="3" max="3" width="17.28515625" style="48" hidden="1" customWidth="1" outlineLevel="1"/>
    <col min="4" max="4" width="19" style="47" hidden="1" customWidth="1" outlineLevel="1"/>
    <col min="5" max="5" width="24.5703125" style="46" customWidth="1" collapsed="1"/>
    <col min="6" max="6" width="10.7109375" style="49" customWidth="1"/>
    <col min="7" max="7" width="10.7109375" style="201" customWidth="1"/>
    <col min="8" max="8" width="8.5703125" style="72" hidden="1" customWidth="1" outlineLevel="1"/>
    <col min="9" max="9" width="13.85546875" style="49" customWidth="1" collapsed="1"/>
    <col min="10" max="10" width="9.140625" style="50" hidden="1" customWidth="1" outlineLevel="1"/>
    <col min="11" max="11" width="9" style="51" hidden="1" customWidth="1" outlineLevel="1"/>
    <col min="12" max="12" width="9.5703125" style="51" hidden="1" customWidth="1" outlineLevel="1"/>
    <col min="13" max="13" width="15" style="50" hidden="1" customWidth="1" outlineLevel="1"/>
    <col min="14" max="15" width="12.85546875" style="50" hidden="1" customWidth="1" outlineLevel="1"/>
    <col min="16" max="16" width="12.85546875" style="36" hidden="1" customWidth="1" outlineLevel="1"/>
    <col min="17" max="17" width="18" style="62" hidden="1" customWidth="1" outlineLevel="1"/>
    <col min="18" max="18" width="9.85546875" style="60" hidden="1" customWidth="1" outlineLevel="1"/>
    <col min="19" max="19" width="9.85546875" style="226" hidden="1" customWidth="1" outlineLevel="1"/>
    <col min="20" max="20" width="10.42578125" style="226" hidden="1" customWidth="1" outlineLevel="1"/>
    <col min="21" max="21" width="12.85546875" style="60" hidden="1" customWidth="1" outlineLevel="1"/>
    <col min="22" max="22" width="10.42578125" style="37" customWidth="1" collapsed="1"/>
    <col min="23" max="24" width="10" style="37" customWidth="1"/>
    <col min="25" max="68" width="10" style="37" customWidth="1" outlineLevel="1"/>
    <col min="69" max="69" width="10.7109375" style="38" customWidth="1"/>
    <col min="70" max="71" width="8.5703125" style="37" customWidth="1"/>
    <col min="72" max="109" width="8.5703125" style="37" customWidth="1" outlineLevel="1"/>
    <col min="110" max="16384" width="9.140625" style="46"/>
  </cols>
  <sheetData>
    <row r="1" spans="1:115" s="5" customFormat="1" ht="28.5">
      <c r="A1" s="4" t="s">
        <v>79</v>
      </c>
      <c r="C1" s="6"/>
      <c r="D1" s="167"/>
      <c r="F1" s="8"/>
      <c r="G1" s="196"/>
      <c r="H1" s="202"/>
      <c r="I1" s="8"/>
      <c r="J1" s="9"/>
      <c r="K1" s="10"/>
      <c r="L1" s="10"/>
      <c r="M1" s="9"/>
      <c r="N1" s="9"/>
      <c r="O1" s="9"/>
      <c r="P1" s="58"/>
      <c r="Q1" s="61"/>
      <c r="R1" s="59"/>
      <c r="S1" s="220"/>
      <c r="T1" s="220"/>
      <c r="U1" s="59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11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</row>
    <row r="2" spans="1:115" s="43" customFormat="1" ht="15.75" customHeight="1">
      <c r="A2" s="85" t="s">
        <v>3</v>
      </c>
      <c r="B2" s="12"/>
      <c r="C2" s="13"/>
      <c r="D2" s="168"/>
      <c r="E2" s="14"/>
      <c r="F2" s="351" t="s">
        <v>12</v>
      </c>
      <c r="G2" s="352"/>
      <c r="H2" s="352"/>
      <c r="I2" s="351" t="s">
        <v>0</v>
      </c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4"/>
      <c r="V2" s="15"/>
      <c r="W2" s="85" t="s">
        <v>65</v>
      </c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  <c r="BQ2" s="41"/>
      <c r="BR2" s="85" t="s">
        <v>55</v>
      </c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</row>
    <row r="3" spans="1:115" s="191" customFormat="1" ht="15.75">
      <c r="A3" s="174"/>
      <c r="B3" s="175"/>
      <c r="C3" s="176"/>
      <c r="D3" s="174"/>
      <c r="E3" s="177"/>
      <c r="F3" s="179"/>
      <c r="G3" s="197"/>
      <c r="H3" s="197"/>
      <c r="I3" s="179"/>
      <c r="J3" s="206"/>
      <c r="K3" s="180"/>
      <c r="L3" s="207"/>
      <c r="M3" s="180"/>
      <c r="N3" s="180"/>
      <c r="O3" s="180"/>
      <c r="P3" s="180"/>
      <c r="Q3" s="180"/>
      <c r="R3" s="180"/>
      <c r="S3" s="221"/>
      <c r="T3" s="221"/>
      <c r="U3" s="181"/>
      <c r="V3" s="178" t="s">
        <v>13</v>
      </c>
      <c r="W3" s="87">
        <v>42859</v>
      </c>
      <c r="X3" s="87">
        <v>42860</v>
      </c>
      <c r="Y3" s="87">
        <v>42861</v>
      </c>
      <c r="Z3" s="87">
        <v>42862</v>
      </c>
      <c r="AA3" s="87">
        <v>42863</v>
      </c>
      <c r="AB3" s="87">
        <v>42865</v>
      </c>
      <c r="AC3" s="87">
        <v>42868</v>
      </c>
      <c r="AD3" s="87">
        <v>42870</v>
      </c>
      <c r="AE3" s="87">
        <v>42872</v>
      </c>
      <c r="AF3" s="87">
        <v>42877</v>
      </c>
      <c r="AG3" s="87">
        <v>42879</v>
      </c>
      <c r="AH3" s="87">
        <v>42881</v>
      </c>
      <c r="AI3" s="87">
        <v>42884</v>
      </c>
      <c r="AJ3" s="87">
        <v>42886</v>
      </c>
      <c r="AK3" s="87">
        <v>42888</v>
      </c>
      <c r="AL3" s="87">
        <v>42891</v>
      </c>
      <c r="AM3" s="87">
        <v>42893</v>
      </c>
      <c r="AN3" s="87">
        <v>42895</v>
      </c>
      <c r="AO3" s="87">
        <v>42898</v>
      </c>
      <c r="AP3" s="87">
        <v>42901</v>
      </c>
      <c r="AQ3" s="87">
        <v>42903</v>
      </c>
      <c r="AR3" s="87">
        <v>42906</v>
      </c>
      <c r="AS3" s="87">
        <v>42909</v>
      </c>
      <c r="AT3" s="87">
        <v>42912</v>
      </c>
      <c r="AU3" s="87">
        <v>42914</v>
      </c>
      <c r="AV3" s="87">
        <v>42916</v>
      </c>
      <c r="AW3" s="87">
        <v>42919</v>
      </c>
      <c r="AX3" s="87">
        <v>42921</v>
      </c>
      <c r="AY3" s="87">
        <v>42923</v>
      </c>
      <c r="AZ3" s="87">
        <v>42925</v>
      </c>
      <c r="BA3" s="87">
        <v>42927</v>
      </c>
      <c r="BB3" s="87">
        <v>42930</v>
      </c>
      <c r="BC3" s="87">
        <v>42932</v>
      </c>
      <c r="BD3" s="87">
        <v>42934</v>
      </c>
      <c r="BE3" s="87">
        <v>42937</v>
      </c>
      <c r="BF3" s="87">
        <v>42941</v>
      </c>
      <c r="BG3" s="87">
        <v>42944</v>
      </c>
      <c r="BH3" s="87">
        <v>42947</v>
      </c>
      <c r="BI3" s="87">
        <v>42953</v>
      </c>
      <c r="BJ3" s="87">
        <v>42955</v>
      </c>
      <c r="BK3" s="87">
        <v>42959</v>
      </c>
      <c r="BL3" s="87">
        <v>42962</v>
      </c>
      <c r="BM3" s="87">
        <v>42965</v>
      </c>
      <c r="BN3" s="87">
        <v>42968</v>
      </c>
      <c r="BO3" s="87"/>
      <c r="BP3" s="87"/>
      <c r="BQ3" s="178" t="s">
        <v>58</v>
      </c>
      <c r="BR3" s="87">
        <f t="shared" ref="BR3:CA4" si="0">IF(ISBLANK(W3)=TRUE,"",W3)</f>
        <v>42859</v>
      </c>
      <c r="BS3" s="87">
        <f t="shared" si="0"/>
        <v>42860</v>
      </c>
      <c r="BT3" s="87">
        <f t="shared" si="0"/>
        <v>42861</v>
      </c>
      <c r="BU3" s="87">
        <f t="shared" si="0"/>
        <v>42862</v>
      </c>
      <c r="BV3" s="87">
        <f t="shared" si="0"/>
        <v>42863</v>
      </c>
      <c r="BW3" s="87">
        <f t="shared" si="0"/>
        <v>42865</v>
      </c>
      <c r="BX3" s="87">
        <f t="shared" si="0"/>
        <v>42868</v>
      </c>
      <c r="BY3" s="87">
        <f t="shared" si="0"/>
        <v>42870</v>
      </c>
      <c r="BZ3" s="87">
        <f t="shared" si="0"/>
        <v>42872</v>
      </c>
      <c r="CA3" s="87">
        <f t="shared" si="0"/>
        <v>42877</v>
      </c>
      <c r="CB3" s="87">
        <f t="shared" ref="CB3:CK4" si="1">IF(ISBLANK(AG3)=TRUE,"",AG3)</f>
        <v>42879</v>
      </c>
      <c r="CC3" s="87">
        <f t="shared" si="1"/>
        <v>42881</v>
      </c>
      <c r="CD3" s="87">
        <f t="shared" si="1"/>
        <v>42884</v>
      </c>
      <c r="CE3" s="87">
        <f t="shared" si="1"/>
        <v>42886</v>
      </c>
      <c r="CF3" s="87">
        <f t="shared" si="1"/>
        <v>42888</v>
      </c>
      <c r="CG3" s="87">
        <f t="shared" si="1"/>
        <v>42891</v>
      </c>
      <c r="CH3" s="87">
        <f t="shared" si="1"/>
        <v>42893</v>
      </c>
      <c r="CI3" s="87">
        <f t="shared" si="1"/>
        <v>42895</v>
      </c>
      <c r="CJ3" s="87">
        <f t="shared" si="1"/>
        <v>42898</v>
      </c>
      <c r="CK3" s="87">
        <f t="shared" si="1"/>
        <v>42901</v>
      </c>
      <c r="CL3" s="87">
        <f t="shared" ref="CL3:CU4" si="2">IF(ISBLANK(AQ3)=TRUE,"",AQ3)</f>
        <v>42903</v>
      </c>
      <c r="CM3" s="87">
        <f t="shared" si="2"/>
        <v>42906</v>
      </c>
      <c r="CN3" s="87">
        <f t="shared" si="2"/>
        <v>42909</v>
      </c>
      <c r="CO3" s="87">
        <f t="shared" si="2"/>
        <v>42912</v>
      </c>
      <c r="CP3" s="87">
        <f t="shared" si="2"/>
        <v>42914</v>
      </c>
      <c r="CQ3" s="87">
        <f t="shared" si="2"/>
        <v>42916</v>
      </c>
      <c r="CR3" s="87">
        <f t="shared" si="2"/>
        <v>42919</v>
      </c>
      <c r="CS3" s="87">
        <f t="shared" si="2"/>
        <v>42921</v>
      </c>
      <c r="CT3" s="87">
        <f t="shared" si="2"/>
        <v>42923</v>
      </c>
      <c r="CU3" s="87">
        <f t="shared" si="2"/>
        <v>42925</v>
      </c>
      <c r="CV3" s="87">
        <f t="shared" ref="CV3:DD4" si="3">IF(ISBLANK(BA3)=TRUE,"",BA3)</f>
        <v>42927</v>
      </c>
      <c r="CW3" s="87">
        <f t="shared" si="3"/>
        <v>42930</v>
      </c>
      <c r="CX3" s="87">
        <f t="shared" si="3"/>
        <v>42932</v>
      </c>
      <c r="CY3" s="87">
        <f t="shared" si="3"/>
        <v>42934</v>
      </c>
      <c r="CZ3" s="87">
        <f t="shared" si="3"/>
        <v>42937</v>
      </c>
      <c r="DA3" s="87">
        <f t="shared" si="3"/>
        <v>42941</v>
      </c>
      <c r="DB3" s="87">
        <f t="shared" si="3"/>
        <v>42944</v>
      </c>
      <c r="DC3" s="87">
        <f t="shared" si="3"/>
        <v>42947</v>
      </c>
      <c r="DD3" s="87">
        <f t="shared" si="3"/>
        <v>42953</v>
      </c>
      <c r="DE3" s="87">
        <f t="shared" ref="DE3:DK4" si="4">IF(ISBLANK(BJ3)=TRUE,"",BJ3)</f>
        <v>42955</v>
      </c>
      <c r="DF3" s="87">
        <f t="shared" si="4"/>
        <v>42959</v>
      </c>
      <c r="DG3" s="87">
        <f t="shared" si="4"/>
        <v>42962</v>
      </c>
      <c r="DH3" s="87">
        <f t="shared" si="4"/>
        <v>42965</v>
      </c>
      <c r="DI3" s="87">
        <f t="shared" si="4"/>
        <v>42968</v>
      </c>
      <c r="DJ3" s="87" t="str">
        <f t="shared" si="4"/>
        <v/>
      </c>
      <c r="DK3" s="87" t="str">
        <f t="shared" si="4"/>
        <v/>
      </c>
    </row>
    <row r="4" spans="1:115" s="193" customFormat="1" ht="15.75">
      <c r="A4" s="182" t="s">
        <v>5</v>
      </c>
      <c r="B4" s="183" t="s">
        <v>6</v>
      </c>
      <c r="C4" s="18" t="s">
        <v>7</v>
      </c>
      <c r="D4" s="182" t="s">
        <v>14</v>
      </c>
      <c r="E4" s="184" t="s">
        <v>10</v>
      </c>
      <c r="F4" s="203" t="s">
        <v>1</v>
      </c>
      <c r="G4" s="204" t="s">
        <v>67</v>
      </c>
      <c r="H4" s="205" t="s">
        <v>2</v>
      </c>
      <c r="I4" s="185" t="s">
        <v>1</v>
      </c>
      <c r="J4" s="186" t="s">
        <v>2</v>
      </c>
      <c r="K4" s="186" t="s">
        <v>21</v>
      </c>
      <c r="L4" s="186" t="s">
        <v>22</v>
      </c>
      <c r="M4" s="186" t="s">
        <v>3</v>
      </c>
      <c r="N4" s="186" t="s">
        <v>4</v>
      </c>
      <c r="O4" s="186" t="s">
        <v>23</v>
      </c>
      <c r="P4" s="186" t="s">
        <v>59</v>
      </c>
      <c r="Q4" s="187" t="s">
        <v>24</v>
      </c>
      <c r="R4" s="188" t="s">
        <v>25</v>
      </c>
      <c r="S4" s="222" t="s">
        <v>68</v>
      </c>
      <c r="T4" s="222" t="s">
        <v>69</v>
      </c>
      <c r="U4" s="189" t="s">
        <v>19</v>
      </c>
      <c r="V4" s="190" t="s">
        <v>8</v>
      </c>
      <c r="W4" s="173">
        <f t="shared" ref="W4:BI4" si="5">IF(ISBLANK(W3)=TRUE,"",W3-$I$5)</f>
        <v>-2</v>
      </c>
      <c r="X4" s="173">
        <f t="shared" si="5"/>
        <v>-1</v>
      </c>
      <c r="Y4" s="173">
        <f t="shared" si="5"/>
        <v>0</v>
      </c>
      <c r="Z4" s="173">
        <f t="shared" si="5"/>
        <v>1</v>
      </c>
      <c r="AA4" s="173">
        <f t="shared" si="5"/>
        <v>2</v>
      </c>
      <c r="AB4" s="173">
        <f t="shared" si="5"/>
        <v>4</v>
      </c>
      <c r="AC4" s="173">
        <f t="shared" si="5"/>
        <v>7</v>
      </c>
      <c r="AD4" s="173">
        <f t="shared" si="5"/>
        <v>9</v>
      </c>
      <c r="AE4" s="173">
        <f t="shared" si="5"/>
        <v>11</v>
      </c>
      <c r="AF4" s="173">
        <f t="shared" si="5"/>
        <v>16</v>
      </c>
      <c r="AG4" s="173">
        <f t="shared" si="5"/>
        <v>18</v>
      </c>
      <c r="AH4" s="173">
        <f t="shared" si="5"/>
        <v>20</v>
      </c>
      <c r="AI4" s="173">
        <f t="shared" si="5"/>
        <v>23</v>
      </c>
      <c r="AJ4" s="173">
        <f t="shared" si="5"/>
        <v>25</v>
      </c>
      <c r="AK4" s="173">
        <f t="shared" si="5"/>
        <v>27</v>
      </c>
      <c r="AL4" s="173">
        <f t="shared" si="5"/>
        <v>30</v>
      </c>
      <c r="AM4" s="173">
        <f t="shared" si="5"/>
        <v>32</v>
      </c>
      <c r="AN4" s="173">
        <f t="shared" si="5"/>
        <v>34</v>
      </c>
      <c r="AO4" s="173">
        <f t="shared" si="5"/>
        <v>37</v>
      </c>
      <c r="AP4" s="173">
        <f t="shared" si="5"/>
        <v>40</v>
      </c>
      <c r="AQ4" s="173">
        <f t="shared" si="5"/>
        <v>42</v>
      </c>
      <c r="AR4" s="173">
        <f t="shared" si="5"/>
        <v>45</v>
      </c>
      <c r="AS4" s="173">
        <f t="shared" si="5"/>
        <v>48</v>
      </c>
      <c r="AT4" s="173">
        <f t="shared" si="5"/>
        <v>51</v>
      </c>
      <c r="AU4" s="173">
        <f t="shared" si="5"/>
        <v>53</v>
      </c>
      <c r="AV4" s="173">
        <f t="shared" si="5"/>
        <v>55</v>
      </c>
      <c r="AW4" s="173">
        <f t="shared" si="5"/>
        <v>58</v>
      </c>
      <c r="AX4" s="173">
        <f t="shared" si="5"/>
        <v>60</v>
      </c>
      <c r="AY4" s="173">
        <f t="shared" si="5"/>
        <v>62</v>
      </c>
      <c r="AZ4" s="173">
        <f t="shared" si="5"/>
        <v>64</v>
      </c>
      <c r="BA4" s="173">
        <f t="shared" si="5"/>
        <v>66</v>
      </c>
      <c r="BB4" s="173">
        <f t="shared" si="5"/>
        <v>69</v>
      </c>
      <c r="BC4" s="173">
        <f t="shared" si="5"/>
        <v>71</v>
      </c>
      <c r="BD4" s="173">
        <f t="shared" si="5"/>
        <v>73</v>
      </c>
      <c r="BE4" s="173">
        <f t="shared" si="5"/>
        <v>76</v>
      </c>
      <c r="BF4" s="173">
        <f t="shared" si="5"/>
        <v>80</v>
      </c>
      <c r="BG4" s="173">
        <f t="shared" si="5"/>
        <v>83</v>
      </c>
      <c r="BH4" s="173">
        <f t="shared" si="5"/>
        <v>86</v>
      </c>
      <c r="BI4" s="173">
        <f t="shared" si="5"/>
        <v>92</v>
      </c>
      <c r="BJ4" s="173">
        <f t="shared" ref="BJ4:BP4" si="6">IF(ISBLANK(BJ3)=TRUE,"",BJ3-$I$5)</f>
        <v>94</v>
      </c>
      <c r="BK4" s="173">
        <f t="shared" si="6"/>
        <v>98</v>
      </c>
      <c r="BL4" s="173">
        <f t="shared" si="6"/>
        <v>101</v>
      </c>
      <c r="BM4" s="173">
        <f t="shared" si="6"/>
        <v>104</v>
      </c>
      <c r="BN4" s="173">
        <f t="shared" si="6"/>
        <v>107</v>
      </c>
      <c r="BO4" s="173" t="str">
        <f t="shared" si="6"/>
        <v/>
      </c>
      <c r="BP4" s="173" t="str">
        <f t="shared" si="6"/>
        <v/>
      </c>
      <c r="BQ4" s="229" t="s">
        <v>57</v>
      </c>
      <c r="BR4" s="173">
        <f t="shared" si="0"/>
        <v>-2</v>
      </c>
      <c r="BS4" s="173">
        <f t="shared" si="0"/>
        <v>-1</v>
      </c>
      <c r="BT4" s="173">
        <f t="shared" si="0"/>
        <v>0</v>
      </c>
      <c r="BU4" s="173">
        <f t="shared" si="0"/>
        <v>1</v>
      </c>
      <c r="BV4" s="173">
        <f t="shared" si="0"/>
        <v>2</v>
      </c>
      <c r="BW4" s="173">
        <f t="shared" si="0"/>
        <v>4</v>
      </c>
      <c r="BX4" s="173">
        <f t="shared" si="0"/>
        <v>7</v>
      </c>
      <c r="BY4" s="173">
        <f t="shared" si="0"/>
        <v>9</v>
      </c>
      <c r="BZ4" s="173">
        <f t="shared" si="0"/>
        <v>11</v>
      </c>
      <c r="CA4" s="173">
        <f t="shared" si="0"/>
        <v>16</v>
      </c>
      <c r="CB4" s="173">
        <f t="shared" si="1"/>
        <v>18</v>
      </c>
      <c r="CC4" s="173">
        <f t="shared" si="1"/>
        <v>20</v>
      </c>
      <c r="CD4" s="173">
        <f t="shared" si="1"/>
        <v>23</v>
      </c>
      <c r="CE4" s="173">
        <f t="shared" si="1"/>
        <v>25</v>
      </c>
      <c r="CF4" s="173">
        <f t="shared" si="1"/>
        <v>27</v>
      </c>
      <c r="CG4" s="173">
        <f t="shared" si="1"/>
        <v>30</v>
      </c>
      <c r="CH4" s="173">
        <f t="shared" si="1"/>
        <v>32</v>
      </c>
      <c r="CI4" s="173">
        <f t="shared" si="1"/>
        <v>34</v>
      </c>
      <c r="CJ4" s="173">
        <f t="shared" si="1"/>
        <v>37</v>
      </c>
      <c r="CK4" s="173">
        <f t="shared" si="1"/>
        <v>40</v>
      </c>
      <c r="CL4" s="173">
        <f t="shared" si="2"/>
        <v>42</v>
      </c>
      <c r="CM4" s="173">
        <f t="shared" si="2"/>
        <v>45</v>
      </c>
      <c r="CN4" s="173">
        <f t="shared" si="2"/>
        <v>48</v>
      </c>
      <c r="CO4" s="173">
        <f t="shared" si="2"/>
        <v>51</v>
      </c>
      <c r="CP4" s="173">
        <f t="shared" si="2"/>
        <v>53</v>
      </c>
      <c r="CQ4" s="173">
        <f t="shared" si="2"/>
        <v>55</v>
      </c>
      <c r="CR4" s="173">
        <f t="shared" si="2"/>
        <v>58</v>
      </c>
      <c r="CS4" s="173">
        <f t="shared" si="2"/>
        <v>60</v>
      </c>
      <c r="CT4" s="173">
        <f t="shared" si="2"/>
        <v>62</v>
      </c>
      <c r="CU4" s="173">
        <f t="shared" si="2"/>
        <v>64</v>
      </c>
      <c r="CV4" s="173">
        <f t="shared" si="3"/>
        <v>66</v>
      </c>
      <c r="CW4" s="173">
        <f t="shared" si="3"/>
        <v>69</v>
      </c>
      <c r="CX4" s="173">
        <f t="shared" si="3"/>
        <v>71</v>
      </c>
      <c r="CY4" s="173">
        <f t="shared" si="3"/>
        <v>73</v>
      </c>
      <c r="CZ4" s="173">
        <f t="shared" si="3"/>
        <v>76</v>
      </c>
      <c r="DA4" s="173">
        <f t="shared" si="3"/>
        <v>80</v>
      </c>
      <c r="DB4" s="173">
        <f t="shared" si="3"/>
        <v>83</v>
      </c>
      <c r="DC4" s="173">
        <f t="shared" si="3"/>
        <v>86</v>
      </c>
      <c r="DD4" s="173">
        <f t="shared" si="3"/>
        <v>92</v>
      </c>
      <c r="DE4" s="173">
        <f t="shared" si="4"/>
        <v>94</v>
      </c>
      <c r="DF4" s="173">
        <f t="shared" si="4"/>
        <v>98</v>
      </c>
      <c r="DG4" s="173">
        <f t="shared" si="4"/>
        <v>101</v>
      </c>
      <c r="DH4" s="173">
        <f t="shared" si="4"/>
        <v>104</v>
      </c>
      <c r="DI4" s="173">
        <f t="shared" si="4"/>
        <v>107</v>
      </c>
      <c r="DJ4" s="173" t="str">
        <f t="shared" si="4"/>
        <v/>
      </c>
      <c r="DK4" s="173" t="str">
        <f t="shared" si="4"/>
        <v/>
      </c>
    </row>
    <row r="5" spans="1:115">
      <c r="A5" s="23">
        <v>1066028</v>
      </c>
      <c r="B5" s="24">
        <v>11</v>
      </c>
      <c r="C5" s="25" t="str">
        <f>CONCATENATE(A5,"-",B5)</f>
        <v>1066028-11</v>
      </c>
      <c r="D5" s="23" t="s">
        <v>56</v>
      </c>
      <c r="E5" s="26" t="s">
        <v>64</v>
      </c>
      <c r="F5" s="27">
        <v>42850</v>
      </c>
      <c r="G5" s="198" t="s">
        <v>66</v>
      </c>
      <c r="H5" s="71">
        <v>32.6</v>
      </c>
      <c r="I5" s="27">
        <v>42861</v>
      </c>
      <c r="J5" s="28">
        <v>33.799999999999997</v>
      </c>
      <c r="K5" s="28">
        <v>6.9</v>
      </c>
      <c r="L5" s="28">
        <v>5</v>
      </c>
      <c r="M5" s="33">
        <f>IF(ISBLANK(K5)=TRUE,"",K5*L5^2*0.52)</f>
        <v>89.7</v>
      </c>
      <c r="N5" s="28">
        <f>M5*10</f>
        <v>897</v>
      </c>
      <c r="O5" s="28">
        <f>M5/3</f>
        <v>29.900000000000002</v>
      </c>
      <c r="P5" s="28">
        <v>0</v>
      </c>
      <c r="Q5" s="130">
        <f t="shared" ref="Q5:Q27" si="7">P5/M5</f>
        <v>0</v>
      </c>
      <c r="R5" s="131">
        <f>P5/N5</f>
        <v>0</v>
      </c>
      <c r="S5" s="223"/>
      <c r="T5" s="224">
        <v>70</v>
      </c>
      <c r="U5" s="29"/>
      <c r="V5" s="111"/>
      <c r="W5" s="71">
        <f>5.4*4.4*4.4*0.52</f>
        <v>54.362880000000018</v>
      </c>
      <c r="X5" s="71">
        <v>91.4</v>
      </c>
      <c r="Y5" s="71">
        <v>89.7</v>
      </c>
      <c r="Z5" s="71">
        <f>7.5*6.3*6.3*0.52</f>
        <v>154.79100000000003</v>
      </c>
      <c r="AA5" s="71">
        <f>8.4*7.1*7.1*0.52</f>
        <v>220.19087999999999</v>
      </c>
      <c r="AB5" s="71">
        <f>8.6*7.3*7.3*0.52</f>
        <v>238.31287999999998</v>
      </c>
      <c r="AC5" s="71">
        <f>10.3*7.7*7.7*0.52</f>
        <v>317.55724000000004</v>
      </c>
      <c r="AD5" s="71">
        <f>12.1*9.8*9.8*0.52</f>
        <v>604.28368</v>
      </c>
      <c r="AE5" s="71">
        <f>13.3*10.1*10.1*0.52</f>
        <v>705.50116000000014</v>
      </c>
      <c r="AF5" s="71">
        <f>15.4*12*12*0.52</f>
        <v>1153.1520000000003</v>
      </c>
      <c r="AG5" s="71">
        <f>16.6*12.1*12.1*0.52</f>
        <v>1263.8111200000001</v>
      </c>
      <c r="AH5" s="71">
        <f>17.5*12.9*12.9*0.52</f>
        <v>1514.3310000000001</v>
      </c>
      <c r="AI5" s="71">
        <f>17.8*14*14*0.52</f>
        <v>1814.1760000000002</v>
      </c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30"/>
      <c r="BR5" s="217">
        <f t="shared" ref="BR5:CA5" si="8">IF(OR(ISERROR(W5/$M5)=TRUE,ISBLANK(W5)=TRUE),"",W5/$M5)</f>
        <v>0.60605217391304367</v>
      </c>
      <c r="BS5" s="217">
        <f t="shared" si="8"/>
        <v>1.0189520624303234</v>
      </c>
      <c r="BT5" s="217">
        <f t="shared" si="8"/>
        <v>1</v>
      </c>
      <c r="BU5" s="217">
        <f t="shared" si="8"/>
        <v>1.7256521739130437</v>
      </c>
      <c r="BV5" s="217">
        <f t="shared" si="8"/>
        <v>2.4547478260869564</v>
      </c>
      <c r="BW5" s="217">
        <f t="shared" si="8"/>
        <v>2.6567768115942028</v>
      </c>
      <c r="BX5" s="217">
        <f t="shared" si="8"/>
        <v>3.5402144927536234</v>
      </c>
      <c r="BY5" s="217">
        <f t="shared" si="8"/>
        <v>6.7367188405797096</v>
      </c>
      <c r="BZ5" s="217">
        <f t="shared" si="8"/>
        <v>7.8651188405797114</v>
      </c>
      <c r="CA5" s="217">
        <f t="shared" si="8"/>
        <v>12.855652173913047</v>
      </c>
      <c r="CB5" s="217">
        <f t="shared" ref="CB5:CK5" si="9">IF(OR(ISERROR(AG5/$M5)=TRUE,ISBLANK(AG5)=TRUE),"",AG5/$M5)</f>
        <v>14.089310144927536</v>
      </c>
      <c r="CC5" s="217">
        <f t="shared" si="9"/>
        <v>16.882173913043481</v>
      </c>
      <c r="CD5" s="217">
        <f t="shared" si="9"/>
        <v>20.224927536231885</v>
      </c>
      <c r="CE5" s="217" t="str">
        <f t="shared" si="9"/>
        <v/>
      </c>
      <c r="CF5" s="217" t="str">
        <f t="shared" si="9"/>
        <v/>
      </c>
      <c r="CG5" s="217" t="str">
        <f t="shared" si="9"/>
        <v/>
      </c>
      <c r="CH5" s="217" t="str">
        <f t="shared" si="9"/>
        <v/>
      </c>
      <c r="CI5" s="217" t="str">
        <f t="shared" si="9"/>
        <v/>
      </c>
      <c r="CJ5" s="217" t="str">
        <f t="shared" si="9"/>
        <v/>
      </c>
      <c r="CK5" s="217" t="str">
        <f t="shared" si="9"/>
        <v/>
      </c>
      <c r="CL5" s="217" t="str">
        <f t="shared" ref="CL5:CU5" si="10">IF(OR(ISERROR(AQ5/$M5)=TRUE,ISBLANK(AQ5)=TRUE),"",AQ5/$M5)</f>
        <v/>
      </c>
      <c r="CM5" s="217" t="str">
        <f t="shared" si="10"/>
        <v/>
      </c>
      <c r="CN5" s="217" t="str">
        <f t="shared" si="10"/>
        <v/>
      </c>
      <c r="CO5" s="217" t="str">
        <f t="shared" si="10"/>
        <v/>
      </c>
      <c r="CP5" s="217" t="str">
        <f t="shared" si="10"/>
        <v/>
      </c>
      <c r="CQ5" s="217" t="str">
        <f t="shared" si="10"/>
        <v/>
      </c>
      <c r="CR5" s="217" t="str">
        <f t="shared" si="10"/>
        <v/>
      </c>
      <c r="CS5" s="217" t="str">
        <f t="shared" si="10"/>
        <v/>
      </c>
      <c r="CT5" s="217" t="str">
        <f t="shared" si="10"/>
        <v/>
      </c>
      <c r="CU5" s="217" t="str">
        <f t="shared" si="10"/>
        <v/>
      </c>
      <c r="CV5" s="217" t="str">
        <f t="shared" ref="CV5:DD5" si="11">IF(OR(ISERROR(BA5/$M5)=TRUE,ISBLANK(BA5)=TRUE),"",BA5/$M5)</f>
        <v/>
      </c>
      <c r="CW5" s="217" t="str">
        <f t="shared" si="11"/>
        <v/>
      </c>
      <c r="CX5" s="217" t="str">
        <f t="shared" si="11"/>
        <v/>
      </c>
      <c r="CY5" s="217" t="str">
        <f t="shared" si="11"/>
        <v/>
      </c>
      <c r="CZ5" s="217" t="str">
        <f t="shared" si="11"/>
        <v/>
      </c>
      <c r="DA5" s="217" t="str">
        <f t="shared" si="11"/>
        <v/>
      </c>
      <c r="DB5" s="217" t="str">
        <f t="shared" si="11"/>
        <v/>
      </c>
      <c r="DC5" s="217" t="str">
        <f t="shared" si="11"/>
        <v/>
      </c>
      <c r="DD5" s="217" t="str">
        <f t="shared" si="11"/>
        <v/>
      </c>
      <c r="DE5" s="217" t="str">
        <f t="shared" ref="DE5:DK19" si="12">IF(OR(ISERROR(BJ5/$M5)=TRUE,ISBLANK(BJ5)=TRUE),"",BJ5/$M5)</f>
        <v/>
      </c>
      <c r="DF5" s="217" t="str">
        <f t="shared" si="12"/>
        <v/>
      </c>
      <c r="DG5" s="217" t="str">
        <f t="shared" si="12"/>
        <v/>
      </c>
      <c r="DH5" s="217" t="str">
        <f t="shared" si="12"/>
        <v/>
      </c>
      <c r="DI5" s="217" t="str">
        <f t="shared" si="12"/>
        <v/>
      </c>
      <c r="DJ5" s="217" t="str">
        <f t="shared" si="12"/>
        <v/>
      </c>
      <c r="DK5" s="217" t="str">
        <f t="shared" si="12"/>
        <v/>
      </c>
    </row>
    <row r="6" spans="1:115">
      <c r="A6" s="23">
        <v>1066028</v>
      </c>
      <c r="B6" s="1">
        <v>13</v>
      </c>
      <c r="C6" s="25" t="str">
        <f t="shared" ref="C6:C27" si="13">CONCATENATE(A6,"-",B6)</f>
        <v>1066028-13</v>
      </c>
      <c r="D6" s="23" t="s">
        <v>56</v>
      </c>
      <c r="E6" s="32" t="s">
        <v>62</v>
      </c>
      <c r="F6" s="27">
        <v>42850</v>
      </c>
      <c r="G6" s="198" t="s">
        <v>66</v>
      </c>
      <c r="H6" s="76">
        <v>31.5</v>
      </c>
      <c r="I6" s="27">
        <v>42861</v>
      </c>
      <c r="J6" s="33">
        <v>33.1</v>
      </c>
      <c r="K6" s="33">
        <v>4.7</v>
      </c>
      <c r="L6" s="33">
        <v>4.4000000000000004</v>
      </c>
      <c r="M6" s="33">
        <f t="shared" ref="M6:M27" si="14">IF(ISBLANK(K6)=TRUE,"",K6*L6^2*0.52)</f>
        <v>47.315840000000009</v>
      </c>
      <c r="N6" s="28">
        <f t="shared" ref="N6:N27" si="15">M6*10</f>
        <v>473.15840000000009</v>
      </c>
      <c r="O6" s="28">
        <f t="shared" ref="O6:O27" si="16">M6/3</f>
        <v>15.77194666666667</v>
      </c>
      <c r="P6" s="33">
        <v>0</v>
      </c>
      <c r="Q6" s="130">
        <f t="shared" si="7"/>
        <v>0</v>
      </c>
      <c r="R6" s="131">
        <f t="shared" ref="R6:R27" si="17">P6/N6</f>
        <v>0</v>
      </c>
      <c r="S6" s="223"/>
      <c r="T6" s="224"/>
      <c r="U6" s="29"/>
      <c r="V6" s="111"/>
      <c r="W6" s="71"/>
      <c r="X6" s="76"/>
      <c r="Y6" s="76">
        <v>47.315840000000009</v>
      </c>
      <c r="Z6" s="76">
        <f>8.4*6.1*6.1*0.52</f>
        <v>162.53328000000002</v>
      </c>
      <c r="AA6" s="76">
        <f>7.8*6.5*6.5*0.52</f>
        <v>171.36599999999999</v>
      </c>
      <c r="AB6" s="76">
        <f>9.8*7.8*7.8*0.52</f>
        <v>310.04064</v>
      </c>
      <c r="AC6" s="76">
        <f>10.6*7.7*7.7*0.52</f>
        <v>326.80648000000002</v>
      </c>
      <c r="AD6" s="76">
        <f>11.9*8.3*8.3*0.52</f>
        <v>426.2913200000001</v>
      </c>
      <c r="AE6" s="76">
        <f>12.9*9.9*9.9*0.52</f>
        <v>657.45108000000016</v>
      </c>
      <c r="AF6" s="76">
        <f>14.5*11.2*11.2*0.52</f>
        <v>945.81759999999986</v>
      </c>
      <c r="AG6" s="76">
        <f>14.8*12*12*0.52</f>
        <v>1108.2240000000002</v>
      </c>
      <c r="AH6" s="76">
        <f>16.3*12.4*12.4*0.52</f>
        <v>1303.2697600000001</v>
      </c>
      <c r="AI6" s="76">
        <f>18*13.7*13.7*0.52</f>
        <v>1756.7783999999999</v>
      </c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34"/>
      <c r="BR6" s="216" t="str">
        <f t="shared" ref="BR6:BR27" si="18">IF(OR(ISERROR(W6/$M6)=TRUE,ISBLANK(W6)=TRUE),"",W6/$M6)</f>
        <v/>
      </c>
      <c r="BS6" s="216" t="str">
        <f t="shared" ref="BS6:BS27" si="19">IF(OR(ISERROR(X6/$M6)=TRUE,ISBLANK(X6)=TRUE),"",X6/$M6)</f>
        <v/>
      </c>
      <c r="BT6" s="216">
        <f t="shared" ref="BT6:BT27" si="20">IF(OR(ISERROR(Y6/$M6)=TRUE,ISBLANK(Y6)=TRUE),"",Y6/$M6)</f>
        <v>1</v>
      </c>
      <c r="BU6" s="216">
        <f t="shared" ref="BU6:BU27" si="21">IF(OR(ISERROR(Z6/$M6)=TRUE,ISBLANK(Z6)=TRUE),"",Z6/$M6)</f>
        <v>3.4350712150518725</v>
      </c>
      <c r="BV6" s="216">
        <f t="shared" ref="BV6:BV27" si="22">IF(OR(ISERROR(AA6/$M6)=TRUE,ISBLANK(AA6)=TRUE),"",AA6/$M6)</f>
        <v>3.6217469667663083</v>
      </c>
      <c r="BW6" s="216">
        <f t="shared" ref="BW6:BW27" si="23">IF(OR(ISERROR(AB6/$M6)=TRUE,ISBLANK(AB6)=TRUE),"",AB6/$M6)</f>
        <v>6.5525760506418136</v>
      </c>
      <c r="BX6" s="216">
        <f t="shared" ref="BX6:BX27" si="24">IF(OR(ISERROR(AC6/$M6)=TRUE,ISBLANK(AC6)=TRUE),"",AC6/$M6)</f>
        <v>6.9069148936170208</v>
      </c>
      <c r="BY6" s="216">
        <f t="shared" ref="BY6:BY27" si="25">IF(OR(ISERROR(AD6/$M6)=TRUE,ISBLANK(AD6)=TRUE),"",AD6/$M6)</f>
        <v>9.009484350272551</v>
      </c>
      <c r="BZ6" s="216">
        <f t="shared" ref="BZ6:BZ27" si="26">IF(OR(ISERROR(AE6/$M6)=TRUE,ISBLANK(AE6)=TRUE),"",AE6/$M6)</f>
        <v>13.894946808510639</v>
      </c>
      <c r="CA6" s="216">
        <f t="shared" ref="CA6:CA27" si="27">IF(OR(ISERROR(AF6/$M6)=TRUE,ISBLANK(AF6)=TRUE),"",AF6/$M6)</f>
        <v>19.989449621944779</v>
      </c>
      <c r="CB6" s="216">
        <f t="shared" ref="CB6:CB27" si="28">IF(OR(ISERROR(AG6/$M6)=TRUE,ISBLANK(AG6)=TRUE),"",AG6/$M6)</f>
        <v>23.421839282574293</v>
      </c>
      <c r="CC6" s="216">
        <f t="shared" ref="CC6:CC27" si="29">IF(OR(ISERROR(AH6/$M6)=TRUE,ISBLANK(AH6)=TRUE),"",AH6/$M6)</f>
        <v>27.544047828380513</v>
      </c>
      <c r="CD6" s="216">
        <f t="shared" ref="CD6:CD27" si="30">IF(OR(ISERROR(AI6/$M6)=TRUE,ISBLANK(AI6)=TRUE),"",AI6/$M6)</f>
        <v>37.128758572182164</v>
      </c>
      <c r="CE6" s="216" t="str">
        <f t="shared" ref="CE6:CE27" si="31">IF(OR(ISERROR(AJ6/$M6)=TRUE,ISBLANK(AJ6)=TRUE),"",AJ6/$M6)</f>
        <v/>
      </c>
      <c r="CF6" s="216" t="str">
        <f t="shared" ref="CF6:CF27" si="32">IF(OR(ISERROR(AK6/$M6)=TRUE,ISBLANK(AK6)=TRUE),"",AK6/$M6)</f>
        <v/>
      </c>
      <c r="CG6" s="216" t="str">
        <f t="shared" ref="CG6:CG27" si="33">IF(OR(ISERROR(AL6/$M6)=TRUE,ISBLANK(AL6)=TRUE),"",AL6/$M6)</f>
        <v/>
      </c>
      <c r="CH6" s="216" t="str">
        <f t="shared" ref="CH6:CH27" si="34">IF(OR(ISERROR(AM6/$M6)=TRUE,ISBLANK(AM6)=TRUE),"",AM6/$M6)</f>
        <v/>
      </c>
      <c r="CI6" s="216" t="str">
        <f t="shared" ref="CI6:CI27" si="35">IF(OR(ISERROR(AN6/$M6)=TRUE,ISBLANK(AN6)=TRUE),"",AN6/$M6)</f>
        <v/>
      </c>
      <c r="CJ6" s="216" t="str">
        <f t="shared" ref="CJ6:CJ27" si="36">IF(OR(ISERROR(AO6/$M6)=TRUE,ISBLANK(AO6)=TRUE),"",AO6/$M6)</f>
        <v/>
      </c>
      <c r="CK6" s="216" t="str">
        <f t="shared" ref="CK6:CK27" si="37">IF(OR(ISERROR(AP6/$M6)=TRUE,ISBLANK(AP6)=TRUE),"",AP6/$M6)</f>
        <v/>
      </c>
      <c r="CL6" s="216" t="str">
        <f t="shared" ref="CL6:CL27" si="38">IF(OR(ISERROR(AQ6/$M6)=TRUE,ISBLANK(AQ6)=TRUE),"",AQ6/$M6)</f>
        <v/>
      </c>
      <c r="CM6" s="216" t="str">
        <f t="shared" ref="CM6:CM27" si="39">IF(OR(ISERROR(AR6/$M6)=TRUE,ISBLANK(AR6)=TRUE),"",AR6/$M6)</f>
        <v/>
      </c>
      <c r="CN6" s="216" t="str">
        <f t="shared" ref="CN6:CN27" si="40">IF(OR(ISERROR(AS6/$M6)=TRUE,ISBLANK(AS6)=TRUE),"",AS6/$M6)</f>
        <v/>
      </c>
      <c r="CO6" s="216" t="str">
        <f t="shared" ref="CO6:CO27" si="41">IF(OR(ISERROR(AT6/$M6)=TRUE,ISBLANK(AT6)=TRUE),"",AT6/$M6)</f>
        <v/>
      </c>
      <c r="CP6" s="216" t="str">
        <f t="shared" ref="CP6:CP27" si="42">IF(OR(ISERROR(AU6/$M6)=TRUE,ISBLANK(AU6)=TRUE),"",AU6/$M6)</f>
        <v/>
      </c>
      <c r="CQ6" s="216" t="str">
        <f t="shared" ref="CQ6:CQ27" si="43">IF(OR(ISERROR(AV6/$M6)=TRUE,ISBLANK(AV6)=TRUE),"",AV6/$M6)</f>
        <v/>
      </c>
      <c r="CR6" s="216" t="str">
        <f t="shared" ref="CR6:CR27" si="44">IF(OR(ISERROR(AW6/$M6)=TRUE,ISBLANK(AW6)=TRUE),"",AW6/$M6)</f>
        <v/>
      </c>
      <c r="CS6" s="216" t="str">
        <f t="shared" ref="CS6:CS27" si="45">IF(OR(ISERROR(AX6/$M6)=TRUE,ISBLANK(AX6)=TRUE),"",AX6/$M6)</f>
        <v/>
      </c>
      <c r="CT6" s="216" t="str">
        <f t="shared" ref="CT6:CT27" si="46">IF(OR(ISERROR(AY6/$M6)=TRUE,ISBLANK(AY6)=TRUE),"",AY6/$M6)</f>
        <v/>
      </c>
      <c r="CU6" s="216" t="str">
        <f t="shared" ref="CU6:CU27" si="47">IF(OR(ISERROR(AZ6/$M6)=TRUE,ISBLANK(AZ6)=TRUE),"",AZ6/$M6)</f>
        <v/>
      </c>
      <c r="CV6" s="216" t="str">
        <f t="shared" ref="CV6:CV27" si="48">IF(OR(ISERROR(BA6/$M6)=TRUE,ISBLANK(BA6)=TRUE),"",BA6/$M6)</f>
        <v/>
      </c>
      <c r="CW6" s="216" t="str">
        <f t="shared" ref="CW6:CW27" si="49">IF(OR(ISERROR(BB6/$M6)=TRUE,ISBLANK(BB6)=TRUE),"",BB6/$M6)</f>
        <v/>
      </c>
      <c r="CX6" s="216" t="str">
        <f t="shared" ref="CX6:CX27" si="50">IF(OR(ISERROR(BC6/$M6)=TRUE,ISBLANK(BC6)=TRUE),"",BC6/$M6)</f>
        <v/>
      </c>
      <c r="CY6" s="216" t="str">
        <f t="shared" ref="CY6:CY27" si="51">IF(OR(ISERROR(BD6/$M6)=TRUE,ISBLANK(BD6)=TRUE),"",BD6/$M6)</f>
        <v/>
      </c>
      <c r="CZ6" s="216" t="str">
        <f t="shared" ref="CZ6:CZ27" si="52">IF(OR(ISERROR(BE6/$M6)=TRUE,ISBLANK(BE6)=TRUE),"",BE6/$M6)</f>
        <v/>
      </c>
      <c r="DA6" s="216" t="str">
        <f t="shared" ref="DA6:DA27" si="53">IF(OR(ISERROR(BF6/$M6)=TRUE,ISBLANK(BF6)=TRUE),"",BF6/$M6)</f>
        <v/>
      </c>
      <c r="DB6" s="216" t="str">
        <f t="shared" ref="DB6:DB27" si="54">IF(OR(ISERROR(BG6/$M6)=TRUE,ISBLANK(BG6)=TRUE),"",BG6/$M6)</f>
        <v/>
      </c>
      <c r="DC6" s="216" t="str">
        <f t="shared" ref="DC6:DC27" si="55">IF(OR(ISERROR(BH6/$M6)=TRUE,ISBLANK(BH6)=TRUE),"",BH6/$M6)</f>
        <v/>
      </c>
      <c r="DD6" s="216" t="str">
        <f t="shared" ref="DD6:DD27" si="56">IF(OR(ISERROR(BI6/$M6)=TRUE,ISBLANK(BI6)=TRUE),"",BI6/$M6)</f>
        <v/>
      </c>
      <c r="DE6" s="216" t="str">
        <f t="shared" si="12"/>
        <v/>
      </c>
      <c r="DF6" s="216" t="str">
        <f t="shared" si="12"/>
        <v/>
      </c>
      <c r="DG6" s="216" t="str">
        <f t="shared" si="12"/>
        <v/>
      </c>
      <c r="DH6" s="216" t="str">
        <f t="shared" si="12"/>
        <v/>
      </c>
      <c r="DI6" s="216" t="str">
        <f t="shared" si="12"/>
        <v/>
      </c>
      <c r="DJ6" s="216" t="str">
        <f t="shared" si="12"/>
        <v/>
      </c>
      <c r="DK6" s="216" t="str">
        <f t="shared" si="12"/>
        <v/>
      </c>
    </row>
    <row r="7" spans="1:115">
      <c r="A7" s="23">
        <v>1066028</v>
      </c>
      <c r="B7" s="1">
        <v>14</v>
      </c>
      <c r="C7" s="25" t="str">
        <f t="shared" si="13"/>
        <v>1066028-14</v>
      </c>
      <c r="D7" s="23" t="s">
        <v>56</v>
      </c>
      <c r="E7" s="32" t="s">
        <v>61</v>
      </c>
      <c r="F7" s="27">
        <v>42850</v>
      </c>
      <c r="G7" s="198" t="s">
        <v>66</v>
      </c>
      <c r="H7" s="76">
        <v>32.5</v>
      </c>
      <c r="I7" s="27">
        <v>42861</v>
      </c>
      <c r="J7" s="33">
        <v>33.799999999999997</v>
      </c>
      <c r="K7" s="33">
        <v>5.8</v>
      </c>
      <c r="L7" s="33">
        <v>5.2</v>
      </c>
      <c r="M7" s="33">
        <f t="shared" si="14"/>
        <v>81.552640000000011</v>
      </c>
      <c r="N7" s="28">
        <f t="shared" si="15"/>
        <v>815.52640000000008</v>
      </c>
      <c r="O7" s="28">
        <f t="shared" si="16"/>
        <v>27.184213333333336</v>
      </c>
      <c r="P7" s="33">
        <v>698</v>
      </c>
      <c r="Q7" s="130">
        <f t="shared" si="7"/>
        <v>8.5588890807213591</v>
      </c>
      <c r="R7" s="131">
        <f t="shared" si="17"/>
        <v>0.85588890807213591</v>
      </c>
      <c r="S7" s="223"/>
      <c r="T7" s="224">
        <v>70</v>
      </c>
      <c r="U7" s="29"/>
      <c r="V7" s="111"/>
      <c r="W7" s="71">
        <f>5.8*5.1*5.1*0.52</f>
        <v>78.446159999999992</v>
      </c>
      <c r="X7" s="76">
        <v>64.7</v>
      </c>
      <c r="Y7" s="76">
        <v>81.552640000000011</v>
      </c>
      <c r="Z7" s="76">
        <f>7.5*6.5*6.5*0.52</f>
        <v>164.77500000000001</v>
      </c>
      <c r="AA7" s="76">
        <f>8.4*7*7*0.52</f>
        <v>214.03200000000001</v>
      </c>
      <c r="AB7" s="76">
        <f>8*7.2*7.2*0.52</f>
        <v>215.65440000000001</v>
      </c>
      <c r="AC7" s="76">
        <f>9.7*6.8*6.8*0.52</f>
        <v>233.23455999999999</v>
      </c>
      <c r="AD7" s="76">
        <f>9.8*6.8*6.8*0.52</f>
        <v>235.63903999999999</v>
      </c>
      <c r="AE7" s="76">
        <f>11.7*7.6*7.6*0.52</f>
        <v>351.41183999999998</v>
      </c>
      <c r="AF7" s="76">
        <f>12.1*8.2*8.2*0.52</f>
        <v>423.07407999999992</v>
      </c>
      <c r="AG7" s="76">
        <f>13*8*8*0.52</f>
        <v>432.64</v>
      </c>
      <c r="AH7" s="76">
        <f>12.7*8*8*0.52</f>
        <v>422.65600000000001</v>
      </c>
      <c r="AI7" s="76">
        <f>14.8*8.9*8.9*0.52</f>
        <v>609.60016000000007</v>
      </c>
      <c r="AJ7" s="76">
        <f>13.7*8.9*8.9*0.52</f>
        <v>564.29203999999993</v>
      </c>
      <c r="AK7" s="76">
        <f>12.7*8.9*8.9*0.52</f>
        <v>523.10284000000001</v>
      </c>
      <c r="AL7" s="76">
        <f>15.4*10.1*10.1*0.52</f>
        <v>816.89607999999998</v>
      </c>
      <c r="AM7" s="76">
        <f>16*10.7*10.7*0.52</f>
        <v>952.55679999999984</v>
      </c>
      <c r="AN7" s="76">
        <f>18.4*11.4*11.4*0.52</f>
        <v>1243.4572800000001</v>
      </c>
      <c r="AO7" s="76">
        <f>18.8*12.1*12.1*0.52</f>
        <v>1431.3041599999999</v>
      </c>
      <c r="AP7" s="76">
        <f>19.9*13*13*0.52</f>
        <v>1748.8120000000001</v>
      </c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34"/>
      <c r="BR7" s="216">
        <f t="shared" si="18"/>
        <v>0.96190828402366846</v>
      </c>
      <c r="BS7" s="216">
        <f t="shared" si="19"/>
        <v>0.79335261249666467</v>
      </c>
      <c r="BT7" s="216">
        <f t="shared" si="20"/>
        <v>1</v>
      </c>
      <c r="BU7" s="216">
        <f t="shared" si="21"/>
        <v>2.0204741379310343</v>
      </c>
      <c r="BV7" s="216">
        <f t="shared" si="22"/>
        <v>2.6244643950214241</v>
      </c>
      <c r="BW7" s="216">
        <f t="shared" si="23"/>
        <v>2.6443582942256678</v>
      </c>
      <c r="BX7" s="216">
        <f t="shared" si="24"/>
        <v>2.8599265456029377</v>
      </c>
      <c r="BY7" s="216">
        <f t="shared" si="25"/>
        <v>2.8894103244235865</v>
      </c>
      <c r="BZ7" s="216">
        <f t="shared" si="26"/>
        <v>4.3090185676392565</v>
      </c>
      <c r="CA7" s="216">
        <f t="shared" si="27"/>
        <v>5.1877422974903062</v>
      </c>
      <c r="CB7" s="216">
        <f t="shared" si="28"/>
        <v>5.3050397877984077</v>
      </c>
      <c r="CC7" s="216">
        <f t="shared" si="29"/>
        <v>5.1826157926953673</v>
      </c>
      <c r="CD7" s="216">
        <f t="shared" si="30"/>
        <v>7.4749285860028563</v>
      </c>
      <c r="CE7" s="216">
        <f t="shared" si="31"/>
        <v>6.9193595694756151</v>
      </c>
      <c r="CF7" s="216">
        <f t="shared" si="32"/>
        <v>6.4142968271781262</v>
      </c>
      <c r="CG7" s="216">
        <f t="shared" si="33"/>
        <v>10.016795041828196</v>
      </c>
      <c r="CH7" s="216">
        <f t="shared" si="34"/>
        <v>11.680269332789223</v>
      </c>
      <c r="CI7" s="216">
        <f t="shared" si="35"/>
        <v>15.247296470108139</v>
      </c>
      <c r="CJ7" s="216">
        <f t="shared" si="36"/>
        <v>17.550678432972859</v>
      </c>
      <c r="CK7" s="216">
        <f t="shared" si="37"/>
        <v>21.443965517241377</v>
      </c>
      <c r="CL7" s="216" t="str">
        <f t="shared" si="38"/>
        <v/>
      </c>
      <c r="CM7" s="216" t="str">
        <f t="shared" si="39"/>
        <v/>
      </c>
      <c r="CN7" s="216" t="str">
        <f t="shared" si="40"/>
        <v/>
      </c>
      <c r="CO7" s="216" t="str">
        <f t="shared" si="41"/>
        <v/>
      </c>
      <c r="CP7" s="216" t="str">
        <f t="shared" si="42"/>
        <v/>
      </c>
      <c r="CQ7" s="216" t="str">
        <f t="shared" si="43"/>
        <v/>
      </c>
      <c r="CR7" s="216" t="str">
        <f t="shared" si="44"/>
        <v/>
      </c>
      <c r="CS7" s="216" t="str">
        <f t="shared" si="45"/>
        <v/>
      </c>
      <c r="CT7" s="216" t="str">
        <f t="shared" si="46"/>
        <v/>
      </c>
      <c r="CU7" s="216" t="str">
        <f t="shared" si="47"/>
        <v/>
      </c>
      <c r="CV7" s="216" t="str">
        <f t="shared" si="48"/>
        <v/>
      </c>
      <c r="CW7" s="216" t="str">
        <f t="shared" si="49"/>
        <v/>
      </c>
      <c r="CX7" s="216" t="str">
        <f t="shared" si="50"/>
        <v/>
      </c>
      <c r="CY7" s="216" t="str">
        <f t="shared" si="51"/>
        <v/>
      </c>
      <c r="CZ7" s="216" t="str">
        <f t="shared" si="52"/>
        <v/>
      </c>
      <c r="DA7" s="216" t="str">
        <f t="shared" si="53"/>
        <v/>
      </c>
      <c r="DB7" s="216" t="str">
        <f t="shared" si="54"/>
        <v/>
      </c>
      <c r="DC7" s="216" t="str">
        <f t="shared" si="55"/>
        <v/>
      </c>
      <c r="DD7" s="216" t="str">
        <f t="shared" si="56"/>
        <v/>
      </c>
      <c r="DE7" s="216" t="str">
        <f t="shared" si="12"/>
        <v/>
      </c>
      <c r="DF7" s="216" t="str">
        <f t="shared" si="12"/>
        <v/>
      </c>
      <c r="DG7" s="216" t="str">
        <f t="shared" si="12"/>
        <v/>
      </c>
      <c r="DH7" s="216" t="str">
        <f t="shared" si="12"/>
        <v/>
      </c>
      <c r="DI7" s="216" t="str">
        <f t="shared" si="12"/>
        <v/>
      </c>
      <c r="DJ7" s="216" t="str">
        <f t="shared" si="12"/>
        <v/>
      </c>
      <c r="DK7" s="216" t="str">
        <f t="shared" si="12"/>
        <v/>
      </c>
    </row>
    <row r="8" spans="1:115">
      <c r="A8" s="23">
        <v>1066028</v>
      </c>
      <c r="B8" s="1">
        <v>15</v>
      </c>
      <c r="C8" s="25" t="str">
        <f t="shared" si="13"/>
        <v>1066028-15</v>
      </c>
      <c r="D8" s="23" t="s">
        <v>56</v>
      </c>
      <c r="E8" s="32" t="s">
        <v>61</v>
      </c>
      <c r="F8" s="27">
        <v>42850</v>
      </c>
      <c r="G8" s="198" t="s">
        <v>66</v>
      </c>
      <c r="H8" s="76">
        <v>29.1</v>
      </c>
      <c r="I8" s="27">
        <v>42861</v>
      </c>
      <c r="J8" s="33">
        <v>27.4</v>
      </c>
      <c r="K8" s="33">
        <v>7</v>
      </c>
      <c r="L8" s="33">
        <v>5.7</v>
      </c>
      <c r="M8" s="33">
        <f t="shared" si="14"/>
        <v>118.26360000000001</v>
      </c>
      <c r="N8" s="28">
        <f t="shared" si="15"/>
        <v>1182.6360000000002</v>
      </c>
      <c r="O8" s="28">
        <f t="shared" si="16"/>
        <v>39.421200000000006</v>
      </c>
      <c r="P8" s="33">
        <v>991</v>
      </c>
      <c r="Q8" s="130">
        <f t="shared" si="7"/>
        <v>8.3795859419128114</v>
      </c>
      <c r="R8" s="131">
        <f t="shared" si="17"/>
        <v>0.83795859419128105</v>
      </c>
      <c r="S8" s="223"/>
      <c r="T8" s="224">
        <v>70</v>
      </c>
      <c r="U8" s="29"/>
      <c r="V8" s="111"/>
      <c r="W8" s="71">
        <f>5.6*4.3*4.3*0.52</f>
        <v>53.842879999999994</v>
      </c>
      <c r="X8" s="76">
        <v>63.2</v>
      </c>
      <c r="Y8" s="76">
        <v>118.26360000000001</v>
      </c>
      <c r="Z8" s="76">
        <f>8.8*7.1*7.1*0.52</f>
        <v>230.67616000000001</v>
      </c>
      <c r="AA8" s="76">
        <f>8.7*7.5*7.5*0.52</f>
        <v>254.47500000000002</v>
      </c>
      <c r="AB8" s="76">
        <f>8.1*6.1*6.1*0.52</f>
        <v>156.72851999999997</v>
      </c>
      <c r="AC8" s="76">
        <f>6.1*5.6*5.6*0.52</f>
        <v>99.473919999999978</v>
      </c>
      <c r="AD8" s="76">
        <f>6.1*5.6*5.6*0.52</f>
        <v>99.473919999999978</v>
      </c>
      <c r="AE8" s="76">
        <f>5.6*5.1*5.1*0.52</f>
        <v>75.741119999999995</v>
      </c>
      <c r="AF8" s="76">
        <f>5.8*4.8*4.8*0.52</f>
        <v>69.488640000000004</v>
      </c>
      <c r="AG8" s="76">
        <f>4.3*4.1*4.1*0.52</f>
        <v>37.587159999999997</v>
      </c>
      <c r="AH8" s="76">
        <f>5.3*3.9*3.9*0.52</f>
        <v>41.918759999999992</v>
      </c>
      <c r="AI8" s="76">
        <f>4.5*3.5*3.5*0.52</f>
        <v>28.665000000000003</v>
      </c>
      <c r="AJ8" s="76">
        <f>0</f>
        <v>0</v>
      </c>
      <c r="AK8" s="76">
        <f>4.6*2.5*2.5*0.52</f>
        <v>14.950000000000001</v>
      </c>
      <c r="AL8" s="76">
        <f>2.1*1.6*1.6*0.52</f>
        <v>2.7955200000000007</v>
      </c>
      <c r="AM8" s="76">
        <f>0</f>
        <v>0</v>
      </c>
      <c r="AN8" s="76">
        <f>2.8*2.2*2.2*0.52</f>
        <v>7.0470400000000009</v>
      </c>
      <c r="AO8" s="76">
        <f>2.7*2.1*2.1*0.52</f>
        <v>6.1916400000000014</v>
      </c>
      <c r="AP8" s="76">
        <f>0</f>
        <v>0</v>
      </c>
      <c r="AQ8" s="76">
        <v>0</v>
      </c>
      <c r="AR8" s="76">
        <f>0</f>
        <v>0</v>
      </c>
      <c r="AS8" s="76">
        <f>3.1*2.2*2.2*0.52</f>
        <v>7.8020800000000019</v>
      </c>
      <c r="AT8" s="76">
        <f>2.2*2.1*2.1*0.52</f>
        <v>5.0450400000000011</v>
      </c>
      <c r="AU8" s="76">
        <f>2.2*1.9*1.9*0.52</f>
        <v>4.1298399999999997</v>
      </c>
      <c r="AV8" s="76">
        <f>3*3*3*0.52</f>
        <v>14.040000000000001</v>
      </c>
      <c r="AW8" s="76">
        <f>2.8*1.8*1.8*0.52</f>
        <v>4.7174400000000007</v>
      </c>
      <c r="AX8" s="76">
        <f>2.5*1.9*1.9*0.52</f>
        <v>4.6930000000000005</v>
      </c>
      <c r="AY8" s="76">
        <f>2.6*2.2*2.2*0.52</f>
        <v>6.5436800000000019</v>
      </c>
      <c r="AZ8" s="76">
        <f>2.3*2*2*0.52</f>
        <v>4.7839999999999998</v>
      </c>
      <c r="BA8" s="76">
        <f>0</f>
        <v>0</v>
      </c>
      <c r="BB8" s="76">
        <v>0</v>
      </c>
      <c r="BC8" s="76">
        <f>0</f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/>
      <c r="BP8" s="76"/>
      <c r="BQ8" s="34"/>
      <c r="BR8" s="216">
        <f t="shared" si="18"/>
        <v>0.45527854724530614</v>
      </c>
      <c r="BS8" s="216">
        <f t="shared" si="19"/>
        <v>0.53439942636618532</v>
      </c>
      <c r="BT8" s="216">
        <f t="shared" si="20"/>
        <v>1</v>
      </c>
      <c r="BU8" s="216">
        <f t="shared" si="21"/>
        <v>1.9505254363980125</v>
      </c>
      <c r="BV8" s="216">
        <f t="shared" si="22"/>
        <v>2.1517609814008707</v>
      </c>
      <c r="BW8" s="216">
        <f t="shared" si="23"/>
        <v>1.3252473288484365</v>
      </c>
      <c r="BX8" s="216">
        <f t="shared" si="24"/>
        <v>0.84112034472145247</v>
      </c>
      <c r="BY8" s="216">
        <f t="shared" si="25"/>
        <v>0.84112034472145247</v>
      </c>
      <c r="BZ8" s="216">
        <f t="shared" si="26"/>
        <v>0.64044321329639875</v>
      </c>
      <c r="CA8" s="216">
        <f t="shared" si="27"/>
        <v>0.58757419865453109</v>
      </c>
      <c r="CB8" s="216">
        <f t="shared" si="28"/>
        <v>0.31782526491667762</v>
      </c>
      <c r="CC8" s="216">
        <f t="shared" si="29"/>
        <v>0.35445191927186376</v>
      </c>
      <c r="CD8" s="216">
        <f t="shared" si="30"/>
        <v>0.24238227146814403</v>
      </c>
      <c r="CE8" s="216">
        <f t="shared" si="31"/>
        <v>0</v>
      </c>
      <c r="CF8" s="216">
        <f t="shared" si="32"/>
        <v>0.12641252253440619</v>
      </c>
      <c r="CG8" s="216">
        <f t="shared" si="33"/>
        <v>2.3638042474607573E-2</v>
      </c>
      <c r="CH8" s="216">
        <f t="shared" si="34"/>
        <v>0</v>
      </c>
      <c r="CI8" s="216">
        <f t="shared" si="35"/>
        <v>5.9587565404739924E-2</v>
      </c>
      <c r="CJ8" s="216">
        <f t="shared" si="36"/>
        <v>5.2354570637119117E-2</v>
      </c>
      <c r="CK8" s="216">
        <f t="shared" si="37"/>
        <v>0</v>
      </c>
      <c r="CL8" s="216">
        <f t="shared" si="38"/>
        <v>0</v>
      </c>
      <c r="CM8" s="216">
        <f t="shared" si="39"/>
        <v>0</v>
      </c>
      <c r="CN8" s="216">
        <f t="shared" si="40"/>
        <v>6.5971947412390639E-2</v>
      </c>
      <c r="CO8" s="216">
        <f t="shared" si="41"/>
        <v>4.2659279778393358E-2</v>
      </c>
      <c r="CP8" s="216">
        <f t="shared" si="42"/>
        <v>3.4920634920634915E-2</v>
      </c>
      <c r="CQ8" s="216">
        <f t="shared" si="43"/>
        <v>0.1187178472497032</v>
      </c>
      <c r="CR8" s="216">
        <f t="shared" si="44"/>
        <v>3.9889196675900282E-2</v>
      </c>
      <c r="CS8" s="216">
        <f t="shared" si="45"/>
        <v>3.968253968253968E-2</v>
      </c>
      <c r="CT8" s="216">
        <f t="shared" si="46"/>
        <v>5.5331310732972795E-2</v>
      </c>
      <c r="CU8" s="216">
        <f t="shared" si="47"/>
        <v>4.0452007211009978E-2</v>
      </c>
      <c r="CV8" s="216">
        <f t="shared" si="48"/>
        <v>0</v>
      </c>
      <c r="CW8" s="216">
        <f t="shared" si="49"/>
        <v>0</v>
      </c>
      <c r="CX8" s="216">
        <f t="shared" si="50"/>
        <v>0</v>
      </c>
      <c r="CY8" s="216">
        <f t="shared" si="51"/>
        <v>0</v>
      </c>
      <c r="CZ8" s="216">
        <f t="shared" si="52"/>
        <v>0</v>
      </c>
      <c r="DA8" s="216">
        <f t="shared" si="53"/>
        <v>0</v>
      </c>
      <c r="DB8" s="216">
        <f t="shared" si="54"/>
        <v>0</v>
      </c>
      <c r="DC8" s="216">
        <f t="shared" si="55"/>
        <v>0</v>
      </c>
      <c r="DD8" s="216">
        <f t="shared" si="56"/>
        <v>0</v>
      </c>
      <c r="DE8" s="216">
        <f t="shared" si="12"/>
        <v>0</v>
      </c>
      <c r="DF8" s="216">
        <f t="shared" si="12"/>
        <v>0</v>
      </c>
      <c r="DG8" s="216">
        <f t="shared" si="12"/>
        <v>0</v>
      </c>
      <c r="DH8" s="216">
        <f t="shared" si="12"/>
        <v>0</v>
      </c>
      <c r="DI8" s="216">
        <f t="shared" si="12"/>
        <v>0</v>
      </c>
      <c r="DJ8" s="216" t="str">
        <f t="shared" si="12"/>
        <v/>
      </c>
      <c r="DK8" s="216" t="str">
        <f t="shared" si="12"/>
        <v/>
      </c>
    </row>
    <row r="9" spans="1:115">
      <c r="A9" s="35">
        <v>1066029</v>
      </c>
      <c r="B9" s="1">
        <v>21</v>
      </c>
      <c r="C9" s="25" t="str">
        <f t="shared" si="13"/>
        <v>1066029-21</v>
      </c>
      <c r="D9" s="23" t="s">
        <v>56</v>
      </c>
      <c r="E9" s="32" t="s">
        <v>64</v>
      </c>
      <c r="F9" s="27">
        <v>42850</v>
      </c>
      <c r="G9" s="198" t="s">
        <v>66</v>
      </c>
      <c r="H9" s="76">
        <v>24.8</v>
      </c>
      <c r="I9" s="27">
        <v>42861</v>
      </c>
      <c r="J9" s="33">
        <v>24.8</v>
      </c>
      <c r="K9" s="33">
        <v>5.9</v>
      </c>
      <c r="L9" s="33">
        <v>5</v>
      </c>
      <c r="M9" s="33">
        <f t="shared" si="14"/>
        <v>76.7</v>
      </c>
      <c r="N9" s="28">
        <f t="shared" si="15"/>
        <v>767</v>
      </c>
      <c r="O9" s="28">
        <f t="shared" si="16"/>
        <v>25.566666666666666</v>
      </c>
      <c r="P9" s="33">
        <v>0</v>
      </c>
      <c r="Q9" s="130">
        <f t="shared" si="7"/>
        <v>0</v>
      </c>
      <c r="R9" s="131">
        <f t="shared" si="17"/>
        <v>0</v>
      </c>
      <c r="S9" s="223"/>
      <c r="T9" s="224">
        <v>70</v>
      </c>
      <c r="U9" s="29"/>
      <c r="V9" s="111"/>
      <c r="W9" s="71">
        <f>5.4*4.7*4.7*0.52</f>
        <v>62.028720000000007</v>
      </c>
      <c r="X9" s="76">
        <v>89.5</v>
      </c>
      <c r="Y9" s="76">
        <v>76.7</v>
      </c>
      <c r="Z9" s="76">
        <f>5.4*3.5*3.5*0.52</f>
        <v>34.398000000000003</v>
      </c>
      <c r="AA9" s="76">
        <f>5.4*5.3*5.3*0.52</f>
        <v>78.876720000000006</v>
      </c>
      <c r="AB9" s="76">
        <f>5.9*5.7*5.7*0.52</f>
        <v>99.679320000000018</v>
      </c>
      <c r="AC9" s="76">
        <f>9.3*6.6*6.6*0.52</f>
        <v>210.65616</v>
      </c>
      <c r="AD9" s="76">
        <f>10.7*7*7*0.52</f>
        <v>272.63599999999997</v>
      </c>
      <c r="AE9" s="76">
        <f>13*9.2*9.2*0.52</f>
        <v>572.16639999999995</v>
      </c>
      <c r="AF9" s="76">
        <f>11.4*9.7*9.7*0.52</f>
        <v>557.76552000000004</v>
      </c>
      <c r="AG9" s="76">
        <f>13.7*10.6*10.6*0.52</f>
        <v>800.45263999999997</v>
      </c>
      <c r="AH9" s="76">
        <f>15.7*13*13*0.52</f>
        <v>1379.7159999999999</v>
      </c>
      <c r="AI9" s="76">
        <f>17.8*15.3*15.3*0.52</f>
        <v>2166.7370400000004</v>
      </c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34"/>
      <c r="BR9" s="216">
        <f t="shared" si="18"/>
        <v>0.8087186440677967</v>
      </c>
      <c r="BS9" s="216">
        <f t="shared" si="19"/>
        <v>1.166883963494133</v>
      </c>
      <c r="BT9" s="216">
        <f t="shared" si="20"/>
        <v>1</v>
      </c>
      <c r="BU9" s="216">
        <f t="shared" si="21"/>
        <v>0.44847457627118648</v>
      </c>
      <c r="BV9" s="216">
        <f t="shared" si="22"/>
        <v>1.0283796610169491</v>
      </c>
      <c r="BW9" s="216">
        <f t="shared" si="23"/>
        <v>1.2996000000000001</v>
      </c>
      <c r="BX9" s="216">
        <f t="shared" si="24"/>
        <v>2.7464949152542371</v>
      </c>
      <c r="BY9" s="216">
        <f t="shared" si="25"/>
        <v>3.5545762711864399</v>
      </c>
      <c r="BZ9" s="216">
        <f t="shared" si="26"/>
        <v>7.4597966101694908</v>
      </c>
      <c r="CA9" s="216">
        <f t="shared" si="27"/>
        <v>7.2720406779661015</v>
      </c>
      <c r="CB9" s="216">
        <f t="shared" si="28"/>
        <v>10.436149152542372</v>
      </c>
      <c r="CC9" s="216">
        <f t="shared" si="29"/>
        <v>17.988474576271184</v>
      </c>
      <c r="CD9" s="216">
        <f t="shared" si="30"/>
        <v>28.249505084745767</v>
      </c>
      <c r="CE9" s="216" t="str">
        <f t="shared" si="31"/>
        <v/>
      </c>
      <c r="CF9" s="216" t="str">
        <f t="shared" si="32"/>
        <v/>
      </c>
      <c r="CG9" s="216" t="str">
        <f t="shared" si="33"/>
        <v/>
      </c>
      <c r="CH9" s="216" t="str">
        <f t="shared" si="34"/>
        <v/>
      </c>
      <c r="CI9" s="216" t="str">
        <f t="shared" si="35"/>
        <v/>
      </c>
      <c r="CJ9" s="216" t="str">
        <f t="shared" si="36"/>
        <v/>
      </c>
      <c r="CK9" s="216" t="str">
        <f t="shared" si="37"/>
        <v/>
      </c>
      <c r="CL9" s="216" t="str">
        <f t="shared" si="38"/>
        <v/>
      </c>
      <c r="CM9" s="216" t="str">
        <f t="shared" si="39"/>
        <v/>
      </c>
      <c r="CN9" s="216" t="str">
        <f t="shared" si="40"/>
        <v/>
      </c>
      <c r="CO9" s="216" t="str">
        <f t="shared" si="41"/>
        <v/>
      </c>
      <c r="CP9" s="216" t="str">
        <f t="shared" si="42"/>
        <v/>
      </c>
      <c r="CQ9" s="216" t="str">
        <f t="shared" si="43"/>
        <v/>
      </c>
      <c r="CR9" s="216" t="str">
        <f t="shared" si="44"/>
        <v/>
      </c>
      <c r="CS9" s="216" t="str">
        <f t="shared" si="45"/>
        <v/>
      </c>
      <c r="CT9" s="216" t="str">
        <f t="shared" si="46"/>
        <v/>
      </c>
      <c r="CU9" s="216" t="str">
        <f t="shared" si="47"/>
        <v/>
      </c>
      <c r="CV9" s="216" t="str">
        <f t="shared" si="48"/>
        <v/>
      </c>
      <c r="CW9" s="216" t="str">
        <f t="shared" si="49"/>
        <v/>
      </c>
      <c r="CX9" s="216" t="str">
        <f t="shared" si="50"/>
        <v/>
      </c>
      <c r="CY9" s="216" t="str">
        <f t="shared" si="51"/>
        <v/>
      </c>
      <c r="CZ9" s="216" t="str">
        <f t="shared" si="52"/>
        <v/>
      </c>
      <c r="DA9" s="216" t="str">
        <f t="shared" si="53"/>
        <v/>
      </c>
      <c r="DB9" s="216" t="str">
        <f t="shared" si="54"/>
        <v/>
      </c>
      <c r="DC9" s="216" t="str">
        <f t="shared" si="55"/>
        <v/>
      </c>
      <c r="DD9" s="216" t="str">
        <f t="shared" si="56"/>
        <v/>
      </c>
      <c r="DE9" s="216" t="str">
        <f t="shared" si="12"/>
        <v/>
      </c>
      <c r="DF9" s="216" t="str">
        <f t="shared" si="12"/>
        <v/>
      </c>
      <c r="DG9" s="216" t="str">
        <f t="shared" si="12"/>
        <v/>
      </c>
      <c r="DH9" s="216" t="str">
        <f t="shared" si="12"/>
        <v/>
      </c>
      <c r="DI9" s="216" t="str">
        <f t="shared" si="12"/>
        <v/>
      </c>
      <c r="DJ9" s="216" t="str">
        <f t="shared" si="12"/>
        <v/>
      </c>
      <c r="DK9" s="216" t="str">
        <f t="shared" si="12"/>
        <v/>
      </c>
    </row>
    <row r="10" spans="1:115">
      <c r="A10" s="35">
        <v>1066029</v>
      </c>
      <c r="B10" s="1">
        <v>22</v>
      </c>
      <c r="C10" s="25" t="str">
        <f t="shared" si="13"/>
        <v>1066029-22</v>
      </c>
      <c r="D10" s="23" t="s">
        <v>56</v>
      </c>
      <c r="E10" s="32" t="s">
        <v>61</v>
      </c>
      <c r="F10" s="27">
        <v>42850</v>
      </c>
      <c r="G10" s="198" t="s">
        <v>66</v>
      </c>
      <c r="H10" s="76">
        <v>24.8</v>
      </c>
      <c r="I10" s="27">
        <v>42861</v>
      </c>
      <c r="J10" s="33">
        <v>25.8</v>
      </c>
      <c r="K10" s="33">
        <v>7.3</v>
      </c>
      <c r="L10" s="33">
        <v>5.7</v>
      </c>
      <c r="M10" s="33">
        <f t="shared" si="14"/>
        <v>123.33204000000002</v>
      </c>
      <c r="N10" s="28">
        <f t="shared" si="15"/>
        <v>1233.3204000000003</v>
      </c>
      <c r="O10" s="28">
        <f t="shared" si="16"/>
        <v>41.110680000000009</v>
      </c>
      <c r="P10" s="33">
        <v>1312</v>
      </c>
      <c r="Q10" s="130">
        <f t="shared" si="7"/>
        <v>10.637949392550386</v>
      </c>
      <c r="R10" s="131">
        <f t="shared" si="17"/>
        <v>1.0637949392550383</v>
      </c>
      <c r="S10" s="223"/>
      <c r="T10" s="224">
        <v>70</v>
      </c>
      <c r="U10" s="29"/>
      <c r="V10" s="111"/>
      <c r="W10" s="71">
        <f>6.3*5.8*5.8*0.52</f>
        <v>110.20464</v>
      </c>
      <c r="X10" s="76">
        <v>116.6</v>
      </c>
      <c r="Y10" s="76">
        <v>123.33204000000002</v>
      </c>
      <c r="Z10" s="76">
        <f>8.1*6.3*6.3*0.52</f>
        <v>167.17427999999998</v>
      </c>
      <c r="AA10" s="76">
        <f>9*7*7*0.52</f>
        <v>229.32000000000002</v>
      </c>
      <c r="AB10" s="76">
        <f>9.7*6.7*6.7*0.52</f>
        <v>226.42516000000001</v>
      </c>
      <c r="AC10" s="76">
        <f>9.8*6.8*6.8*0.52</f>
        <v>235.63903999999999</v>
      </c>
      <c r="AD10" s="76">
        <f>9.8*5.9*5.9*0.52</f>
        <v>177.39176000000006</v>
      </c>
      <c r="AE10" s="76">
        <f>3.3*2.5*2.5*0.52</f>
        <v>10.725</v>
      </c>
      <c r="AF10" s="76">
        <f>3*2.7*2.7*0.52</f>
        <v>11.372400000000003</v>
      </c>
      <c r="AG10" s="76">
        <f>11.7*7*7*0.52</f>
        <v>298.11599999999999</v>
      </c>
      <c r="AH10" s="76">
        <f>10.4*5.6*5.6*0.52</f>
        <v>169.59487999999999</v>
      </c>
      <c r="AI10" s="76">
        <f>6.2*5.9*5.9*0.52</f>
        <v>112.22744000000002</v>
      </c>
      <c r="AJ10" s="76">
        <f>6.3*6.1*6.1*0.52</f>
        <v>121.89995999999999</v>
      </c>
      <c r="AK10" s="76">
        <f>0</f>
        <v>0</v>
      </c>
      <c r="AL10" s="76">
        <f>10.1*6.8*6.8*0.52</f>
        <v>242.85247999999999</v>
      </c>
      <c r="AM10" s="76">
        <f>10.2*7.1*7.1*0.52</f>
        <v>267.37463999999994</v>
      </c>
      <c r="AN10" s="76">
        <f>7*5.7*5.7*0.52</f>
        <v>118.26360000000001</v>
      </c>
      <c r="AO10" s="76">
        <f>7.2*6.5*6.5*0.52</f>
        <v>158.18400000000003</v>
      </c>
      <c r="AP10" s="76">
        <f>7.8*6.8*6.8*0.52</f>
        <v>187.54944</v>
      </c>
      <c r="AQ10" s="76">
        <f>8.9*8.2*8.2*0.52</f>
        <v>311.18671999999992</v>
      </c>
      <c r="AR10" s="76">
        <f>11.3*8.4*8.4*0.52</f>
        <v>414.61056000000013</v>
      </c>
      <c r="AS10" s="76">
        <f>9.2*9.1*9.1*0.52</f>
        <v>396.16303999999997</v>
      </c>
      <c r="AT10" s="76">
        <f>11.2*10.4*10.4*0.52</f>
        <v>629.92383999999993</v>
      </c>
      <c r="AU10" s="76">
        <f>11.5*10.7*10.7*0.52</f>
        <v>684.65020000000004</v>
      </c>
      <c r="AV10" s="76">
        <f>12.9*11*11*0.52</f>
        <v>811.66800000000012</v>
      </c>
      <c r="AW10" s="76">
        <f>11.9*11*11*0.52</f>
        <v>748.74800000000005</v>
      </c>
      <c r="AX10" s="76">
        <f>11.6*10.6*10.6*0.52</f>
        <v>677.75552000000005</v>
      </c>
      <c r="AY10" s="76">
        <f>12.5*12.2*12.2*0.52</f>
        <v>967.46</v>
      </c>
      <c r="AZ10" s="76">
        <f>11.6*10.1*10.1*0.52</f>
        <v>615.32432000000006</v>
      </c>
      <c r="BA10" s="76">
        <f>10.8*10.2*10.2*0.52</f>
        <v>584.28863999999999</v>
      </c>
      <c r="BB10" s="76">
        <f>11.9*10.7*10.7*0.52</f>
        <v>708.46411999999998</v>
      </c>
      <c r="BC10" s="76">
        <f>11.8*10.9*10.9*0.52</f>
        <v>729.01816000000008</v>
      </c>
      <c r="BD10" s="76">
        <f>12.7*10.6*10.6*0.52</f>
        <v>742.02543999999989</v>
      </c>
      <c r="BE10" s="76">
        <f>10.3*9.8*9.8*0.52</f>
        <v>514.39024000000018</v>
      </c>
      <c r="BF10" s="76">
        <f>11.5*10.8*10.8*0.52</f>
        <v>697.50720000000013</v>
      </c>
      <c r="BG10" s="76">
        <f>12.3*10.1*10.1*0.52</f>
        <v>652.45596</v>
      </c>
      <c r="BH10" s="76">
        <f>11.6*10.6*10.6*0.52</f>
        <v>677.75552000000005</v>
      </c>
      <c r="BI10" s="76">
        <f>10.4*8.7*8.7*0.52</f>
        <v>409.3315199999999</v>
      </c>
      <c r="BJ10" s="76">
        <f>11.3*8.3*8.3*0.52</f>
        <v>404.79764000000011</v>
      </c>
      <c r="BK10" s="76">
        <f>11.7*9.3*9.3*0.52</f>
        <v>526.20516000000009</v>
      </c>
      <c r="BL10" s="76">
        <f>11.4*8.1*8.1*0.52</f>
        <v>388.93608</v>
      </c>
      <c r="BM10" s="76">
        <f>10.4*8.2*8.2*0.52</f>
        <v>363.63391999999999</v>
      </c>
      <c r="BN10" s="76">
        <f>8.3*6.5*6.5*0.52</f>
        <v>182.351</v>
      </c>
      <c r="BO10" s="76"/>
      <c r="BP10" s="76"/>
      <c r="BQ10" s="34"/>
      <c r="BR10" s="216">
        <f t="shared" si="18"/>
        <v>0.89356050544530019</v>
      </c>
      <c r="BS10" s="216">
        <f t="shared" si="19"/>
        <v>0.94541531949037716</v>
      </c>
      <c r="BT10" s="216">
        <f t="shared" si="20"/>
        <v>1</v>
      </c>
      <c r="BU10" s="216">
        <f t="shared" si="21"/>
        <v>1.3554813493719877</v>
      </c>
      <c r="BV10" s="216">
        <f t="shared" si="22"/>
        <v>1.8593708496186392</v>
      </c>
      <c r="BW10" s="216">
        <f t="shared" si="23"/>
        <v>1.8358989278049724</v>
      </c>
      <c r="BX10" s="216">
        <f t="shared" si="24"/>
        <v>1.9106068463636858</v>
      </c>
      <c r="BY10" s="216">
        <f t="shared" si="25"/>
        <v>1.4383266505605521</v>
      </c>
      <c r="BZ10" s="216">
        <f t="shared" si="26"/>
        <v>8.6960371368218659E-2</v>
      </c>
      <c r="CA10" s="216">
        <f t="shared" si="27"/>
        <v>9.2209615603536604E-2</v>
      </c>
      <c r="CB10" s="216">
        <f t="shared" si="28"/>
        <v>2.4171821045042305</v>
      </c>
      <c r="CC10" s="216">
        <f t="shared" si="29"/>
        <v>1.3751080416735177</v>
      </c>
      <c r="CD10" s="216">
        <f t="shared" si="30"/>
        <v>0.90996175851790007</v>
      </c>
      <c r="CE10" s="216">
        <f t="shared" si="31"/>
        <v>0.98838841877585071</v>
      </c>
      <c r="CF10" s="216">
        <f t="shared" si="32"/>
        <v>0</v>
      </c>
      <c r="CG10" s="216">
        <f t="shared" si="33"/>
        <v>1.9690948110482884</v>
      </c>
      <c r="CH10" s="216">
        <f t="shared" si="34"/>
        <v>2.1679252204050132</v>
      </c>
      <c r="CI10" s="216">
        <f t="shared" si="35"/>
        <v>0.95890410958904104</v>
      </c>
      <c r="CJ10" s="216">
        <f t="shared" si="36"/>
        <v>1.2825864227981634</v>
      </c>
      <c r="CK10" s="216">
        <f t="shared" si="37"/>
        <v>1.5206870817996683</v>
      </c>
      <c r="CL10" s="216">
        <f t="shared" si="38"/>
        <v>2.5231620266720625</v>
      </c>
      <c r="CM10" s="216">
        <f t="shared" si="39"/>
        <v>3.3617424961105002</v>
      </c>
      <c r="CN10" s="216">
        <f t="shared" si="40"/>
        <v>3.2121664410967328</v>
      </c>
      <c r="CO10" s="216">
        <f t="shared" si="41"/>
        <v>5.1075441547873517</v>
      </c>
      <c r="CP10" s="216">
        <f t="shared" si="42"/>
        <v>5.5512760512191308</v>
      </c>
      <c r="CQ10" s="216">
        <f t="shared" si="43"/>
        <v>6.5811609051467892</v>
      </c>
      <c r="CR10" s="216">
        <f t="shared" si="44"/>
        <v>6.070993393119906</v>
      </c>
      <c r="CS10" s="216">
        <f t="shared" si="45"/>
        <v>5.4953726541781025</v>
      </c>
      <c r="CT10" s="216">
        <f t="shared" si="46"/>
        <v>7.84435252996707</v>
      </c>
      <c r="CU10" s="216">
        <f t="shared" si="47"/>
        <v>4.9891684269553958</v>
      </c>
      <c r="CV10" s="216">
        <f t="shared" si="48"/>
        <v>4.7375251394528126</v>
      </c>
      <c r="CW10" s="216">
        <f t="shared" si="49"/>
        <v>5.7443639138702309</v>
      </c>
      <c r="CX10" s="216">
        <f t="shared" si="50"/>
        <v>5.9110200398858233</v>
      </c>
      <c r="CY10" s="216">
        <f t="shared" si="51"/>
        <v>6.0164855782811975</v>
      </c>
      <c r="CZ10" s="216">
        <f t="shared" si="52"/>
        <v>4.1707754124556775</v>
      </c>
      <c r="DA10" s="216">
        <f t="shared" si="53"/>
        <v>5.6555230903502451</v>
      </c>
      <c r="DB10" s="216">
        <f t="shared" si="54"/>
        <v>5.2902389354785662</v>
      </c>
      <c r="DC10" s="216">
        <f t="shared" si="55"/>
        <v>5.4953726541781025</v>
      </c>
      <c r="DD10" s="216">
        <f t="shared" si="56"/>
        <v>3.3189390202253999</v>
      </c>
      <c r="DE10" s="216">
        <f t="shared" si="12"/>
        <v>3.2821774455364561</v>
      </c>
      <c r="DF10" s="216">
        <f t="shared" si="12"/>
        <v>4.2665730656851215</v>
      </c>
      <c r="DG10" s="216">
        <f t="shared" si="12"/>
        <v>3.1535688536409512</v>
      </c>
      <c r="DH10" s="216">
        <f t="shared" si="12"/>
        <v>2.9484140536392647</v>
      </c>
      <c r="DI10" s="216">
        <f t="shared" si="12"/>
        <v>1.4785371262812159</v>
      </c>
      <c r="DJ10" s="216" t="str">
        <f t="shared" si="12"/>
        <v/>
      </c>
      <c r="DK10" s="216" t="str">
        <f t="shared" si="12"/>
        <v/>
      </c>
    </row>
    <row r="11" spans="1:115">
      <c r="A11" s="35">
        <v>1066029</v>
      </c>
      <c r="B11" s="1">
        <v>23</v>
      </c>
      <c r="C11" s="25" t="str">
        <f t="shared" si="13"/>
        <v>1066029-23</v>
      </c>
      <c r="D11" s="23" t="s">
        <v>56</v>
      </c>
      <c r="E11" s="32" t="s">
        <v>61</v>
      </c>
      <c r="F11" s="27">
        <v>42850</v>
      </c>
      <c r="G11" s="198" t="s">
        <v>66</v>
      </c>
      <c r="H11" s="76">
        <v>27.6</v>
      </c>
      <c r="I11" s="27">
        <v>42861</v>
      </c>
      <c r="J11" s="33">
        <v>28.4</v>
      </c>
      <c r="K11" s="33">
        <v>7.8</v>
      </c>
      <c r="L11" s="33">
        <v>5.4</v>
      </c>
      <c r="M11" s="33">
        <f t="shared" si="14"/>
        <v>118.27296000000003</v>
      </c>
      <c r="N11" s="28">
        <f t="shared" si="15"/>
        <v>1182.7296000000003</v>
      </c>
      <c r="O11" s="28">
        <f t="shared" si="16"/>
        <v>39.424320000000009</v>
      </c>
      <c r="P11" s="33">
        <v>1101</v>
      </c>
      <c r="Q11" s="130">
        <f t="shared" si="7"/>
        <v>9.3089747648152184</v>
      </c>
      <c r="R11" s="131">
        <f t="shared" si="17"/>
        <v>0.93089747648152177</v>
      </c>
      <c r="S11" s="223"/>
      <c r="T11" s="224">
        <v>70</v>
      </c>
      <c r="U11" s="29"/>
      <c r="V11" s="111"/>
      <c r="W11" s="71">
        <f>6.5*5.4*5.4*0.52</f>
        <v>98.560800000000015</v>
      </c>
      <c r="X11" s="76">
        <v>98.7</v>
      </c>
      <c r="Y11" s="76">
        <v>118.27296000000003</v>
      </c>
      <c r="Z11" s="76">
        <f>8.9*6.8*6.8*0.52</f>
        <v>213.99872000000002</v>
      </c>
      <c r="AA11" s="76">
        <f>8.4*6*6*0.52</f>
        <v>157.24800000000002</v>
      </c>
      <c r="AB11" s="76">
        <f>9.2*6.6*6.6*0.52</f>
        <v>208.39103999999995</v>
      </c>
      <c r="AC11" s="76">
        <f>7.2*5.1*5.1*0.52</f>
        <v>97.381439999999998</v>
      </c>
      <c r="AD11" s="76">
        <f>6.1*5.4*5.4*0.52</f>
        <v>92.495519999999999</v>
      </c>
      <c r="AE11" s="76">
        <f>7.4*5.3*5.3*0.52</f>
        <v>108.09031999999999</v>
      </c>
      <c r="AF11" s="76">
        <f>4.6*3.6*3.6*0.52</f>
        <v>31.000320000000002</v>
      </c>
      <c r="AG11" s="76">
        <f>6*4*4*0.52</f>
        <v>49.92</v>
      </c>
      <c r="AH11" s="76">
        <f>6.1*4*4*0.52</f>
        <v>50.751999999999995</v>
      </c>
      <c r="AI11" s="76">
        <f>5.8*4.2*4.2*0.52</f>
        <v>53.202240000000003</v>
      </c>
      <c r="AJ11" s="76">
        <f>5.5*3.1*3.1*0.52</f>
        <v>27.484600000000004</v>
      </c>
      <c r="AK11" s="76">
        <f>0</f>
        <v>0</v>
      </c>
      <c r="AL11" s="76">
        <f>3.9*3.3*3.3*0.52</f>
        <v>22.08492</v>
      </c>
      <c r="AM11" s="76">
        <f>9.6*5.5*5.5*0.52</f>
        <v>151.00799999999998</v>
      </c>
      <c r="AN11" s="76">
        <f>12.4*7.7*7.7*0.52</f>
        <v>382.30192000000005</v>
      </c>
      <c r="AO11" s="76">
        <f>11.4*7.6*7.6*0.52</f>
        <v>342.40127999999999</v>
      </c>
      <c r="AP11" s="76">
        <f>12.9*8.4*8.4*0.52</f>
        <v>473.31648000000013</v>
      </c>
      <c r="AQ11" s="76">
        <f>14*9.4*9.4*0.52</f>
        <v>643.26080000000002</v>
      </c>
      <c r="AR11" s="76">
        <f>15*10.5*10.5*0.52</f>
        <v>859.95</v>
      </c>
      <c r="AS11" s="76">
        <f>15.4*11.2*11.2*0.52</f>
        <v>1004.52352</v>
      </c>
      <c r="AT11" s="76">
        <f>16.8*12.1*12.1*0.52</f>
        <v>1279.0377600000002</v>
      </c>
      <c r="AU11" s="76">
        <f>17.2*13.4*13.4*0.52</f>
        <v>1605.9846399999999</v>
      </c>
      <c r="AV11" s="76">
        <f>19*14.6*14.6*0.52</f>
        <v>2106.0207999999998</v>
      </c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34"/>
      <c r="BR11" s="216">
        <f t="shared" si="18"/>
        <v>0.83333333333333326</v>
      </c>
      <c r="BS11" s="216">
        <f t="shared" si="19"/>
        <v>0.83451027183220905</v>
      </c>
      <c r="BT11" s="216">
        <f t="shared" si="20"/>
        <v>1</v>
      </c>
      <c r="BU11" s="216">
        <f t="shared" si="21"/>
        <v>1.8093630192395622</v>
      </c>
      <c r="BV11" s="216">
        <f t="shared" si="22"/>
        <v>1.329534662867996</v>
      </c>
      <c r="BW11" s="216">
        <f t="shared" si="23"/>
        <v>1.7619499841722055</v>
      </c>
      <c r="BX11" s="216">
        <f t="shared" si="24"/>
        <v>0.82336182336182318</v>
      </c>
      <c r="BY11" s="216">
        <f t="shared" si="25"/>
        <v>0.78205128205128183</v>
      </c>
      <c r="BZ11" s="216">
        <f t="shared" si="26"/>
        <v>0.91390559600436116</v>
      </c>
      <c r="CA11" s="216">
        <f t="shared" si="27"/>
        <v>0.26210826210826205</v>
      </c>
      <c r="CB11" s="216">
        <f t="shared" si="28"/>
        <v>0.42207449614857012</v>
      </c>
      <c r="CC11" s="216">
        <f t="shared" si="29"/>
        <v>0.42910907108437957</v>
      </c>
      <c r="CD11" s="216">
        <f t="shared" si="30"/>
        <v>0.44982589427033864</v>
      </c>
      <c r="CE11" s="216">
        <f t="shared" si="31"/>
        <v>0.23238278639513205</v>
      </c>
      <c r="CF11" s="216">
        <f t="shared" si="32"/>
        <v>0</v>
      </c>
      <c r="CG11" s="216">
        <f t="shared" si="33"/>
        <v>0.18672839506172836</v>
      </c>
      <c r="CH11" s="216">
        <f t="shared" si="34"/>
        <v>1.2767753508494244</v>
      </c>
      <c r="CI11" s="216">
        <f t="shared" si="35"/>
        <v>3.2323695965671271</v>
      </c>
      <c r="CJ11" s="216">
        <f t="shared" si="36"/>
        <v>2.8950089690830425</v>
      </c>
      <c r="CK11" s="216">
        <f t="shared" si="37"/>
        <v>4.0018993352326691</v>
      </c>
      <c r="CL11" s="216">
        <f t="shared" si="38"/>
        <v>5.438781611621117</v>
      </c>
      <c r="CM11" s="216">
        <f t="shared" si="39"/>
        <v>7.2708926875593534</v>
      </c>
      <c r="CN11" s="216">
        <f t="shared" si="40"/>
        <v>8.4932643944989596</v>
      </c>
      <c r="CO11" s="216">
        <f t="shared" si="41"/>
        <v>10.814287221694627</v>
      </c>
      <c r="CP11" s="216">
        <f t="shared" si="42"/>
        <v>13.578628961345007</v>
      </c>
      <c r="CQ11" s="216">
        <f t="shared" si="43"/>
        <v>17.806443670641197</v>
      </c>
      <c r="CR11" s="216" t="str">
        <f t="shared" si="44"/>
        <v/>
      </c>
      <c r="CS11" s="216" t="str">
        <f t="shared" si="45"/>
        <v/>
      </c>
      <c r="CT11" s="216" t="str">
        <f t="shared" si="46"/>
        <v/>
      </c>
      <c r="CU11" s="216" t="str">
        <f t="shared" si="47"/>
        <v/>
      </c>
      <c r="CV11" s="216" t="str">
        <f t="shared" si="48"/>
        <v/>
      </c>
      <c r="CW11" s="216" t="str">
        <f t="shared" si="49"/>
        <v/>
      </c>
      <c r="CX11" s="216" t="str">
        <f t="shared" si="50"/>
        <v/>
      </c>
      <c r="CY11" s="216" t="str">
        <f t="shared" si="51"/>
        <v/>
      </c>
      <c r="CZ11" s="216" t="str">
        <f t="shared" si="52"/>
        <v/>
      </c>
      <c r="DA11" s="216" t="str">
        <f t="shared" si="53"/>
        <v/>
      </c>
      <c r="DB11" s="216" t="str">
        <f t="shared" si="54"/>
        <v/>
      </c>
      <c r="DC11" s="216" t="str">
        <f t="shared" si="55"/>
        <v/>
      </c>
      <c r="DD11" s="216" t="str">
        <f t="shared" si="56"/>
        <v/>
      </c>
      <c r="DE11" s="216" t="str">
        <f t="shared" si="12"/>
        <v/>
      </c>
      <c r="DF11" s="216" t="str">
        <f t="shared" si="12"/>
        <v/>
      </c>
      <c r="DG11" s="216" t="str">
        <f t="shared" si="12"/>
        <v/>
      </c>
      <c r="DH11" s="216" t="str">
        <f t="shared" si="12"/>
        <v/>
      </c>
      <c r="DI11" s="216" t="str">
        <f t="shared" si="12"/>
        <v/>
      </c>
      <c r="DJ11" s="216" t="str">
        <f t="shared" si="12"/>
        <v/>
      </c>
      <c r="DK11" s="216" t="str">
        <f t="shared" si="12"/>
        <v/>
      </c>
    </row>
    <row r="12" spans="1:115">
      <c r="A12" s="35">
        <v>1066029</v>
      </c>
      <c r="B12" s="1">
        <v>24</v>
      </c>
      <c r="C12" s="25" t="str">
        <f t="shared" si="13"/>
        <v>1066029-24</v>
      </c>
      <c r="D12" s="23" t="s">
        <v>56</v>
      </c>
      <c r="E12" s="32" t="s">
        <v>62</v>
      </c>
      <c r="F12" s="27">
        <v>42850</v>
      </c>
      <c r="G12" s="198" t="s">
        <v>66</v>
      </c>
      <c r="H12" s="76">
        <v>29.7</v>
      </c>
      <c r="I12" s="27">
        <v>42861</v>
      </c>
      <c r="J12" s="33">
        <v>33</v>
      </c>
      <c r="K12" s="33">
        <v>6.5</v>
      </c>
      <c r="L12" s="33">
        <v>6.3</v>
      </c>
      <c r="M12" s="33">
        <f t="shared" si="14"/>
        <v>134.15220000000002</v>
      </c>
      <c r="N12" s="28">
        <f t="shared" si="15"/>
        <v>1341.5220000000002</v>
      </c>
      <c r="O12" s="28">
        <f t="shared" si="16"/>
        <v>44.717400000000005</v>
      </c>
      <c r="P12" s="33">
        <v>0</v>
      </c>
      <c r="Q12" s="130">
        <f t="shared" si="7"/>
        <v>0</v>
      </c>
      <c r="R12" s="131">
        <f t="shared" si="17"/>
        <v>0</v>
      </c>
      <c r="S12" s="223"/>
      <c r="T12" s="224"/>
      <c r="U12" s="29"/>
      <c r="V12" s="111"/>
      <c r="W12" s="71">
        <f>6*5.9*5.9*0.52</f>
        <v>108.60720000000002</v>
      </c>
      <c r="X12" s="76">
        <v>117.9</v>
      </c>
      <c r="Y12" s="76">
        <v>134.15220000000002</v>
      </c>
      <c r="Z12" s="76">
        <f>7.4*7*7*0.52</f>
        <v>188.55200000000002</v>
      </c>
      <c r="AA12" s="76">
        <f>7.8*7.4*7.4*0.52</f>
        <v>222.10656</v>
      </c>
      <c r="AB12" s="76">
        <f>8.5*8.1*8.1*0.52</f>
        <v>289.99619999999999</v>
      </c>
      <c r="AC12" s="76">
        <f>8.4*8*8*0.52</f>
        <v>279.55200000000002</v>
      </c>
      <c r="AD12" s="76">
        <f>9.9*8.8*8.8*0.52</f>
        <v>398.66112000000004</v>
      </c>
      <c r="AE12" s="76">
        <f>10.6*9.8*9.8*0.52</f>
        <v>529.37248000000011</v>
      </c>
      <c r="AF12" s="76">
        <f>13.3*11.4*11.4*0.52</f>
        <v>898.80336000000011</v>
      </c>
      <c r="AG12" s="76">
        <f>15*13.1*13.1*0.52</f>
        <v>1338.558</v>
      </c>
      <c r="AH12" s="76">
        <f>15*12.7*12.7*0.52</f>
        <v>1258.0619999999999</v>
      </c>
      <c r="AI12" s="76">
        <f>16*13.9*13.9*0.52</f>
        <v>1607.5072</v>
      </c>
      <c r="AJ12" s="76">
        <f>16.3*15*15*0.52</f>
        <v>1907.1000000000001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34"/>
      <c r="BR12" s="216">
        <f t="shared" si="18"/>
        <v>0.80958195243909536</v>
      </c>
      <c r="BS12" s="216">
        <f t="shared" si="19"/>
        <v>0.8788525272041755</v>
      </c>
      <c r="BT12" s="216">
        <f t="shared" si="20"/>
        <v>1</v>
      </c>
      <c r="BU12" s="216">
        <f t="shared" si="21"/>
        <v>1.4055080721747388</v>
      </c>
      <c r="BV12" s="216">
        <f t="shared" si="22"/>
        <v>1.6556311413454268</v>
      </c>
      <c r="BW12" s="216">
        <f t="shared" si="23"/>
        <v>2.1616954474097327</v>
      </c>
      <c r="BX12" s="216">
        <f t="shared" si="24"/>
        <v>2.0838420838420837</v>
      </c>
      <c r="BY12" s="216">
        <f t="shared" si="25"/>
        <v>2.971707657421943</v>
      </c>
      <c r="BZ12" s="216">
        <f t="shared" si="26"/>
        <v>3.9460588793922131</v>
      </c>
      <c r="CA12" s="216">
        <f t="shared" si="27"/>
        <v>6.6998778998779001</v>
      </c>
      <c r="CB12" s="216">
        <f t="shared" si="28"/>
        <v>9.9779056921914044</v>
      </c>
      <c r="CC12" s="216">
        <f t="shared" si="29"/>
        <v>9.3778708064422336</v>
      </c>
      <c r="CD12" s="216">
        <f t="shared" si="30"/>
        <v>11.982712173188363</v>
      </c>
      <c r="CE12" s="216">
        <f t="shared" si="31"/>
        <v>14.215942787371358</v>
      </c>
      <c r="CF12" s="216" t="str">
        <f t="shared" si="32"/>
        <v/>
      </c>
      <c r="CG12" s="216" t="str">
        <f t="shared" si="33"/>
        <v/>
      </c>
      <c r="CH12" s="216" t="str">
        <f t="shared" si="34"/>
        <v/>
      </c>
      <c r="CI12" s="216" t="str">
        <f t="shared" si="35"/>
        <v/>
      </c>
      <c r="CJ12" s="216" t="str">
        <f t="shared" si="36"/>
        <v/>
      </c>
      <c r="CK12" s="216" t="str">
        <f t="shared" si="37"/>
        <v/>
      </c>
      <c r="CL12" s="216" t="str">
        <f t="shared" si="38"/>
        <v/>
      </c>
      <c r="CM12" s="216" t="str">
        <f t="shared" si="39"/>
        <v/>
      </c>
      <c r="CN12" s="216" t="str">
        <f t="shared" si="40"/>
        <v/>
      </c>
      <c r="CO12" s="216" t="str">
        <f t="shared" si="41"/>
        <v/>
      </c>
      <c r="CP12" s="216" t="str">
        <f t="shared" si="42"/>
        <v/>
      </c>
      <c r="CQ12" s="216" t="str">
        <f t="shared" si="43"/>
        <v/>
      </c>
      <c r="CR12" s="216" t="str">
        <f t="shared" si="44"/>
        <v/>
      </c>
      <c r="CS12" s="216" t="str">
        <f t="shared" si="45"/>
        <v/>
      </c>
      <c r="CT12" s="216" t="str">
        <f t="shared" si="46"/>
        <v/>
      </c>
      <c r="CU12" s="216" t="str">
        <f t="shared" si="47"/>
        <v/>
      </c>
      <c r="CV12" s="216" t="str">
        <f t="shared" si="48"/>
        <v/>
      </c>
      <c r="CW12" s="216" t="str">
        <f t="shared" si="49"/>
        <v/>
      </c>
      <c r="CX12" s="216" t="str">
        <f t="shared" si="50"/>
        <v/>
      </c>
      <c r="CY12" s="216" t="str">
        <f t="shared" si="51"/>
        <v/>
      </c>
      <c r="CZ12" s="216" t="str">
        <f t="shared" si="52"/>
        <v/>
      </c>
      <c r="DA12" s="216" t="str">
        <f t="shared" si="53"/>
        <v/>
      </c>
      <c r="DB12" s="216" t="str">
        <f t="shared" si="54"/>
        <v/>
      </c>
      <c r="DC12" s="216" t="str">
        <f t="shared" si="55"/>
        <v/>
      </c>
      <c r="DD12" s="216" t="str">
        <f t="shared" si="56"/>
        <v/>
      </c>
      <c r="DE12" s="216" t="str">
        <f t="shared" si="12"/>
        <v/>
      </c>
      <c r="DF12" s="216" t="str">
        <f t="shared" si="12"/>
        <v/>
      </c>
      <c r="DG12" s="216" t="str">
        <f t="shared" si="12"/>
        <v/>
      </c>
      <c r="DH12" s="216" t="str">
        <f t="shared" si="12"/>
        <v/>
      </c>
      <c r="DI12" s="216" t="str">
        <f t="shared" si="12"/>
        <v/>
      </c>
      <c r="DJ12" s="216" t="str">
        <f t="shared" si="12"/>
        <v/>
      </c>
      <c r="DK12" s="216" t="str">
        <f t="shared" si="12"/>
        <v/>
      </c>
    </row>
    <row r="13" spans="1:115">
      <c r="A13" s="35">
        <v>1066029</v>
      </c>
      <c r="B13" s="1">
        <v>25</v>
      </c>
      <c r="C13" s="25" t="str">
        <f t="shared" si="13"/>
        <v>1066029-25</v>
      </c>
      <c r="D13" s="23" t="s">
        <v>56</v>
      </c>
      <c r="E13" s="32" t="s">
        <v>72</v>
      </c>
      <c r="F13" s="27">
        <v>42850</v>
      </c>
      <c r="G13" s="198" t="s">
        <v>66</v>
      </c>
      <c r="H13" s="76">
        <v>28.5</v>
      </c>
      <c r="I13" s="27">
        <v>42861</v>
      </c>
      <c r="J13" s="33">
        <v>30.2</v>
      </c>
      <c r="K13" s="33">
        <v>7.9</v>
      </c>
      <c r="L13" s="33">
        <v>6.1</v>
      </c>
      <c r="M13" s="33">
        <f t="shared" si="14"/>
        <v>152.85867999999996</v>
      </c>
      <c r="N13" s="28">
        <f t="shared" si="15"/>
        <v>1528.5867999999996</v>
      </c>
      <c r="O13" s="28">
        <f t="shared" si="16"/>
        <v>50.952893333333321</v>
      </c>
      <c r="P13" s="33">
        <v>1371</v>
      </c>
      <c r="Q13" s="130">
        <f t="shared" si="7"/>
        <v>8.9690686848793959</v>
      </c>
      <c r="R13" s="131">
        <f t="shared" si="17"/>
        <v>0.89690686848793955</v>
      </c>
      <c r="S13" s="223"/>
      <c r="T13" s="224"/>
      <c r="U13" s="29"/>
      <c r="V13" s="111"/>
      <c r="W13" s="71">
        <f>7*6.3*6.3*0.52</f>
        <v>144.4716</v>
      </c>
      <c r="X13" s="76">
        <v>112.2</v>
      </c>
      <c r="Y13" s="76">
        <v>152.85867999999996</v>
      </c>
      <c r="Z13" s="76">
        <f>9.6*7.8*7.8*0.52</f>
        <v>303.71328</v>
      </c>
      <c r="AA13" s="76">
        <f>9.4*7.2*7.2*0.52</f>
        <v>253.39392000000004</v>
      </c>
      <c r="AB13" s="76">
        <f>10.1*6.1*6.1*0.52</f>
        <v>195.42691999999997</v>
      </c>
      <c r="AC13" s="76">
        <f>10.2*6.3*6.3*0.52</f>
        <v>210.51575999999997</v>
      </c>
      <c r="AD13" s="76">
        <f>11.6*6.4*6.4*0.52</f>
        <v>247.07071999999999</v>
      </c>
      <c r="AE13" s="76">
        <f>11*6.8*6.8*0.52</f>
        <v>264.49279999999999</v>
      </c>
      <c r="AF13" s="76">
        <f>4.3*4.2*4.2*0.52</f>
        <v>39.443040000000003</v>
      </c>
      <c r="AG13" s="76">
        <f>8.2*6.8*6.8*0.52</f>
        <v>197.16735999999997</v>
      </c>
      <c r="AH13" s="76">
        <f>6.5*4.8*4.8*0.52</f>
        <v>77.875199999999992</v>
      </c>
      <c r="AI13" s="76">
        <f>6.8*6.4*6.4*0.52</f>
        <v>144.83456000000001</v>
      </c>
      <c r="AJ13" s="76">
        <f>6.3*6.1*6.1*0.52</f>
        <v>121.89995999999999</v>
      </c>
      <c r="AK13" s="76">
        <f>7.9*5.5*5.5*0.52</f>
        <v>124.26700000000001</v>
      </c>
      <c r="AL13" s="76">
        <f>7.5*7.1*7.1*0.52+5.1*5*5*0.52</f>
        <v>262.899</v>
      </c>
      <c r="AM13" s="76">
        <f>14.7*9.6*9.6*0.52</f>
        <v>704.4710399999999</v>
      </c>
      <c r="AN13" s="76">
        <f>15.9*10.5*10.5*0.52</f>
        <v>911.54700000000014</v>
      </c>
      <c r="AO13" s="76">
        <f>17*10.8*10.8*0.52</f>
        <v>1031.0976000000003</v>
      </c>
      <c r="AP13" s="76">
        <f>18*10.9*10.9*0.52</f>
        <v>1112.0616000000002</v>
      </c>
      <c r="AQ13" s="76">
        <f>18.5*13.1*13.1*0.52</f>
        <v>1650.8881999999999</v>
      </c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34"/>
      <c r="BR13" s="216">
        <f t="shared" si="18"/>
        <v>0.94513180409512909</v>
      </c>
      <c r="BS13" s="216">
        <f t="shared" si="19"/>
        <v>0.7340113103161694</v>
      </c>
      <c r="BT13" s="216">
        <f t="shared" si="20"/>
        <v>1</v>
      </c>
      <c r="BU13" s="216">
        <f t="shared" si="21"/>
        <v>1.9868893281035795</v>
      </c>
      <c r="BV13" s="216">
        <f t="shared" si="22"/>
        <v>1.6577005636840518</v>
      </c>
      <c r="BW13" s="216">
        <f t="shared" si="23"/>
        <v>1.278481012658228</v>
      </c>
      <c r="BX13" s="216">
        <f t="shared" si="24"/>
        <v>1.3771920573957595</v>
      </c>
      <c r="BY13" s="216">
        <f t="shared" si="25"/>
        <v>1.6163342506948251</v>
      </c>
      <c r="BZ13" s="216">
        <f t="shared" si="26"/>
        <v>1.7303093288519831</v>
      </c>
      <c r="CA13" s="216">
        <f t="shared" si="27"/>
        <v>0.25803598461009875</v>
      </c>
      <c r="CB13" s="216">
        <f t="shared" si="28"/>
        <v>1.2898669542351147</v>
      </c>
      <c r="CC13" s="216">
        <f t="shared" si="29"/>
        <v>0.50945880207784089</v>
      </c>
      <c r="CD13" s="216">
        <f t="shared" si="30"/>
        <v>0.94750628489006994</v>
      </c>
      <c r="CE13" s="216">
        <f t="shared" si="31"/>
        <v>0.79746835443037989</v>
      </c>
      <c r="CF13" s="216">
        <f t="shared" si="32"/>
        <v>0.81295350712174175</v>
      </c>
      <c r="CG13" s="216">
        <f t="shared" si="33"/>
        <v>1.7198827047309322</v>
      </c>
      <c r="CH13" s="216">
        <f t="shared" si="34"/>
        <v>4.6086427018733911</v>
      </c>
      <c r="CI13" s="216">
        <f t="shared" si="35"/>
        <v>5.9633316210764109</v>
      </c>
      <c r="CJ13" s="216">
        <f t="shared" si="36"/>
        <v>6.7454304852037223</v>
      </c>
      <c r="CK13" s="216">
        <f t="shared" si="37"/>
        <v>7.275096186883208</v>
      </c>
      <c r="CL13" s="216">
        <f t="shared" si="38"/>
        <v>10.800094571011606</v>
      </c>
      <c r="CM13" s="216" t="str">
        <f t="shared" si="39"/>
        <v/>
      </c>
      <c r="CN13" s="216" t="str">
        <f t="shared" si="40"/>
        <v/>
      </c>
      <c r="CO13" s="216" t="str">
        <f t="shared" si="41"/>
        <v/>
      </c>
      <c r="CP13" s="216" t="str">
        <f t="shared" si="42"/>
        <v/>
      </c>
      <c r="CQ13" s="216" t="str">
        <f t="shared" si="43"/>
        <v/>
      </c>
      <c r="CR13" s="216" t="str">
        <f t="shared" si="44"/>
        <v/>
      </c>
      <c r="CS13" s="216" t="str">
        <f t="shared" si="45"/>
        <v/>
      </c>
      <c r="CT13" s="216" t="str">
        <f t="shared" si="46"/>
        <v/>
      </c>
      <c r="CU13" s="216" t="str">
        <f t="shared" si="47"/>
        <v/>
      </c>
      <c r="CV13" s="216" t="str">
        <f t="shared" si="48"/>
        <v/>
      </c>
      <c r="CW13" s="216" t="str">
        <f t="shared" si="49"/>
        <v/>
      </c>
      <c r="CX13" s="216" t="str">
        <f t="shared" si="50"/>
        <v/>
      </c>
      <c r="CY13" s="216" t="str">
        <f t="shared" si="51"/>
        <v/>
      </c>
      <c r="CZ13" s="216" t="str">
        <f t="shared" si="52"/>
        <v/>
      </c>
      <c r="DA13" s="216" t="str">
        <f t="shared" si="53"/>
        <v/>
      </c>
      <c r="DB13" s="216" t="str">
        <f t="shared" si="54"/>
        <v/>
      </c>
      <c r="DC13" s="216" t="str">
        <f t="shared" si="55"/>
        <v/>
      </c>
      <c r="DD13" s="216" t="str">
        <f t="shared" si="56"/>
        <v/>
      </c>
      <c r="DE13" s="216" t="str">
        <f t="shared" si="12"/>
        <v/>
      </c>
      <c r="DF13" s="216" t="str">
        <f t="shared" si="12"/>
        <v/>
      </c>
      <c r="DG13" s="216" t="str">
        <f t="shared" si="12"/>
        <v/>
      </c>
      <c r="DH13" s="216" t="str">
        <f t="shared" si="12"/>
        <v/>
      </c>
      <c r="DI13" s="216" t="str">
        <f t="shared" si="12"/>
        <v/>
      </c>
      <c r="DJ13" s="216" t="str">
        <f t="shared" si="12"/>
        <v/>
      </c>
      <c r="DK13" s="216" t="str">
        <f t="shared" si="12"/>
        <v/>
      </c>
    </row>
    <row r="14" spans="1:115">
      <c r="A14" s="35">
        <v>1066030</v>
      </c>
      <c r="B14" s="1">
        <v>31</v>
      </c>
      <c r="C14" s="25" t="str">
        <f t="shared" si="13"/>
        <v>1066030-31</v>
      </c>
      <c r="D14" s="23" t="s">
        <v>56</v>
      </c>
      <c r="E14" s="32" t="s">
        <v>64</v>
      </c>
      <c r="F14" s="27">
        <v>42850</v>
      </c>
      <c r="G14" s="198" t="s">
        <v>66</v>
      </c>
      <c r="H14" s="76">
        <v>27.3</v>
      </c>
      <c r="I14" s="27">
        <v>42861</v>
      </c>
      <c r="J14" s="33">
        <v>28.8</v>
      </c>
      <c r="K14" s="33">
        <v>8.1999999999999993</v>
      </c>
      <c r="L14" s="33">
        <v>5.7</v>
      </c>
      <c r="M14" s="33">
        <f t="shared" si="14"/>
        <v>138.53736000000001</v>
      </c>
      <c r="N14" s="28">
        <f t="shared" si="15"/>
        <v>1385.3736000000001</v>
      </c>
      <c r="O14" s="28">
        <f t="shared" si="16"/>
        <v>46.179120000000005</v>
      </c>
      <c r="P14" s="33">
        <v>0</v>
      </c>
      <c r="Q14" s="130">
        <f t="shared" si="7"/>
        <v>0</v>
      </c>
      <c r="R14" s="131">
        <f t="shared" si="17"/>
        <v>0</v>
      </c>
      <c r="S14" s="223"/>
      <c r="T14" s="224">
        <v>70</v>
      </c>
      <c r="U14" s="29"/>
      <c r="V14" s="111"/>
      <c r="W14" s="71">
        <f>7*5.2*5.2*0.52</f>
        <v>98.425600000000003</v>
      </c>
      <c r="X14" s="76">
        <v>136.69999999999999</v>
      </c>
      <c r="Y14" s="76">
        <v>138.53736000000001</v>
      </c>
      <c r="Z14" s="76">
        <f>8.9*6*6*0.52</f>
        <v>166.60800000000003</v>
      </c>
      <c r="AA14" s="76">
        <f>8.1*6.2*6.2*0.52</f>
        <v>161.90928</v>
      </c>
      <c r="AB14" s="76">
        <f>10.7*6.9*6.9*0.52</f>
        <v>264.90204</v>
      </c>
      <c r="AC14" s="76">
        <f>10.1*7.2*7.2*0.52</f>
        <v>272.26368000000002</v>
      </c>
      <c r="AD14" s="76">
        <f>10.7*7.9*7.9*0.52</f>
        <v>347.24924000000004</v>
      </c>
      <c r="AE14" s="76">
        <f>11.8*7.9*7.9*0.52</f>
        <v>382.94776000000007</v>
      </c>
      <c r="AF14" s="76">
        <f>13.5*10*10*0.52</f>
        <v>702</v>
      </c>
      <c r="AG14" s="76">
        <f>15.6*10.1*10.1*0.52</f>
        <v>827.50512000000003</v>
      </c>
      <c r="AH14" s="76">
        <f>15.4*11.7*11.7*0.52</f>
        <v>1096.2151199999998</v>
      </c>
      <c r="AI14" s="76">
        <f>16.9*11.3*11.3*0.52</f>
        <v>1122.1397200000001</v>
      </c>
      <c r="AJ14" s="76">
        <f>16.9*12.3*12.3*0.52</f>
        <v>1329.5365200000003</v>
      </c>
      <c r="AK14" s="76">
        <f>17.4*12.9*12.9*0.52</f>
        <v>1505.6776799999998</v>
      </c>
      <c r="AL14" s="76">
        <f>19.4*15.2*15.2*0.52</f>
        <v>2330.7315199999994</v>
      </c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34"/>
      <c r="BR14" s="216">
        <f t="shared" si="18"/>
        <v>0.71046250628711272</v>
      </c>
      <c r="BS14" s="216">
        <f t="shared" si="19"/>
        <v>0.98673744035543898</v>
      </c>
      <c r="BT14" s="216">
        <f t="shared" si="20"/>
        <v>1</v>
      </c>
      <c r="BU14" s="216">
        <f t="shared" si="21"/>
        <v>1.2026214444969936</v>
      </c>
      <c r="BV14" s="216">
        <f t="shared" si="22"/>
        <v>1.1687048172420782</v>
      </c>
      <c r="BW14" s="216">
        <f t="shared" si="23"/>
        <v>1.9121343152489696</v>
      </c>
      <c r="BX14" s="216">
        <f t="shared" si="24"/>
        <v>1.9652726167150869</v>
      </c>
      <c r="BY14" s="216">
        <f t="shared" si="25"/>
        <v>2.5065385972419283</v>
      </c>
      <c r="BZ14" s="216">
        <f t="shared" si="26"/>
        <v>2.7642201352761453</v>
      </c>
      <c r="CA14" s="216">
        <f t="shared" si="27"/>
        <v>5.067225187487332</v>
      </c>
      <c r="CB14" s="216">
        <f t="shared" si="28"/>
        <v>5.9731549670067334</v>
      </c>
      <c r="CC14" s="216">
        <f t="shared" si="29"/>
        <v>7.9127761637727163</v>
      </c>
      <c r="CD14" s="216">
        <f t="shared" si="30"/>
        <v>8.0999069131965555</v>
      </c>
      <c r="CE14" s="216">
        <f t="shared" si="31"/>
        <v>9.5969529085872605</v>
      </c>
      <c r="CF14" s="216">
        <f t="shared" si="32"/>
        <v>10.868387271130327</v>
      </c>
      <c r="CG14" s="216">
        <f t="shared" si="33"/>
        <v>16.82384823848238</v>
      </c>
      <c r="CH14" s="216" t="str">
        <f t="shared" si="34"/>
        <v/>
      </c>
      <c r="CI14" s="216" t="str">
        <f t="shared" si="35"/>
        <v/>
      </c>
      <c r="CJ14" s="216" t="str">
        <f t="shared" si="36"/>
        <v/>
      </c>
      <c r="CK14" s="216" t="str">
        <f t="shared" si="37"/>
        <v/>
      </c>
      <c r="CL14" s="216" t="str">
        <f t="shared" si="38"/>
        <v/>
      </c>
      <c r="CM14" s="216" t="str">
        <f t="shared" si="39"/>
        <v/>
      </c>
      <c r="CN14" s="216" t="str">
        <f t="shared" si="40"/>
        <v/>
      </c>
      <c r="CO14" s="216" t="str">
        <f t="shared" si="41"/>
        <v/>
      </c>
      <c r="CP14" s="216" t="str">
        <f t="shared" si="42"/>
        <v/>
      </c>
      <c r="CQ14" s="216" t="str">
        <f t="shared" si="43"/>
        <v/>
      </c>
      <c r="CR14" s="216" t="str">
        <f t="shared" si="44"/>
        <v/>
      </c>
      <c r="CS14" s="216" t="str">
        <f t="shared" si="45"/>
        <v/>
      </c>
      <c r="CT14" s="216" t="str">
        <f t="shared" si="46"/>
        <v/>
      </c>
      <c r="CU14" s="216" t="str">
        <f t="shared" si="47"/>
        <v/>
      </c>
      <c r="CV14" s="216" t="str">
        <f t="shared" si="48"/>
        <v/>
      </c>
      <c r="CW14" s="216" t="str">
        <f t="shared" si="49"/>
        <v/>
      </c>
      <c r="CX14" s="216" t="str">
        <f t="shared" si="50"/>
        <v/>
      </c>
      <c r="CY14" s="216" t="str">
        <f t="shared" si="51"/>
        <v/>
      </c>
      <c r="CZ14" s="216" t="str">
        <f t="shared" si="52"/>
        <v/>
      </c>
      <c r="DA14" s="216" t="str">
        <f t="shared" si="53"/>
        <v/>
      </c>
      <c r="DB14" s="216" t="str">
        <f t="shared" si="54"/>
        <v/>
      </c>
      <c r="DC14" s="216" t="str">
        <f t="shared" si="55"/>
        <v/>
      </c>
      <c r="DD14" s="216" t="str">
        <f t="shared" si="56"/>
        <v/>
      </c>
      <c r="DE14" s="216" t="str">
        <f t="shared" si="12"/>
        <v/>
      </c>
      <c r="DF14" s="216" t="str">
        <f t="shared" si="12"/>
        <v/>
      </c>
      <c r="DG14" s="216" t="str">
        <f t="shared" si="12"/>
        <v/>
      </c>
      <c r="DH14" s="216" t="str">
        <f t="shared" si="12"/>
        <v/>
      </c>
      <c r="DI14" s="216" t="str">
        <f t="shared" si="12"/>
        <v/>
      </c>
      <c r="DJ14" s="216" t="str">
        <f t="shared" si="12"/>
        <v/>
      </c>
      <c r="DK14" s="216" t="str">
        <f t="shared" si="12"/>
        <v/>
      </c>
    </row>
    <row r="15" spans="1:115">
      <c r="A15" s="35">
        <v>1066030</v>
      </c>
      <c r="B15" s="1">
        <v>32</v>
      </c>
      <c r="C15" s="25" t="str">
        <f t="shared" si="13"/>
        <v>1066030-32</v>
      </c>
      <c r="D15" s="23" t="s">
        <v>56</v>
      </c>
      <c r="E15" s="32" t="s">
        <v>64</v>
      </c>
      <c r="F15" s="27">
        <v>42850</v>
      </c>
      <c r="G15" s="198" t="s">
        <v>66</v>
      </c>
      <c r="H15" s="76">
        <v>26.5</v>
      </c>
      <c r="I15" s="27">
        <v>42861</v>
      </c>
      <c r="J15" s="33">
        <v>28</v>
      </c>
      <c r="K15" s="33">
        <v>6.2</v>
      </c>
      <c r="L15" s="33">
        <v>5.9</v>
      </c>
      <c r="M15" s="33">
        <f t="shared" si="14"/>
        <v>112.22744000000002</v>
      </c>
      <c r="N15" s="28">
        <f t="shared" si="15"/>
        <v>1122.2744000000002</v>
      </c>
      <c r="O15" s="28">
        <f t="shared" si="16"/>
        <v>37.409146666666672</v>
      </c>
      <c r="P15" s="33">
        <v>0</v>
      </c>
      <c r="Q15" s="130">
        <f t="shared" si="7"/>
        <v>0</v>
      </c>
      <c r="R15" s="131">
        <f t="shared" si="17"/>
        <v>0</v>
      </c>
      <c r="S15" s="223"/>
      <c r="T15" s="224">
        <v>70</v>
      </c>
      <c r="U15" s="29"/>
      <c r="V15" s="111"/>
      <c r="W15" s="71">
        <f>5.4*4.8*4.8*0.52</f>
        <v>64.69632</v>
      </c>
      <c r="X15" s="76">
        <v>93</v>
      </c>
      <c r="Y15" s="76">
        <v>112.22744000000002</v>
      </c>
      <c r="Z15" s="76">
        <f>6.5*5.8*5.8*0.52</f>
        <v>113.70319999999998</v>
      </c>
      <c r="AA15" s="76">
        <f>6.9*6.5*6.5*0.52</f>
        <v>151.59300000000002</v>
      </c>
      <c r="AB15" s="76">
        <f>8.7*7.9*7.9*0.52</f>
        <v>282.34284000000008</v>
      </c>
      <c r="AC15" s="76">
        <f>7.9*7.3*7.3*0.52</f>
        <v>218.91532000000001</v>
      </c>
      <c r="AD15" s="76">
        <f>9*8.1*8.1*0.52</f>
        <v>307.05479999999994</v>
      </c>
      <c r="AE15" s="76">
        <f>10.2*8.7*8.7*0.52</f>
        <v>401.4597599999999</v>
      </c>
      <c r="AF15" s="76">
        <f>11.4*8.8*8.8*0.52</f>
        <v>459.06432000000007</v>
      </c>
      <c r="AG15" s="76">
        <f>11.6*9.4*9.4*0.52</f>
        <v>532.98752000000013</v>
      </c>
      <c r="AH15" s="76">
        <f>11.8*9.8*9.8*0.52</f>
        <v>589.30144000000007</v>
      </c>
      <c r="AI15" s="76">
        <f>12.5*10*10*0.52</f>
        <v>650</v>
      </c>
      <c r="AJ15" s="76">
        <f>13.2*10.2*10.2*0.52</f>
        <v>714.13055999999995</v>
      </c>
      <c r="AK15" s="76">
        <f>13.2*10.4*10.4*0.52</f>
        <v>742.41024000000004</v>
      </c>
      <c r="AL15" s="76">
        <f>13.7*10.2*10.2*0.52</f>
        <v>741.18095999999991</v>
      </c>
      <c r="AM15" s="76">
        <f>13.3*11.8*11.8*0.52</f>
        <v>962.98384000000033</v>
      </c>
      <c r="AN15" s="76">
        <f>15.1*11.9*11.9*0.52</f>
        <v>1111.9217200000001</v>
      </c>
      <c r="AO15" s="76">
        <f>15.5*12.6*12.6*0.52</f>
        <v>1279.6055999999999</v>
      </c>
      <c r="AP15" s="76">
        <f>16.2*13.4*13.4*0.52</f>
        <v>1512.6134400000001</v>
      </c>
      <c r="AQ15" s="76">
        <f>16.2*13.3*13.3*0.52</f>
        <v>1490.1213600000003</v>
      </c>
      <c r="AR15" s="76">
        <f>18.3*15.2*15.2*0.52</f>
        <v>2198.5766400000002</v>
      </c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34"/>
      <c r="BR15" s="216">
        <f t="shared" si="18"/>
        <v>0.57647505814977151</v>
      </c>
      <c r="BS15" s="216">
        <f t="shared" si="19"/>
        <v>0.82867434203257229</v>
      </c>
      <c r="BT15" s="216">
        <f t="shared" si="20"/>
        <v>1</v>
      </c>
      <c r="BU15" s="216">
        <f t="shared" si="21"/>
        <v>1.0131497252365371</v>
      </c>
      <c r="BV15" s="216">
        <f t="shared" si="22"/>
        <v>1.3507659089434811</v>
      </c>
      <c r="BW15" s="216">
        <f t="shared" si="23"/>
        <v>2.5158093243506228</v>
      </c>
      <c r="BX15" s="216">
        <f t="shared" si="24"/>
        <v>1.9506398791596777</v>
      </c>
      <c r="BY15" s="216">
        <f t="shared" si="25"/>
        <v>2.7360046705155163</v>
      </c>
      <c r="BZ15" s="216">
        <f t="shared" si="26"/>
        <v>3.5771978760274656</v>
      </c>
      <c r="CA15" s="216">
        <f t="shared" si="27"/>
        <v>4.0904819712540892</v>
      </c>
      <c r="CB15" s="216">
        <f t="shared" si="28"/>
        <v>4.749172929543791</v>
      </c>
      <c r="CC15" s="216">
        <f t="shared" si="29"/>
        <v>5.2509568069983601</v>
      </c>
      <c r="CD15" s="216">
        <f t="shared" si="30"/>
        <v>5.7918099174319568</v>
      </c>
      <c r="CE15" s="216">
        <f t="shared" si="31"/>
        <v>6.3632437842295948</v>
      </c>
      <c r="CF15" s="216">
        <f t="shared" si="32"/>
        <v>6.6152292166692916</v>
      </c>
      <c r="CG15" s="216">
        <f t="shared" si="33"/>
        <v>6.6042757457534433</v>
      </c>
      <c r="CH15" s="216">
        <f t="shared" si="34"/>
        <v>8.5806451612903238</v>
      </c>
      <c r="CI15" s="216">
        <f t="shared" si="35"/>
        <v>9.9077526850830768</v>
      </c>
      <c r="CJ15" s="216">
        <f t="shared" si="36"/>
        <v>11.401896006894567</v>
      </c>
      <c r="CK15" s="216">
        <f t="shared" si="37"/>
        <v>13.478106958512106</v>
      </c>
      <c r="CL15" s="216">
        <f t="shared" si="38"/>
        <v>13.277691801577227</v>
      </c>
      <c r="CM15" s="216">
        <f t="shared" si="39"/>
        <v>19.590366135055739</v>
      </c>
      <c r="CN15" s="216" t="str">
        <f t="shared" si="40"/>
        <v/>
      </c>
      <c r="CO15" s="216" t="str">
        <f t="shared" si="41"/>
        <v/>
      </c>
      <c r="CP15" s="216" t="str">
        <f t="shared" si="42"/>
        <v/>
      </c>
      <c r="CQ15" s="216" t="str">
        <f t="shared" si="43"/>
        <v/>
      </c>
      <c r="CR15" s="216" t="str">
        <f t="shared" si="44"/>
        <v/>
      </c>
      <c r="CS15" s="216" t="str">
        <f t="shared" si="45"/>
        <v/>
      </c>
      <c r="CT15" s="216" t="str">
        <f t="shared" si="46"/>
        <v/>
      </c>
      <c r="CU15" s="216" t="str">
        <f t="shared" si="47"/>
        <v/>
      </c>
      <c r="CV15" s="216" t="str">
        <f t="shared" si="48"/>
        <v/>
      </c>
      <c r="CW15" s="216" t="str">
        <f t="shared" si="49"/>
        <v/>
      </c>
      <c r="CX15" s="216" t="str">
        <f t="shared" si="50"/>
        <v/>
      </c>
      <c r="CY15" s="216" t="str">
        <f t="shared" si="51"/>
        <v/>
      </c>
      <c r="CZ15" s="216" t="str">
        <f t="shared" si="52"/>
        <v/>
      </c>
      <c r="DA15" s="216" t="str">
        <f t="shared" si="53"/>
        <v/>
      </c>
      <c r="DB15" s="216" t="str">
        <f t="shared" si="54"/>
        <v/>
      </c>
      <c r="DC15" s="216" t="str">
        <f t="shared" si="55"/>
        <v/>
      </c>
      <c r="DD15" s="216" t="str">
        <f t="shared" si="56"/>
        <v/>
      </c>
      <c r="DE15" s="216" t="str">
        <f t="shared" si="12"/>
        <v/>
      </c>
      <c r="DF15" s="216" t="str">
        <f t="shared" si="12"/>
        <v/>
      </c>
      <c r="DG15" s="216" t="str">
        <f t="shared" si="12"/>
        <v/>
      </c>
      <c r="DH15" s="216" t="str">
        <f t="shared" si="12"/>
        <v/>
      </c>
      <c r="DI15" s="216" t="str">
        <f t="shared" si="12"/>
        <v/>
      </c>
      <c r="DJ15" s="216" t="str">
        <f t="shared" si="12"/>
        <v/>
      </c>
      <c r="DK15" s="216" t="str">
        <f t="shared" si="12"/>
        <v/>
      </c>
    </row>
    <row r="16" spans="1:115">
      <c r="A16" s="35">
        <v>1066030</v>
      </c>
      <c r="B16" s="1">
        <v>33</v>
      </c>
      <c r="C16" s="25" t="str">
        <f t="shared" si="13"/>
        <v>1066030-33</v>
      </c>
      <c r="D16" s="23" t="s">
        <v>56</v>
      </c>
      <c r="E16" s="32" t="s">
        <v>72</v>
      </c>
      <c r="F16" s="27">
        <v>42850</v>
      </c>
      <c r="G16" s="198" t="s">
        <v>66</v>
      </c>
      <c r="H16" s="76">
        <v>27.1</v>
      </c>
      <c r="I16" s="27">
        <v>42861</v>
      </c>
      <c r="J16" s="33">
        <v>28.7</v>
      </c>
      <c r="K16" s="33">
        <v>8.1</v>
      </c>
      <c r="L16" s="33">
        <v>5.5</v>
      </c>
      <c r="M16" s="33">
        <f t="shared" si="14"/>
        <v>127.413</v>
      </c>
      <c r="N16" s="28">
        <f t="shared" si="15"/>
        <v>1274.1299999999999</v>
      </c>
      <c r="O16" s="28">
        <f t="shared" si="16"/>
        <v>42.470999999999997</v>
      </c>
      <c r="P16" s="33">
        <v>1228</v>
      </c>
      <c r="Q16" s="130">
        <f t="shared" si="7"/>
        <v>9.6379490318884269</v>
      </c>
      <c r="R16" s="131">
        <f t="shared" si="17"/>
        <v>0.96379490318884264</v>
      </c>
      <c r="S16" s="223"/>
      <c r="T16" s="224"/>
      <c r="U16" s="29"/>
      <c r="V16" s="111"/>
      <c r="W16" s="71">
        <f>7.1*5.5*5.5*0.52</f>
        <v>111.68299999999999</v>
      </c>
      <c r="X16" s="76">
        <v>139.4</v>
      </c>
      <c r="Y16" s="76">
        <v>127.413</v>
      </c>
      <c r="Z16" s="76">
        <f>10.5*8.2*8.2*0.52</f>
        <v>367.13039999999995</v>
      </c>
      <c r="AA16" s="76">
        <f>9.8*7.2*7.2*0.52</f>
        <v>264.17664000000002</v>
      </c>
      <c r="AB16" s="76">
        <f>10.9*7.1*7.1*0.52</f>
        <v>285.72387999999995</v>
      </c>
      <c r="AC16" s="76">
        <f>10.3*7.2*7.2*0.52</f>
        <v>277.65504000000004</v>
      </c>
      <c r="AD16" s="76">
        <f>12.1*7.6*7.6*0.52</f>
        <v>363.42591999999996</v>
      </c>
      <c r="AE16" s="76">
        <f>11.5*6.5*6.5*0.52</f>
        <v>252.655</v>
      </c>
      <c r="AF16" s="76">
        <f>6.3*5.7*5.7*0.52</f>
        <v>106.43723999999999</v>
      </c>
      <c r="AG16" s="76">
        <f>11.2*7.4*7.4*0.52</f>
        <v>318.92224000000004</v>
      </c>
      <c r="AH16" s="76">
        <f>12.2*7.6*7.6*0.52</f>
        <v>366.42943999999989</v>
      </c>
      <c r="AI16" s="76">
        <f>10.5*7.2*7.2*0.52</f>
        <v>283.04640000000006</v>
      </c>
      <c r="AJ16" s="76">
        <f>11.2*7.5*7.5*0.52</f>
        <v>327.60000000000002</v>
      </c>
      <c r="AK16" s="76">
        <f>11.4*8.1*8.1*0.52</f>
        <v>388.93608</v>
      </c>
      <c r="AL16" s="76">
        <f>12.6*9*9*0.52</f>
        <v>530.71199999999999</v>
      </c>
      <c r="AM16" s="76">
        <f>13.5*10.2*10.2*0.52</f>
        <v>730.36079999999993</v>
      </c>
      <c r="AN16" s="76">
        <f>13.8*10.6*10.6*0.52</f>
        <v>806.29536000000007</v>
      </c>
      <c r="AO16" s="76">
        <f>15.8*11.7*11.7*0.52</f>
        <v>1124.68824</v>
      </c>
      <c r="AP16" s="76">
        <f>16.5*12.4*12.4*0.52</f>
        <v>1319.2608</v>
      </c>
      <c r="AQ16" s="76">
        <f>18.2*13.4*13.4*0.52</f>
        <v>1699.3558400000002</v>
      </c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34"/>
      <c r="BR16" s="216">
        <f t="shared" si="18"/>
        <v>0.87654320987654322</v>
      </c>
      <c r="BS16" s="216">
        <f t="shared" si="19"/>
        <v>1.0940798819586699</v>
      </c>
      <c r="BT16" s="216">
        <f t="shared" si="20"/>
        <v>1</v>
      </c>
      <c r="BU16" s="216">
        <f t="shared" si="21"/>
        <v>2.8814202632384447</v>
      </c>
      <c r="BV16" s="216">
        <f t="shared" si="22"/>
        <v>2.0733884297520664</v>
      </c>
      <c r="BW16" s="216">
        <f t="shared" si="23"/>
        <v>2.2425017855320881</v>
      </c>
      <c r="BX16" s="216">
        <f t="shared" si="24"/>
        <v>2.1791735537190084</v>
      </c>
      <c r="BY16" s="216">
        <f t="shared" si="25"/>
        <v>2.8523456790123456</v>
      </c>
      <c r="BZ16" s="216">
        <f t="shared" si="26"/>
        <v>1.9829609223548619</v>
      </c>
      <c r="CA16" s="216">
        <f t="shared" si="27"/>
        <v>0.83537190082644619</v>
      </c>
      <c r="CB16" s="216">
        <f t="shared" si="28"/>
        <v>2.5030588715437205</v>
      </c>
      <c r="CC16" s="216">
        <f t="shared" si="29"/>
        <v>2.8759187837975708</v>
      </c>
      <c r="CD16" s="216">
        <f t="shared" si="30"/>
        <v>2.2214876033057855</v>
      </c>
      <c r="CE16" s="216">
        <f t="shared" si="31"/>
        <v>2.5711662075298443</v>
      </c>
      <c r="CF16" s="216">
        <f t="shared" si="32"/>
        <v>3.0525619834710747</v>
      </c>
      <c r="CG16" s="216">
        <f t="shared" si="33"/>
        <v>4.1652892561983474</v>
      </c>
      <c r="CH16" s="216">
        <f t="shared" si="34"/>
        <v>5.7322314049586769</v>
      </c>
      <c r="CI16" s="216">
        <f t="shared" si="35"/>
        <v>6.3282032445668817</v>
      </c>
      <c r="CJ16" s="216">
        <f t="shared" si="36"/>
        <v>8.8271074380165295</v>
      </c>
      <c r="CK16" s="216">
        <f t="shared" si="37"/>
        <v>10.354208754208754</v>
      </c>
      <c r="CL16" s="216">
        <f t="shared" si="38"/>
        <v>13.337381899806143</v>
      </c>
      <c r="CM16" s="216" t="str">
        <f t="shared" si="39"/>
        <v/>
      </c>
      <c r="CN16" s="216" t="str">
        <f t="shared" si="40"/>
        <v/>
      </c>
      <c r="CO16" s="216" t="str">
        <f t="shared" si="41"/>
        <v/>
      </c>
      <c r="CP16" s="216" t="str">
        <f t="shared" si="42"/>
        <v/>
      </c>
      <c r="CQ16" s="216" t="str">
        <f t="shared" si="43"/>
        <v/>
      </c>
      <c r="CR16" s="216" t="str">
        <f t="shared" si="44"/>
        <v/>
      </c>
      <c r="CS16" s="216" t="str">
        <f t="shared" si="45"/>
        <v/>
      </c>
      <c r="CT16" s="216" t="str">
        <f t="shared" si="46"/>
        <v/>
      </c>
      <c r="CU16" s="216" t="str">
        <f t="shared" si="47"/>
        <v/>
      </c>
      <c r="CV16" s="216" t="str">
        <f t="shared" si="48"/>
        <v/>
      </c>
      <c r="CW16" s="216" t="str">
        <f t="shared" si="49"/>
        <v/>
      </c>
      <c r="CX16" s="216" t="str">
        <f t="shared" si="50"/>
        <v/>
      </c>
      <c r="CY16" s="216" t="str">
        <f t="shared" si="51"/>
        <v/>
      </c>
      <c r="CZ16" s="216" t="str">
        <f t="shared" si="52"/>
        <v/>
      </c>
      <c r="DA16" s="216" t="str">
        <f t="shared" si="53"/>
        <v/>
      </c>
      <c r="DB16" s="216" t="str">
        <f t="shared" si="54"/>
        <v/>
      </c>
      <c r="DC16" s="216" t="str">
        <f t="shared" si="55"/>
        <v/>
      </c>
      <c r="DD16" s="216" t="str">
        <f t="shared" si="56"/>
        <v/>
      </c>
      <c r="DE16" s="216" t="str">
        <f t="shared" si="12"/>
        <v/>
      </c>
      <c r="DF16" s="216" t="str">
        <f t="shared" si="12"/>
        <v/>
      </c>
      <c r="DG16" s="216" t="str">
        <f t="shared" si="12"/>
        <v/>
      </c>
      <c r="DH16" s="216" t="str">
        <f t="shared" si="12"/>
        <v/>
      </c>
      <c r="DI16" s="216" t="str">
        <f t="shared" si="12"/>
        <v/>
      </c>
      <c r="DJ16" s="216" t="str">
        <f t="shared" si="12"/>
        <v/>
      </c>
      <c r="DK16" s="216" t="str">
        <f t="shared" si="12"/>
        <v/>
      </c>
    </row>
    <row r="17" spans="1:115">
      <c r="A17" s="35">
        <v>1066030</v>
      </c>
      <c r="B17" s="1">
        <v>34</v>
      </c>
      <c r="C17" s="25" t="str">
        <f t="shared" si="13"/>
        <v>1066030-34</v>
      </c>
      <c r="D17" s="23" t="s">
        <v>56</v>
      </c>
      <c r="E17" s="32" t="s">
        <v>62</v>
      </c>
      <c r="F17" s="27">
        <v>42850</v>
      </c>
      <c r="G17" s="198" t="s">
        <v>66</v>
      </c>
      <c r="H17" s="76">
        <v>25.9</v>
      </c>
      <c r="I17" s="27">
        <v>42861</v>
      </c>
      <c r="J17" s="33">
        <v>27.3</v>
      </c>
      <c r="K17" s="33">
        <v>8.5</v>
      </c>
      <c r="L17" s="33">
        <v>5.7</v>
      </c>
      <c r="M17" s="33">
        <f t="shared" si="14"/>
        <v>143.60580000000002</v>
      </c>
      <c r="N17" s="28">
        <f t="shared" si="15"/>
        <v>1436.0580000000002</v>
      </c>
      <c r="O17" s="28">
        <f t="shared" si="16"/>
        <v>47.868600000000008</v>
      </c>
      <c r="P17" s="33">
        <v>0</v>
      </c>
      <c r="Q17" s="130">
        <f t="shared" si="7"/>
        <v>0</v>
      </c>
      <c r="R17" s="131">
        <f t="shared" si="17"/>
        <v>0</v>
      </c>
      <c r="S17" s="223"/>
      <c r="T17" s="224"/>
      <c r="U17" s="29"/>
      <c r="V17" s="111"/>
      <c r="W17" s="71"/>
      <c r="X17" s="76"/>
      <c r="Y17" s="76">
        <v>143.60580000000002</v>
      </c>
      <c r="Z17" s="76">
        <f>9.9*5.8*5.8*0.52</f>
        <v>173.17872</v>
      </c>
      <c r="AA17" s="76">
        <f>11.7*7.1*7.1*0.52</f>
        <v>306.69443999999999</v>
      </c>
      <c r="AB17" s="76">
        <f>13.4*8.3*8.3*0.52</f>
        <v>480.02552000000014</v>
      </c>
      <c r="AC17" s="76">
        <f>14*8.6*8.6*0.52</f>
        <v>538.42879999999991</v>
      </c>
      <c r="AD17" s="76">
        <f>15.8*9.9*9.9*0.52</f>
        <v>805.25016000000016</v>
      </c>
      <c r="AE17" s="76">
        <f>18.5*11*11*0.52</f>
        <v>1164.02</v>
      </c>
      <c r="AF17" s="76">
        <f>21*12.6*12.6*0.52</f>
        <v>1733.6591999999998</v>
      </c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34"/>
      <c r="BR17" s="216" t="str">
        <f t="shared" si="18"/>
        <v/>
      </c>
      <c r="BS17" s="216" t="str">
        <f t="shared" si="19"/>
        <v/>
      </c>
      <c r="BT17" s="216">
        <f t="shared" si="20"/>
        <v>1</v>
      </c>
      <c r="BU17" s="216">
        <f t="shared" si="21"/>
        <v>1.2059312367606321</v>
      </c>
      <c r="BV17" s="216">
        <f t="shared" si="22"/>
        <v>2.1356688935962191</v>
      </c>
      <c r="BW17" s="216">
        <f t="shared" si="23"/>
        <v>3.3426610902902256</v>
      </c>
      <c r="BX17" s="216">
        <f t="shared" si="24"/>
        <v>3.749352742020168</v>
      </c>
      <c r="BY17" s="216">
        <f t="shared" si="25"/>
        <v>5.6073651621313347</v>
      </c>
      <c r="BZ17" s="216">
        <f t="shared" si="26"/>
        <v>8.1056614704977079</v>
      </c>
      <c r="CA17" s="216">
        <f t="shared" si="27"/>
        <v>12.072348052794522</v>
      </c>
      <c r="CB17" s="216" t="str">
        <f t="shared" si="28"/>
        <v/>
      </c>
      <c r="CC17" s="216" t="str">
        <f t="shared" si="29"/>
        <v/>
      </c>
      <c r="CD17" s="216" t="str">
        <f t="shared" si="30"/>
        <v/>
      </c>
      <c r="CE17" s="216" t="str">
        <f t="shared" si="31"/>
        <v/>
      </c>
      <c r="CF17" s="216" t="str">
        <f t="shared" si="32"/>
        <v/>
      </c>
      <c r="CG17" s="216" t="str">
        <f t="shared" si="33"/>
        <v/>
      </c>
      <c r="CH17" s="216" t="str">
        <f t="shared" si="34"/>
        <v/>
      </c>
      <c r="CI17" s="216" t="str">
        <f t="shared" si="35"/>
        <v/>
      </c>
      <c r="CJ17" s="216" t="str">
        <f t="shared" si="36"/>
        <v/>
      </c>
      <c r="CK17" s="216" t="str">
        <f t="shared" si="37"/>
        <v/>
      </c>
      <c r="CL17" s="216" t="str">
        <f t="shared" si="38"/>
        <v/>
      </c>
      <c r="CM17" s="216" t="str">
        <f t="shared" si="39"/>
        <v/>
      </c>
      <c r="CN17" s="216" t="str">
        <f t="shared" si="40"/>
        <v/>
      </c>
      <c r="CO17" s="216" t="str">
        <f t="shared" si="41"/>
        <v/>
      </c>
      <c r="CP17" s="216" t="str">
        <f t="shared" si="42"/>
        <v/>
      </c>
      <c r="CQ17" s="216" t="str">
        <f t="shared" si="43"/>
        <v/>
      </c>
      <c r="CR17" s="216" t="str">
        <f t="shared" si="44"/>
        <v/>
      </c>
      <c r="CS17" s="216" t="str">
        <f t="shared" si="45"/>
        <v/>
      </c>
      <c r="CT17" s="216" t="str">
        <f t="shared" si="46"/>
        <v/>
      </c>
      <c r="CU17" s="216" t="str">
        <f t="shared" si="47"/>
        <v/>
      </c>
      <c r="CV17" s="216" t="str">
        <f t="shared" si="48"/>
        <v/>
      </c>
      <c r="CW17" s="216" t="str">
        <f t="shared" si="49"/>
        <v/>
      </c>
      <c r="CX17" s="216" t="str">
        <f t="shared" si="50"/>
        <v/>
      </c>
      <c r="CY17" s="216" t="str">
        <f t="shared" si="51"/>
        <v/>
      </c>
      <c r="CZ17" s="216" t="str">
        <f t="shared" si="52"/>
        <v/>
      </c>
      <c r="DA17" s="216" t="str">
        <f t="shared" si="53"/>
        <v/>
      </c>
      <c r="DB17" s="216" t="str">
        <f t="shared" si="54"/>
        <v/>
      </c>
      <c r="DC17" s="216" t="str">
        <f t="shared" si="55"/>
        <v/>
      </c>
      <c r="DD17" s="216" t="str">
        <f t="shared" si="56"/>
        <v/>
      </c>
      <c r="DE17" s="216" t="str">
        <f t="shared" si="12"/>
        <v/>
      </c>
      <c r="DF17" s="216" t="str">
        <f t="shared" si="12"/>
        <v/>
      </c>
      <c r="DG17" s="216" t="str">
        <f t="shared" si="12"/>
        <v/>
      </c>
      <c r="DH17" s="216" t="str">
        <f t="shared" si="12"/>
        <v/>
      </c>
      <c r="DI17" s="216" t="str">
        <f t="shared" si="12"/>
        <v/>
      </c>
      <c r="DJ17" s="216" t="str">
        <f t="shared" si="12"/>
        <v/>
      </c>
      <c r="DK17" s="216" t="str">
        <f t="shared" si="12"/>
        <v/>
      </c>
    </row>
    <row r="18" spans="1:115">
      <c r="A18" s="35">
        <v>1066030</v>
      </c>
      <c r="B18" s="1">
        <v>35</v>
      </c>
      <c r="C18" s="25" t="str">
        <f t="shared" si="13"/>
        <v>1066030-35</v>
      </c>
      <c r="D18" s="23" t="s">
        <v>56</v>
      </c>
      <c r="E18" s="32" t="s">
        <v>72</v>
      </c>
      <c r="F18" s="27">
        <v>42850</v>
      </c>
      <c r="G18" s="198" t="s">
        <v>66</v>
      </c>
      <c r="H18" s="76">
        <v>23.5</v>
      </c>
      <c r="I18" s="27">
        <v>42861</v>
      </c>
      <c r="J18" s="33">
        <v>25.2</v>
      </c>
      <c r="K18" s="33">
        <v>7.8</v>
      </c>
      <c r="L18" s="33">
        <v>5.7</v>
      </c>
      <c r="M18" s="33">
        <f t="shared" si="14"/>
        <v>131.77943999999999</v>
      </c>
      <c r="N18" s="28">
        <f t="shared" si="15"/>
        <v>1317.7944</v>
      </c>
      <c r="O18" s="28">
        <f t="shared" si="16"/>
        <v>43.926479999999998</v>
      </c>
      <c r="P18" s="33">
        <v>1296</v>
      </c>
      <c r="Q18" s="130">
        <f t="shared" si="7"/>
        <v>9.8346145650641716</v>
      </c>
      <c r="R18" s="131">
        <f t="shared" si="17"/>
        <v>0.98346145650641714</v>
      </c>
      <c r="S18" s="223"/>
      <c r="T18" s="224"/>
      <c r="U18" s="29"/>
      <c r="V18" s="111"/>
      <c r="W18" s="71">
        <f>6.6*5.2*5.2*0.52</f>
        <v>92.801280000000006</v>
      </c>
      <c r="X18" s="76">
        <v>127.7</v>
      </c>
      <c r="Y18" s="76">
        <v>131.77943999999999</v>
      </c>
      <c r="Z18" s="76">
        <f>8.8*6.7*6.7*0.52</f>
        <v>205.41664000000003</v>
      </c>
      <c r="AA18" s="76">
        <f>9.1*6.4*6.4*0.52</f>
        <v>193.82272000000003</v>
      </c>
      <c r="AB18" s="76">
        <f>8.1*8*8*0.52</f>
        <v>269.56799999999998</v>
      </c>
      <c r="AC18" s="76">
        <f>8.5*7.1*7.1*0.52</f>
        <v>222.81219999999999</v>
      </c>
      <c r="AD18" s="76">
        <f>9.9*6.7*6.7*0.52</f>
        <v>231.09372000000002</v>
      </c>
      <c r="AE18" s="76">
        <f>10.6*8.3*8.3*0.52</f>
        <v>379.72168000000011</v>
      </c>
      <c r="AF18" s="76">
        <f>9.5*8.9*8.9*0.52</f>
        <v>391.29740000000004</v>
      </c>
      <c r="AG18" s="76">
        <f>10.8*10.5*10.5*0.52</f>
        <v>619.1640000000001</v>
      </c>
      <c r="AH18" s="76">
        <f>11.2*10.8*10.8*0.52</f>
        <v>679.31136000000004</v>
      </c>
      <c r="AI18" s="76">
        <f>11.4*10.7*10.7*0.52</f>
        <v>678.69671999999991</v>
      </c>
      <c r="AJ18" s="76">
        <f>12*11.1*11.1*0.52</f>
        <v>768.83039999999994</v>
      </c>
      <c r="AK18" s="76">
        <f>11.4*11*11*0.52</f>
        <v>717.28800000000012</v>
      </c>
      <c r="AL18" s="76">
        <f>13.5*12.6*12.6*0.52</f>
        <v>1114.4951999999998</v>
      </c>
      <c r="AM18" s="76">
        <f>15.2*13.7*13.7*0.52</f>
        <v>1483.5017599999999</v>
      </c>
      <c r="AN18" s="76">
        <f>14.3*14.3*14.3*0.52</f>
        <v>1520.5876400000002</v>
      </c>
      <c r="AO18" s="76">
        <f>15.3*14.6*14.6*0.52</f>
        <v>1695.9009599999999</v>
      </c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34"/>
      <c r="BR18" s="216">
        <f t="shared" si="18"/>
        <v>0.70421668205601728</v>
      </c>
      <c r="BS18" s="216">
        <f t="shared" si="19"/>
        <v>0.96904342589405457</v>
      </c>
      <c r="BT18" s="216">
        <f t="shared" si="20"/>
        <v>1</v>
      </c>
      <c r="BU18" s="216">
        <f t="shared" si="21"/>
        <v>1.5587912651624567</v>
      </c>
      <c r="BV18" s="216">
        <f t="shared" si="22"/>
        <v>1.4708115317533603</v>
      </c>
      <c r="BW18" s="216">
        <f t="shared" si="23"/>
        <v>2.0455998295333475</v>
      </c>
      <c r="BX18" s="216">
        <f t="shared" si="24"/>
        <v>1.6907963791620302</v>
      </c>
      <c r="BY18" s="216">
        <f t="shared" si="25"/>
        <v>1.7536401733077636</v>
      </c>
      <c r="BZ18" s="216">
        <f t="shared" si="26"/>
        <v>2.8814941086409238</v>
      </c>
      <c r="CA18" s="216">
        <f t="shared" si="27"/>
        <v>2.9693357324936276</v>
      </c>
      <c r="CB18" s="216">
        <f t="shared" si="28"/>
        <v>4.6984871084594086</v>
      </c>
      <c r="CC18" s="216">
        <f t="shared" si="29"/>
        <v>5.1549115704240362</v>
      </c>
      <c r="CD18" s="216">
        <f t="shared" si="30"/>
        <v>5.1502474134053076</v>
      </c>
      <c r="CE18" s="216">
        <f t="shared" si="31"/>
        <v>5.8342211804815678</v>
      </c>
      <c r="CF18" s="216">
        <f t="shared" si="32"/>
        <v>5.4430949167791285</v>
      </c>
      <c r="CG18" s="216">
        <f t="shared" si="33"/>
        <v>8.4572767952269334</v>
      </c>
      <c r="CH18" s="216">
        <f t="shared" si="34"/>
        <v>11.257459889038836</v>
      </c>
      <c r="CI18" s="216">
        <f t="shared" si="35"/>
        <v>11.538883759105367</v>
      </c>
      <c r="CJ18" s="216">
        <f t="shared" si="36"/>
        <v>12.869237872007956</v>
      </c>
      <c r="CK18" s="216" t="str">
        <f t="shared" si="37"/>
        <v/>
      </c>
      <c r="CL18" s="216" t="str">
        <f t="shared" si="38"/>
        <v/>
      </c>
      <c r="CM18" s="216" t="str">
        <f t="shared" si="39"/>
        <v/>
      </c>
      <c r="CN18" s="216" t="str">
        <f t="shared" si="40"/>
        <v/>
      </c>
      <c r="CO18" s="216" t="str">
        <f t="shared" si="41"/>
        <v/>
      </c>
      <c r="CP18" s="216" t="str">
        <f t="shared" si="42"/>
        <v/>
      </c>
      <c r="CQ18" s="216" t="str">
        <f t="shared" si="43"/>
        <v/>
      </c>
      <c r="CR18" s="216" t="str">
        <f t="shared" si="44"/>
        <v/>
      </c>
      <c r="CS18" s="216" t="str">
        <f t="shared" si="45"/>
        <v/>
      </c>
      <c r="CT18" s="216" t="str">
        <f t="shared" si="46"/>
        <v/>
      </c>
      <c r="CU18" s="216" t="str">
        <f t="shared" si="47"/>
        <v/>
      </c>
      <c r="CV18" s="216" t="str">
        <f t="shared" si="48"/>
        <v/>
      </c>
      <c r="CW18" s="216" t="str">
        <f t="shared" si="49"/>
        <v/>
      </c>
      <c r="CX18" s="216" t="str">
        <f t="shared" si="50"/>
        <v/>
      </c>
      <c r="CY18" s="216" t="str">
        <f t="shared" si="51"/>
        <v/>
      </c>
      <c r="CZ18" s="216" t="str">
        <f t="shared" si="52"/>
        <v/>
      </c>
      <c r="DA18" s="216" t="str">
        <f t="shared" si="53"/>
        <v/>
      </c>
      <c r="DB18" s="216" t="str">
        <f t="shared" si="54"/>
        <v/>
      </c>
      <c r="DC18" s="216" t="str">
        <f t="shared" si="55"/>
        <v/>
      </c>
      <c r="DD18" s="216" t="str">
        <f t="shared" si="56"/>
        <v/>
      </c>
      <c r="DE18" s="216" t="str">
        <f t="shared" si="12"/>
        <v/>
      </c>
      <c r="DF18" s="216" t="str">
        <f t="shared" si="12"/>
        <v/>
      </c>
      <c r="DG18" s="216" t="str">
        <f t="shared" si="12"/>
        <v/>
      </c>
      <c r="DH18" s="216" t="str">
        <f t="shared" si="12"/>
        <v/>
      </c>
      <c r="DI18" s="216" t="str">
        <f t="shared" si="12"/>
        <v/>
      </c>
      <c r="DJ18" s="216" t="str">
        <f t="shared" si="12"/>
        <v/>
      </c>
      <c r="DK18" s="216" t="str">
        <f t="shared" si="12"/>
        <v/>
      </c>
    </row>
    <row r="19" spans="1:115">
      <c r="A19" s="35">
        <v>1066031</v>
      </c>
      <c r="B19" s="1">
        <v>41</v>
      </c>
      <c r="C19" s="25" t="str">
        <f t="shared" si="13"/>
        <v>1066031-41</v>
      </c>
      <c r="D19" s="23" t="s">
        <v>56</v>
      </c>
      <c r="E19" s="32" t="s">
        <v>62</v>
      </c>
      <c r="F19" s="27">
        <v>42850</v>
      </c>
      <c r="G19" s="198" t="s">
        <v>66</v>
      </c>
      <c r="H19" s="76">
        <v>27.8</v>
      </c>
      <c r="I19" s="27">
        <v>42861</v>
      </c>
      <c r="J19" s="33">
        <v>28.9</v>
      </c>
      <c r="K19" s="33">
        <v>6.8</v>
      </c>
      <c r="L19" s="33">
        <v>6.4</v>
      </c>
      <c r="M19" s="33">
        <f t="shared" si="14"/>
        <v>144.83456000000001</v>
      </c>
      <c r="N19" s="28">
        <f t="shared" si="15"/>
        <v>1448.3456000000001</v>
      </c>
      <c r="O19" s="28">
        <f t="shared" si="16"/>
        <v>48.27818666666667</v>
      </c>
      <c r="P19" s="33">
        <v>0</v>
      </c>
      <c r="Q19" s="130">
        <f t="shared" si="7"/>
        <v>0</v>
      </c>
      <c r="R19" s="131">
        <f t="shared" si="17"/>
        <v>0</v>
      </c>
      <c r="S19" s="223"/>
      <c r="T19" s="224"/>
      <c r="U19" s="29"/>
      <c r="V19" s="111"/>
      <c r="W19" s="71">
        <f>6.2*5.9*5.9*0.52</f>
        <v>112.22744000000002</v>
      </c>
      <c r="X19" s="76">
        <v>127.7</v>
      </c>
      <c r="Y19" s="76">
        <v>144.83456000000001</v>
      </c>
      <c r="Z19" s="76">
        <f>7.4*7.3*7.3*0.52</f>
        <v>205.05992000000001</v>
      </c>
      <c r="AA19" s="76">
        <f>7.4*6.9*6.9*0.52</f>
        <v>183.20328000000001</v>
      </c>
      <c r="AB19" s="76">
        <f>8.7*7.7*7.7*0.52</f>
        <v>268.22796</v>
      </c>
      <c r="AC19" s="76">
        <f>9*8*8*0.52</f>
        <v>299.52</v>
      </c>
      <c r="AD19" s="76">
        <f>10.6*8.7*8.7*0.52</f>
        <v>417.20327999999995</v>
      </c>
      <c r="AE19" s="76">
        <f>13.1*9.7*9.7*0.52</f>
        <v>640.94107999999994</v>
      </c>
      <c r="AF19" s="76">
        <f>13.4*10.8*10.8*0.52</f>
        <v>812.74752000000024</v>
      </c>
      <c r="AG19" s="76">
        <f>13.7*11.9*11.9*0.52</f>
        <v>1008.82964</v>
      </c>
      <c r="AH19" s="76">
        <f>14*12.3*12.3*0.52</f>
        <v>1101.3912000000003</v>
      </c>
      <c r="AI19" s="76">
        <f>15.9*13.2*13.2*0.52</f>
        <v>1440.6163199999999</v>
      </c>
      <c r="AJ19" s="76">
        <f>16.7*14.5*14.5*0.52</f>
        <v>1825.8109999999999</v>
      </c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34"/>
      <c r="BR19" s="216">
        <f t="shared" si="18"/>
        <v>0.7748664407169118</v>
      </c>
      <c r="BS19" s="216">
        <f t="shared" si="19"/>
        <v>0.88169563949377827</v>
      </c>
      <c r="BT19" s="216">
        <f t="shared" si="20"/>
        <v>1</v>
      </c>
      <c r="BU19" s="216">
        <f t="shared" si="21"/>
        <v>1.4158217486213234</v>
      </c>
      <c r="BV19" s="216">
        <f t="shared" si="22"/>
        <v>1.2649141199448528</v>
      </c>
      <c r="BW19" s="216">
        <f t="shared" si="23"/>
        <v>1.8519610236672792</v>
      </c>
      <c r="BX19" s="216">
        <f t="shared" si="24"/>
        <v>2.0680147058823528</v>
      </c>
      <c r="BY19" s="216">
        <f t="shared" si="25"/>
        <v>2.8805506089154407</v>
      </c>
      <c r="BZ19" s="216">
        <f t="shared" si="26"/>
        <v>4.4253324620863967</v>
      </c>
      <c r="CA19" s="216">
        <f t="shared" si="27"/>
        <v>5.6115579044117663</v>
      </c>
      <c r="CB19" s="216">
        <f t="shared" si="28"/>
        <v>6.96539306640625</v>
      </c>
      <c r="CC19" s="216">
        <f t="shared" si="29"/>
        <v>7.6044778262867663</v>
      </c>
      <c r="CD19" s="216">
        <f t="shared" si="30"/>
        <v>9.946633731617645</v>
      </c>
      <c r="CE19" s="216">
        <f t="shared" si="31"/>
        <v>12.606183220358455</v>
      </c>
      <c r="CF19" s="216" t="str">
        <f t="shared" si="32"/>
        <v/>
      </c>
      <c r="CG19" s="216" t="str">
        <f t="shared" si="33"/>
        <v/>
      </c>
      <c r="CH19" s="216" t="str">
        <f t="shared" si="34"/>
        <v/>
      </c>
      <c r="CI19" s="216" t="str">
        <f t="shared" si="35"/>
        <v/>
      </c>
      <c r="CJ19" s="216" t="str">
        <f t="shared" si="36"/>
        <v/>
      </c>
      <c r="CK19" s="216" t="str">
        <f t="shared" si="37"/>
        <v/>
      </c>
      <c r="CL19" s="216" t="str">
        <f t="shared" si="38"/>
        <v/>
      </c>
      <c r="CM19" s="216" t="str">
        <f t="shared" si="39"/>
        <v/>
      </c>
      <c r="CN19" s="216" t="str">
        <f t="shared" si="40"/>
        <v/>
      </c>
      <c r="CO19" s="216" t="str">
        <f t="shared" si="41"/>
        <v/>
      </c>
      <c r="CP19" s="216" t="str">
        <f t="shared" si="42"/>
        <v/>
      </c>
      <c r="CQ19" s="216" t="str">
        <f t="shared" si="43"/>
        <v/>
      </c>
      <c r="CR19" s="216" t="str">
        <f t="shared" si="44"/>
        <v/>
      </c>
      <c r="CS19" s="216" t="str">
        <f t="shared" si="45"/>
        <v/>
      </c>
      <c r="CT19" s="216" t="str">
        <f t="shared" si="46"/>
        <v/>
      </c>
      <c r="CU19" s="216" t="str">
        <f t="shared" si="47"/>
        <v/>
      </c>
      <c r="CV19" s="216" t="str">
        <f t="shared" si="48"/>
        <v/>
      </c>
      <c r="CW19" s="216" t="str">
        <f t="shared" si="49"/>
        <v/>
      </c>
      <c r="CX19" s="216" t="str">
        <f t="shared" si="50"/>
        <v/>
      </c>
      <c r="CY19" s="216" t="str">
        <f t="shared" si="51"/>
        <v/>
      </c>
      <c r="CZ19" s="216" t="str">
        <f t="shared" si="52"/>
        <v/>
      </c>
      <c r="DA19" s="216" t="str">
        <f t="shared" si="53"/>
        <v/>
      </c>
      <c r="DB19" s="216" t="str">
        <f t="shared" si="54"/>
        <v/>
      </c>
      <c r="DC19" s="216" t="str">
        <f t="shared" si="55"/>
        <v/>
      </c>
      <c r="DD19" s="216" t="str">
        <f t="shared" si="56"/>
        <v/>
      </c>
      <c r="DE19" s="216" t="str">
        <f t="shared" si="12"/>
        <v/>
      </c>
      <c r="DF19" s="216" t="str">
        <f t="shared" si="12"/>
        <v/>
      </c>
      <c r="DG19" s="216" t="str">
        <f t="shared" si="12"/>
        <v/>
      </c>
      <c r="DH19" s="216" t="str">
        <f t="shared" si="12"/>
        <v/>
      </c>
      <c r="DI19" s="216" t="str">
        <f t="shared" si="12"/>
        <v/>
      </c>
      <c r="DJ19" s="216" t="str">
        <f t="shared" si="12"/>
        <v/>
      </c>
      <c r="DK19" s="216" t="str">
        <f t="shared" si="12"/>
        <v/>
      </c>
    </row>
    <row r="20" spans="1:115">
      <c r="A20" s="35">
        <v>1066031</v>
      </c>
      <c r="B20" s="1">
        <v>42</v>
      </c>
      <c r="C20" s="25" t="str">
        <f t="shared" si="13"/>
        <v>1066031-42</v>
      </c>
      <c r="D20" s="23" t="s">
        <v>56</v>
      </c>
      <c r="E20" s="32" t="s">
        <v>64</v>
      </c>
      <c r="F20" s="27">
        <v>42850</v>
      </c>
      <c r="G20" s="198" t="s">
        <v>66</v>
      </c>
      <c r="H20" s="76">
        <v>26.1</v>
      </c>
      <c r="I20" s="27">
        <v>42861</v>
      </c>
      <c r="J20" s="33">
        <v>29</v>
      </c>
      <c r="K20" s="33">
        <v>6.3</v>
      </c>
      <c r="L20" s="33">
        <v>5.6</v>
      </c>
      <c r="M20" s="33">
        <f t="shared" si="14"/>
        <v>102.73535999999999</v>
      </c>
      <c r="N20" s="28">
        <f t="shared" si="15"/>
        <v>1027.3535999999999</v>
      </c>
      <c r="O20" s="28">
        <f t="shared" si="16"/>
        <v>34.245119999999993</v>
      </c>
      <c r="P20" s="33">
        <v>0</v>
      </c>
      <c r="Q20" s="130">
        <f t="shared" si="7"/>
        <v>0</v>
      </c>
      <c r="R20" s="131">
        <f t="shared" si="17"/>
        <v>0</v>
      </c>
      <c r="S20" s="223"/>
      <c r="T20" s="224">
        <v>70</v>
      </c>
      <c r="U20" s="29"/>
      <c r="V20" s="111"/>
      <c r="W20" s="71">
        <f>7*5.7*5.7*0.52</f>
        <v>118.26360000000001</v>
      </c>
      <c r="X20" s="76">
        <v>114.2</v>
      </c>
      <c r="Y20" s="76">
        <v>102.73535999999999</v>
      </c>
      <c r="Z20" s="76">
        <f>7.9*6.5*6.5*0.52</f>
        <v>173.56300000000002</v>
      </c>
      <c r="AA20" s="76">
        <f>7.2*6.5*6.5*0.52</f>
        <v>158.18400000000003</v>
      </c>
      <c r="AB20" s="76">
        <f>8*6.1*6.1*0.52</f>
        <v>154.79359999999997</v>
      </c>
      <c r="AC20" s="76">
        <f>8.9*7*7*0.52</f>
        <v>226.77200000000002</v>
      </c>
      <c r="AD20" s="76">
        <f>10.9*7.5*7.5*0.52</f>
        <v>318.82499999999999</v>
      </c>
      <c r="AE20" s="76">
        <f>11.1*8.8*8.8*0.52</f>
        <v>446.98368000000011</v>
      </c>
      <c r="AF20" s="76">
        <f>13.8*10.4*10.4*0.52</f>
        <v>776.15616000000011</v>
      </c>
      <c r="AG20" s="76">
        <f>14.9*11.5*11.5*0.52</f>
        <v>1024.673</v>
      </c>
      <c r="AH20" s="76">
        <f>16.4*11.9*11.9*0.52</f>
        <v>1207.6500800000001</v>
      </c>
      <c r="AI20" s="76">
        <f>17.2*13.3*13.3*0.52</f>
        <v>1582.1041600000001</v>
      </c>
      <c r="AJ20" s="76">
        <f>18*13.8*13.8*0.52</f>
        <v>1782.5184000000002</v>
      </c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34"/>
      <c r="BR20" s="216">
        <f t="shared" si="18"/>
        <v>1.1511479591836737</v>
      </c>
      <c r="BS20" s="216">
        <f t="shared" si="19"/>
        <v>1.111593904961252</v>
      </c>
      <c r="BT20" s="216">
        <f t="shared" si="20"/>
        <v>1</v>
      </c>
      <c r="BU20" s="216">
        <f t="shared" si="21"/>
        <v>1.6894183268545517</v>
      </c>
      <c r="BV20" s="216">
        <f t="shared" si="22"/>
        <v>1.5397230320699713</v>
      </c>
      <c r="BW20" s="216">
        <f t="shared" si="23"/>
        <v>1.506721736313573</v>
      </c>
      <c r="BX20" s="216">
        <f t="shared" si="24"/>
        <v>2.2073412698412702</v>
      </c>
      <c r="BY20" s="216">
        <f t="shared" si="25"/>
        <v>3.1033618804664727</v>
      </c>
      <c r="BZ20" s="216">
        <f t="shared" si="26"/>
        <v>4.3508260447035978</v>
      </c>
      <c r="CA20" s="216">
        <f t="shared" si="27"/>
        <v>7.5549076773566588</v>
      </c>
      <c r="CB20" s="216">
        <f t="shared" si="28"/>
        <v>9.9739077178490465</v>
      </c>
      <c r="CC20" s="216">
        <f t="shared" si="29"/>
        <v>11.75496031746032</v>
      </c>
      <c r="CD20" s="216">
        <f t="shared" si="30"/>
        <v>15.399801587301591</v>
      </c>
      <c r="CE20" s="216">
        <f t="shared" si="31"/>
        <v>17.350583090379011</v>
      </c>
      <c r="CF20" s="216" t="str">
        <f t="shared" si="32"/>
        <v/>
      </c>
      <c r="CG20" s="216" t="str">
        <f t="shared" si="33"/>
        <v/>
      </c>
      <c r="CH20" s="216" t="str">
        <f t="shared" si="34"/>
        <v/>
      </c>
      <c r="CI20" s="216" t="str">
        <f t="shared" si="35"/>
        <v/>
      </c>
      <c r="CJ20" s="216" t="str">
        <f t="shared" si="36"/>
        <v/>
      </c>
      <c r="CK20" s="216" t="str">
        <f t="shared" si="37"/>
        <v/>
      </c>
      <c r="CL20" s="216" t="str">
        <f t="shared" si="38"/>
        <v/>
      </c>
      <c r="CM20" s="216" t="str">
        <f t="shared" si="39"/>
        <v/>
      </c>
      <c r="CN20" s="216" t="str">
        <f t="shared" si="40"/>
        <v/>
      </c>
      <c r="CO20" s="216" t="str">
        <f t="shared" si="41"/>
        <v/>
      </c>
      <c r="CP20" s="216" t="str">
        <f t="shared" si="42"/>
        <v/>
      </c>
      <c r="CQ20" s="216" t="str">
        <f t="shared" si="43"/>
        <v/>
      </c>
      <c r="CR20" s="216" t="str">
        <f t="shared" si="44"/>
        <v/>
      </c>
      <c r="CS20" s="216" t="str">
        <f t="shared" si="45"/>
        <v/>
      </c>
      <c r="CT20" s="216" t="str">
        <f t="shared" si="46"/>
        <v/>
      </c>
      <c r="CU20" s="216" t="str">
        <f t="shared" si="47"/>
        <v/>
      </c>
      <c r="CV20" s="216" t="str">
        <f t="shared" si="48"/>
        <v/>
      </c>
      <c r="CW20" s="216" t="str">
        <f t="shared" si="49"/>
        <v/>
      </c>
      <c r="CX20" s="216" t="str">
        <f t="shared" si="50"/>
        <v/>
      </c>
      <c r="CY20" s="216" t="str">
        <f t="shared" si="51"/>
        <v/>
      </c>
      <c r="CZ20" s="216" t="str">
        <f t="shared" si="52"/>
        <v/>
      </c>
      <c r="DA20" s="216" t="str">
        <f t="shared" si="53"/>
        <v/>
      </c>
      <c r="DB20" s="216" t="str">
        <f t="shared" si="54"/>
        <v/>
      </c>
      <c r="DC20" s="216" t="str">
        <f t="shared" si="55"/>
        <v/>
      </c>
      <c r="DD20" s="216" t="str">
        <f t="shared" si="56"/>
        <v/>
      </c>
      <c r="DE20" s="216" t="str">
        <f t="shared" ref="DE20:DE27" si="57">IF(OR(ISERROR(BJ20/$M20)=TRUE,ISBLANK(BJ20)=TRUE),"",BJ20/$M20)</f>
        <v/>
      </c>
      <c r="DF20" s="216" t="str">
        <f t="shared" ref="DF20:DF27" si="58">IF(OR(ISERROR(BK20/$M20)=TRUE,ISBLANK(BK20)=TRUE),"",BK20/$M20)</f>
        <v/>
      </c>
      <c r="DG20" s="216" t="str">
        <f t="shared" ref="DG20:DG27" si="59">IF(OR(ISERROR(BL20/$M20)=TRUE,ISBLANK(BL20)=TRUE),"",BL20/$M20)</f>
        <v/>
      </c>
      <c r="DH20" s="216" t="str">
        <f t="shared" ref="DH20:DH27" si="60">IF(OR(ISERROR(BM20/$M20)=TRUE,ISBLANK(BM20)=TRUE),"",BM20/$M20)</f>
        <v/>
      </c>
      <c r="DI20" s="216" t="str">
        <f t="shared" ref="DI20:DI27" si="61">IF(OR(ISERROR(BN20/$M20)=TRUE,ISBLANK(BN20)=TRUE),"",BN20/$M20)</f>
        <v/>
      </c>
      <c r="DJ20" s="216" t="str">
        <f t="shared" ref="DJ20:DJ27" si="62">IF(OR(ISERROR(BO20/$M20)=TRUE,ISBLANK(BO20)=TRUE),"",BO20/$M20)</f>
        <v/>
      </c>
      <c r="DK20" s="216" t="str">
        <f t="shared" ref="DK20:DK27" si="63">IF(OR(ISERROR(BP20/$M20)=TRUE,ISBLANK(BP20)=TRUE),"",BP20/$M20)</f>
        <v/>
      </c>
    </row>
    <row r="21" spans="1:115">
      <c r="A21" s="35">
        <v>1066031</v>
      </c>
      <c r="B21" s="1">
        <v>43</v>
      </c>
      <c r="C21" s="25" t="str">
        <f t="shared" si="13"/>
        <v>1066031-43</v>
      </c>
      <c r="D21" s="23" t="s">
        <v>56</v>
      </c>
      <c r="E21" s="32" t="s">
        <v>61</v>
      </c>
      <c r="F21" s="27">
        <v>42850</v>
      </c>
      <c r="G21" s="198" t="s">
        <v>66</v>
      </c>
      <c r="H21" s="76">
        <v>24</v>
      </c>
      <c r="I21" s="27">
        <v>42861</v>
      </c>
      <c r="J21" s="33">
        <v>25.9</v>
      </c>
      <c r="K21" s="33">
        <v>7.5</v>
      </c>
      <c r="L21" s="33">
        <v>6.2</v>
      </c>
      <c r="M21" s="33">
        <f t="shared" si="14"/>
        <v>149.916</v>
      </c>
      <c r="N21" s="28">
        <f t="shared" si="15"/>
        <v>1499.1599999999999</v>
      </c>
      <c r="O21" s="28">
        <f t="shared" si="16"/>
        <v>49.972000000000001</v>
      </c>
      <c r="P21" s="33">
        <v>1396</v>
      </c>
      <c r="Q21" s="130">
        <f t="shared" si="7"/>
        <v>9.3118813202059822</v>
      </c>
      <c r="R21" s="131">
        <f t="shared" si="17"/>
        <v>0.93118813202059825</v>
      </c>
      <c r="S21" s="223"/>
      <c r="T21" s="224">
        <v>70</v>
      </c>
      <c r="U21" s="29"/>
      <c r="V21" s="111"/>
      <c r="W21" s="71">
        <f>7.3*6.3*6.3*0.52</f>
        <v>150.66324</v>
      </c>
      <c r="X21" s="76">
        <v>144.80000000000001</v>
      </c>
      <c r="Y21" s="76">
        <v>149.916</v>
      </c>
      <c r="Z21" s="76">
        <f>7.9*6.7*6.7*0.52</f>
        <v>184.40812000000003</v>
      </c>
      <c r="AA21" s="76">
        <f>8.1*5.7*5.7*0.52</f>
        <v>136.84788000000003</v>
      </c>
      <c r="AB21" s="76">
        <f>7.5*5.4*5.4*0.52</f>
        <v>113.72400000000002</v>
      </c>
      <c r="AC21" s="76">
        <f>6.1*4.6*4.6*0.52</f>
        <v>67.11951999999998</v>
      </c>
      <c r="AD21" s="76">
        <f>6.7*5.4*5.4*0.52</f>
        <v>101.59344000000003</v>
      </c>
      <c r="AE21" s="76">
        <f>5.9*4.2*4.2*0.52</f>
        <v>54.119520000000009</v>
      </c>
      <c r="AF21" s="76">
        <f>4.2*3*3*0.52</f>
        <v>19.656000000000002</v>
      </c>
      <c r="AG21" s="76">
        <f>4.4*3.6*3.6*0.52</f>
        <v>29.652480000000004</v>
      </c>
      <c r="AH21" s="76">
        <f>3.7*3.5*3.5*0.52</f>
        <v>23.569000000000003</v>
      </c>
      <c r="AI21" s="76">
        <f>3.3*3.1*3.1*0.52</f>
        <v>16.490760000000002</v>
      </c>
      <c r="AJ21" s="76">
        <f>3.9*2.8*2.8*0.52</f>
        <v>15.899519999999999</v>
      </c>
      <c r="AK21" s="76">
        <f>0</f>
        <v>0</v>
      </c>
      <c r="AL21" s="76">
        <f>2.6*2.6*0.52</f>
        <v>3.5152000000000005</v>
      </c>
      <c r="AM21" s="76">
        <f>3.4*2.5*2.5*0.52</f>
        <v>11.05</v>
      </c>
      <c r="AN21" s="76">
        <f>3.4*3.2*3.2*0.52</f>
        <v>18.104320000000001</v>
      </c>
      <c r="AO21" s="76">
        <f>0</f>
        <v>0</v>
      </c>
      <c r="AP21" s="76">
        <f>2.2*2.1*2.1*0.52</f>
        <v>5.0450400000000011</v>
      </c>
      <c r="AQ21" s="76">
        <f>3.4*3.2*3.2*0.52</f>
        <v>18.104320000000001</v>
      </c>
      <c r="AR21" s="76">
        <f>3.1*3*3*0.52</f>
        <v>14.508000000000001</v>
      </c>
      <c r="AS21" s="76">
        <f>2.8*2.5*2.5*0.52</f>
        <v>9.1</v>
      </c>
      <c r="AT21" s="76">
        <f>3.8*3.4*3.4*0.52</f>
        <v>22.842559999999999</v>
      </c>
      <c r="AU21" s="76">
        <f>3.5*3.1*3.1*0.52</f>
        <v>17.490199999999998</v>
      </c>
      <c r="AV21" s="76">
        <f>4*3.3*3.3*0.52</f>
        <v>22.651199999999999</v>
      </c>
      <c r="AW21" s="76">
        <f>3.9*3.8*3.8*0.52</f>
        <v>29.284319999999994</v>
      </c>
      <c r="AX21" s="76">
        <f>4.4*3.4*3.4*0.52</f>
        <v>26.449280000000002</v>
      </c>
      <c r="AY21" s="76">
        <f>3.7*2.9*2.9*0.52</f>
        <v>16.18084</v>
      </c>
      <c r="AZ21" s="76">
        <f>3.6*3.2*3.2*0.52</f>
        <v>19.169280000000004</v>
      </c>
      <c r="BA21" s="76">
        <f>3.7*3.5*3.5*0.52</f>
        <v>23.569000000000003</v>
      </c>
      <c r="BB21" s="76">
        <f>4.4*3.4*3.4*0.52</f>
        <v>26.449280000000002</v>
      </c>
      <c r="BC21" s="76">
        <f>3.7*3.4*3.4*0.52</f>
        <v>22.241440000000001</v>
      </c>
      <c r="BD21" s="76">
        <f>3.9*2.9*2.9*0.52</f>
        <v>17.055479999999996</v>
      </c>
      <c r="BE21" s="76">
        <f>2.6*2.6*2.6*0.52</f>
        <v>9.1395200000000028</v>
      </c>
      <c r="BF21" s="76">
        <f>2.4*2.2*2.2*0.52</f>
        <v>6.0403200000000012</v>
      </c>
      <c r="BG21" s="76">
        <f>0</f>
        <v>0</v>
      </c>
      <c r="BH21" s="76">
        <f>3*1.8*1.8*0.52</f>
        <v>5.0544000000000002</v>
      </c>
      <c r="BI21" s="76">
        <f>3.4*3*3*0.52</f>
        <v>15.911999999999999</v>
      </c>
      <c r="BJ21" s="76">
        <f>3.4*3*3*0.52</f>
        <v>15.911999999999999</v>
      </c>
      <c r="BK21" s="76">
        <f>3.5*3.1*3.1*0.52</f>
        <v>17.490199999999998</v>
      </c>
      <c r="BL21" s="76">
        <f>3.1*3*3*0.52</f>
        <v>14.508000000000001</v>
      </c>
      <c r="BM21" s="76">
        <f>2.6*2.2*2.2*0.52</f>
        <v>6.5436800000000019</v>
      </c>
      <c r="BN21" s="76">
        <f>2.8*2.4*2.4*0.52</f>
        <v>8.3865600000000011</v>
      </c>
      <c r="BO21" s="76"/>
      <c r="BP21" s="76"/>
      <c r="BQ21" s="34"/>
      <c r="BR21" s="216">
        <f t="shared" si="18"/>
        <v>1.0049843912591052</v>
      </c>
      <c r="BS21" s="216">
        <f t="shared" si="19"/>
        <v>0.96587422289815639</v>
      </c>
      <c r="BT21" s="216">
        <f t="shared" si="20"/>
        <v>1</v>
      </c>
      <c r="BU21" s="216">
        <f t="shared" si="21"/>
        <v>1.2300763093999307</v>
      </c>
      <c r="BV21" s="216">
        <f t="shared" si="22"/>
        <v>0.91283038501560898</v>
      </c>
      <c r="BW21" s="216">
        <f t="shared" si="23"/>
        <v>0.75858480749219581</v>
      </c>
      <c r="BX21" s="216">
        <f t="shared" si="24"/>
        <v>0.4477141866111688</v>
      </c>
      <c r="BY21" s="216">
        <f t="shared" si="25"/>
        <v>0.67766909469302827</v>
      </c>
      <c r="BZ21" s="216">
        <f t="shared" si="26"/>
        <v>0.36099895941727372</v>
      </c>
      <c r="CA21" s="216">
        <f t="shared" si="27"/>
        <v>0.13111342351716965</v>
      </c>
      <c r="CB21" s="216">
        <f t="shared" si="28"/>
        <v>0.19779396462018733</v>
      </c>
      <c r="CC21" s="216">
        <f t="shared" si="29"/>
        <v>0.15721470690253211</v>
      </c>
      <c r="CD21" s="216">
        <f t="shared" si="30"/>
        <v>0.11000000000000001</v>
      </c>
      <c r="CE21" s="216">
        <f t="shared" si="31"/>
        <v>0.10605619146722164</v>
      </c>
      <c r="CF21" s="216">
        <f t="shared" si="32"/>
        <v>0</v>
      </c>
      <c r="CG21" s="216">
        <f t="shared" si="33"/>
        <v>2.3447797433229278E-2</v>
      </c>
      <c r="CH21" s="216">
        <f t="shared" si="34"/>
        <v>7.3707943114810964E-2</v>
      </c>
      <c r="CI21" s="216">
        <f t="shared" si="35"/>
        <v>0.12076309399930629</v>
      </c>
      <c r="CJ21" s="216">
        <f t="shared" si="36"/>
        <v>0</v>
      </c>
      <c r="CK21" s="216">
        <f t="shared" si="37"/>
        <v>3.3652445369406876E-2</v>
      </c>
      <c r="CL21" s="216">
        <f t="shared" si="38"/>
        <v>0.12076309399930629</v>
      </c>
      <c r="CM21" s="216">
        <f t="shared" si="39"/>
        <v>9.6774193548387108E-2</v>
      </c>
      <c r="CN21" s="216">
        <f t="shared" si="40"/>
        <v>6.0700659035726676E-2</v>
      </c>
      <c r="CO21" s="216">
        <f t="shared" si="41"/>
        <v>0.1523690600069372</v>
      </c>
      <c r="CP21" s="216">
        <f t="shared" si="42"/>
        <v>0.11666666666666665</v>
      </c>
      <c r="CQ21" s="216">
        <f t="shared" si="43"/>
        <v>0.15109261186264308</v>
      </c>
      <c r="CR21" s="216">
        <f t="shared" si="44"/>
        <v>0.19533818938605615</v>
      </c>
      <c r="CS21" s="216">
        <f t="shared" si="45"/>
        <v>0.17642733263961152</v>
      </c>
      <c r="CT21" s="216">
        <f t="shared" si="46"/>
        <v>0.10793270898369754</v>
      </c>
      <c r="CU21" s="216">
        <f t="shared" si="47"/>
        <v>0.12786680541103021</v>
      </c>
      <c r="CV21" s="216">
        <f t="shared" si="48"/>
        <v>0.15721470690253211</v>
      </c>
      <c r="CW21" s="216">
        <f t="shared" si="49"/>
        <v>0.17642733263961152</v>
      </c>
      <c r="CX21" s="216">
        <f t="shared" si="50"/>
        <v>0.14835934790149152</v>
      </c>
      <c r="CY21" s="216">
        <f t="shared" si="51"/>
        <v>0.11376690946930279</v>
      </c>
      <c r="CZ21" s="216">
        <f t="shared" si="52"/>
        <v>6.0964273326396132E-2</v>
      </c>
      <c r="DA21" s="216">
        <f t="shared" si="53"/>
        <v>4.0291363163371501E-2</v>
      </c>
      <c r="DB21" s="216">
        <f t="shared" si="54"/>
        <v>0</v>
      </c>
      <c r="DC21" s="216">
        <f t="shared" si="55"/>
        <v>3.3714880332986474E-2</v>
      </c>
      <c r="DD21" s="216">
        <f t="shared" si="56"/>
        <v>0.10613943808532778</v>
      </c>
      <c r="DE21" s="216">
        <f t="shared" si="57"/>
        <v>0.10613943808532778</v>
      </c>
      <c r="DF21" s="216">
        <f t="shared" si="58"/>
        <v>0.11666666666666665</v>
      </c>
      <c r="DG21" s="216">
        <f t="shared" si="59"/>
        <v>9.6774193548387108E-2</v>
      </c>
      <c r="DH21" s="216">
        <f t="shared" si="60"/>
        <v>4.3648976760319126E-2</v>
      </c>
      <c r="DI21" s="216">
        <f t="shared" si="61"/>
        <v>5.5941727367325708E-2</v>
      </c>
      <c r="DJ21" s="216" t="str">
        <f t="shared" si="62"/>
        <v/>
      </c>
      <c r="DK21" s="216" t="str">
        <f t="shared" si="63"/>
        <v/>
      </c>
    </row>
    <row r="22" spans="1:115">
      <c r="A22" s="35">
        <v>1066031</v>
      </c>
      <c r="B22" s="1">
        <v>44</v>
      </c>
      <c r="C22" s="25" t="str">
        <f t="shared" si="13"/>
        <v>1066031-44</v>
      </c>
      <c r="D22" s="23" t="s">
        <v>56</v>
      </c>
      <c r="E22" s="32" t="s">
        <v>62</v>
      </c>
      <c r="F22" s="27">
        <v>42850</v>
      </c>
      <c r="G22" s="198" t="s">
        <v>66</v>
      </c>
      <c r="H22" s="76">
        <v>26.8</v>
      </c>
      <c r="I22" s="27">
        <v>42861</v>
      </c>
      <c r="J22" s="33">
        <v>28.1</v>
      </c>
      <c r="K22" s="33">
        <v>6.9</v>
      </c>
      <c r="L22" s="33">
        <v>5.3</v>
      </c>
      <c r="M22" s="33">
        <f t="shared" si="14"/>
        <v>100.78692000000001</v>
      </c>
      <c r="N22" s="28">
        <f t="shared" si="15"/>
        <v>1007.8692000000001</v>
      </c>
      <c r="O22" s="28">
        <f t="shared" si="16"/>
        <v>33.595640000000003</v>
      </c>
      <c r="P22" s="33">
        <v>0</v>
      </c>
      <c r="Q22" s="130">
        <f t="shared" si="7"/>
        <v>0</v>
      </c>
      <c r="R22" s="131">
        <f t="shared" si="17"/>
        <v>0</v>
      </c>
      <c r="S22" s="223"/>
      <c r="T22" s="224"/>
      <c r="U22" s="29"/>
      <c r="V22" s="111"/>
      <c r="W22" s="71">
        <f>6.8*5.2*5.2*0.52</f>
        <v>95.613440000000011</v>
      </c>
      <c r="X22" s="76">
        <v>101.2</v>
      </c>
      <c r="Y22" s="76">
        <v>100.78692000000001</v>
      </c>
      <c r="Z22" s="76">
        <f>7.8*6.5*6.5*0.52</f>
        <v>171.36599999999999</v>
      </c>
      <c r="AA22" s="76">
        <f>8.4*6.4*6.4*0.52</f>
        <v>178.91328000000004</v>
      </c>
      <c r="AB22" s="76">
        <f>10.4*6.9*6.9*0.52</f>
        <v>257.47488000000004</v>
      </c>
      <c r="AC22" s="76">
        <f>11*7.6*7.6*0.52</f>
        <v>330.38719999999995</v>
      </c>
      <c r="AD22" s="76">
        <f>12.9*8.6*8.6*0.52</f>
        <v>496.12367999999998</v>
      </c>
      <c r="AE22" s="76">
        <f>14.8*10.6*10.6*0.52</f>
        <v>864.72255999999993</v>
      </c>
      <c r="AF22" s="76">
        <f>17.3*12*12*0.52</f>
        <v>1295.4240000000002</v>
      </c>
      <c r="AG22" s="76">
        <f>21.4*13.5*13.5*0.52</f>
        <v>2028.078</v>
      </c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34"/>
      <c r="BR22" s="216">
        <f t="shared" si="18"/>
        <v>0.94866913285970045</v>
      </c>
      <c r="BS22" s="216">
        <f t="shared" si="19"/>
        <v>1.0040985477083733</v>
      </c>
      <c r="BT22" s="216">
        <f t="shared" si="20"/>
        <v>1</v>
      </c>
      <c r="BU22" s="216">
        <f t="shared" si="21"/>
        <v>1.7002801554011173</v>
      </c>
      <c r="BV22" s="216">
        <f t="shared" si="22"/>
        <v>1.775163681953968</v>
      </c>
      <c r="BW22" s="216">
        <f t="shared" si="23"/>
        <v>2.5546457814168746</v>
      </c>
      <c r="BX22" s="216">
        <f t="shared" si="24"/>
        <v>3.278076163057666</v>
      </c>
      <c r="BY22" s="216">
        <f t="shared" si="25"/>
        <v>4.9225006578234547</v>
      </c>
      <c r="BZ22" s="216">
        <f t="shared" si="26"/>
        <v>8.5797101449275353</v>
      </c>
      <c r="CA22" s="216">
        <f t="shared" si="27"/>
        <v>12.853096413701303</v>
      </c>
      <c r="CB22" s="216">
        <f t="shared" si="28"/>
        <v>20.122432553748045</v>
      </c>
      <c r="CC22" s="216" t="str">
        <f t="shared" si="29"/>
        <v/>
      </c>
      <c r="CD22" s="216" t="str">
        <f t="shared" si="30"/>
        <v/>
      </c>
      <c r="CE22" s="216" t="str">
        <f t="shared" si="31"/>
        <v/>
      </c>
      <c r="CF22" s="216" t="str">
        <f t="shared" si="32"/>
        <v/>
      </c>
      <c r="CG22" s="216" t="str">
        <f t="shared" si="33"/>
        <v/>
      </c>
      <c r="CH22" s="216" t="str">
        <f t="shared" si="34"/>
        <v/>
      </c>
      <c r="CI22" s="216" t="str">
        <f t="shared" si="35"/>
        <v/>
      </c>
      <c r="CJ22" s="216" t="str">
        <f t="shared" si="36"/>
        <v/>
      </c>
      <c r="CK22" s="216" t="str">
        <f t="shared" si="37"/>
        <v/>
      </c>
      <c r="CL22" s="216" t="str">
        <f t="shared" si="38"/>
        <v/>
      </c>
      <c r="CM22" s="216" t="str">
        <f t="shared" si="39"/>
        <v/>
      </c>
      <c r="CN22" s="216" t="str">
        <f t="shared" si="40"/>
        <v/>
      </c>
      <c r="CO22" s="216" t="str">
        <f t="shared" si="41"/>
        <v/>
      </c>
      <c r="CP22" s="216" t="str">
        <f t="shared" si="42"/>
        <v/>
      </c>
      <c r="CQ22" s="216" t="str">
        <f t="shared" si="43"/>
        <v/>
      </c>
      <c r="CR22" s="216" t="str">
        <f t="shared" si="44"/>
        <v/>
      </c>
      <c r="CS22" s="216" t="str">
        <f t="shared" si="45"/>
        <v/>
      </c>
      <c r="CT22" s="216" t="str">
        <f t="shared" si="46"/>
        <v/>
      </c>
      <c r="CU22" s="216" t="str">
        <f t="shared" si="47"/>
        <v/>
      </c>
      <c r="CV22" s="216" t="str">
        <f t="shared" si="48"/>
        <v/>
      </c>
      <c r="CW22" s="216" t="str">
        <f t="shared" si="49"/>
        <v/>
      </c>
      <c r="CX22" s="216" t="str">
        <f t="shared" si="50"/>
        <v/>
      </c>
      <c r="CY22" s="216" t="str">
        <f t="shared" si="51"/>
        <v/>
      </c>
      <c r="CZ22" s="216" t="str">
        <f t="shared" si="52"/>
        <v/>
      </c>
      <c r="DA22" s="216" t="str">
        <f t="shared" si="53"/>
        <v/>
      </c>
      <c r="DB22" s="216" t="str">
        <f t="shared" si="54"/>
        <v/>
      </c>
      <c r="DC22" s="216" t="str">
        <f t="shared" si="55"/>
        <v/>
      </c>
      <c r="DD22" s="216" t="str">
        <f t="shared" si="56"/>
        <v/>
      </c>
      <c r="DE22" s="216" t="str">
        <f t="shared" si="57"/>
        <v/>
      </c>
      <c r="DF22" s="216" t="str">
        <f t="shared" si="58"/>
        <v/>
      </c>
      <c r="DG22" s="216" t="str">
        <f t="shared" si="59"/>
        <v/>
      </c>
      <c r="DH22" s="216" t="str">
        <f t="shared" si="60"/>
        <v/>
      </c>
      <c r="DI22" s="216" t="str">
        <f t="shared" si="61"/>
        <v/>
      </c>
      <c r="DJ22" s="216" t="str">
        <f t="shared" si="62"/>
        <v/>
      </c>
      <c r="DK22" s="216" t="str">
        <f t="shared" si="63"/>
        <v/>
      </c>
    </row>
    <row r="23" spans="1:115">
      <c r="A23" s="35">
        <v>1066031</v>
      </c>
      <c r="B23" s="1">
        <v>45</v>
      </c>
      <c r="C23" s="25" t="str">
        <f t="shared" si="13"/>
        <v>1066031-45</v>
      </c>
      <c r="D23" s="23" t="s">
        <v>56</v>
      </c>
      <c r="E23" s="26" t="s">
        <v>61</v>
      </c>
      <c r="F23" s="27">
        <v>42850</v>
      </c>
      <c r="G23" s="198" t="s">
        <v>66</v>
      </c>
      <c r="H23" s="76">
        <v>27.4</v>
      </c>
      <c r="I23" s="27">
        <v>42861</v>
      </c>
      <c r="J23" s="33">
        <v>28.6</v>
      </c>
      <c r="K23" s="33">
        <v>6.9</v>
      </c>
      <c r="L23" s="33">
        <v>6.3</v>
      </c>
      <c r="M23" s="33">
        <f t="shared" si="14"/>
        <v>142.40772000000001</v>
      </c>
      <c r="N23" s="28">
        <f t="shared" si="15"/>
        <v>1424.0772000000002</v>
      </c>
      <c r="O23" s="28">
        <f t="shared" si="16"/>
        <v>47.469240000000006</v>
      </c>
      <c r="P23" s="33">
        <v>1479</v>
      </c>
      <c r="Q23" s="130">
        <f t="shared" si="7"/>
        <v>10.385672911552827</v>
      </c>
      <c r="R23" s="131">
        <f t="shared" si="17"/>
        <v>1.0385672911552828</v>
      </c>
      <c r="S23" s="223"/>
      <c r="T23" s="224">
        <v>70</v>
      </c>
      <c r="U23" s="29"/>
      <c r="V23" s="111"/>
      <c r="W23" s="71">
        <f>5.6*5.4*5.4*0.52</f>
        <v>84.913920000000005</v>
      </c>
      <c r="X23" s="76">
        <v>130.30000000000001</v>
      </c>
      <c r="Y23" s="76">
        <v>142.40772000000001</v>
      </c>
      <c r="Z23" s="76">
        <f>8.4*6.8*6.8*0.52</f>
        <v>201.97632000000002</v>
      </c>
      <c r="AA23" s="76">
        <f>8.1*6.3*6.3*0.52</f>
        <v>167.17427999999998</v>
      </c>
      <c r="AB23" s="76">
        <f>6.8*6.1*6.1*0.52</f>
        <v>131.57455999999999</v>
      </c>
      <c r="AC23" s="76">
        <f>6.7*5.7*5.7*0.52</f>
        <v>113.19516000000002</v>
      </c>
      <c r="AD23" s="76">
        <f>6.5*6.1*6.1*0.52</f>
        <v>125.76979999999999</v>
      </c>
      <c r="AE23" s="76">
        <f>5.9*5.3*5.3*0.52</f>
        <v>86.180120000000002</v>
      </c>
      <c r="AF23" s="76">
        <f>4.4*3*3*0.52</f>
        <v>20.592000000000002</v>
      </c>
      <c r="AG23" s="76">
        <f>3.9*3.3*3.3*0.52</f>
        <v>22.08492</v>
      </c>
      <c r="AH23" s="76">
        <f>5.3*4.7*4.7*0.52</f>
        <v>60.880040000000001</v>
      </c>
      <c r="AI23" s="76">
        <f>5.1*4.3*4.3*0.52</f>
        <v>49.035479999999993</v>
      </c>
      <c r="AJ23" s="76">
        <f>0</f>
        <v>0</v>
      </c>
      <c r="AK23" s="76">
        <v>0</v>
      </c>
      <c r="AL23" s="76">
        <v>0</v>
      </c>
      <c r="AM23" s="76">
        <v>0</v>
      </c>
      <c r="AN23" s="76">
        <f>0</f>
        <v>0</v>
      </c>
      <c r="AO23" s="76">
        <f>2.7*2.6*2.6*0.52</f>
        <v>9.4910400000000017</v>
      </c>
      <c r="AP23" s="76">
        <v>0</v>
      </c>
      <c r="AQ23" s="76">
        <f>2.5*2.3*2.3*0.52</f>
        <v>6.8769999999999998</v>
      </c>
      <c r="AR23" s="76">
        <f>0</f>
        <v>0</v>
      </c>
      <c r="AS23" s="76">
        <f>6*5.8*5.8*0.52</f>
        <v>104.95679999999999</v>
      </c>
      <c r="AT23" s="76">
        <f>8.3*6.8*6.8*0.52</f>
        <v>199.57184000000001</v>
      </c>
      <c r="AU23" s="76">
        <f>7*6.5*6.5*0.52</f>
        <v>153.79</v>
      </c>
      <c r="AV23" s="76">
        <f>7.9*7.7*7.7*0.52</f>
        <v>243.56332000000006</v>
      </c>
      <c r="AW23" s="76">
        <f>7.8*7.2*7.2*0.52</f>
        <v>210.26303999999999</v>
      </c>
      <c r="AX23" s="76">
        <f>7.6*7*7*0.52</f>
        <v>193.648</v>
      </c>
      <c r="AY23" s="76">
        <f>9.1*8*8*0.52</f>
        <v>302.84800000000001</v>
      </c>
      <c r="AZ23" s="76">
        <f>10*8.5*8.5*0.52</f>
        <v>375.7</v>
      </c>
      <c r="BA23" s="76">
        <f>7.5*7.1*7.1*0.52</f>
        <v>196.59899999999999</v>
      </c>
      <c r="BB23" s="76">
        <f>10.6*9.3*9.3*0.52</f>
        <v>476.73288000000008</v>
      </c>
      <c r="BC23" s="76">
        <f>11.7*10.6*10.6*0.52</f>
        <v>683.59823999999992</v>
      </c>
      <c r="BD23" s="76">
        <f>11.6*11.2*11.2*0.52</f>
        <v>756.65407999999991</v>
      </c>
      <c r="BE23" s="76">
        <f>12.2*10.6*10.6*0.52</f>
        <v>712.81183999999996</v>
      </c>
      <c r="BF23" s="76">
        <f>13.6*13.2*13.2*0.52</f>
        <v>1232.2252799999999</v>
      </c>
      <c r="BG23" s="76">
        <f>14.9*11.9*11.9*0.52</f>
        <v>1097.1942800000002</v>
      </c>
      <c r="BH23" s="76">
        <f>14.2*13.1*13.1*0.52</f>
        <v>1267.1682399999997</v>
      </c>
      <c r="BI23" s="76">
        <f>15.4*14.1*14.1*0.52</f>
        <v>1592.0704799999999</v>
      </c>
      <c r="BJ23" s="76">
        <f>15.8*14.5*14.5*0.52</f>
        <v>1727.4140000000002</v>
      </c>
      <c r="BK23" s="76"/>
      <c r="BL23" s="76"/>
      <c r="BM23" s="76"/>
      <c r="BN23" s="76"/>
      <c r="BO23" s="76"/>
      <c r="BP23" s="76"/>
      <c r="BQ23" s="34"/>
      <c r="BR23" s="216">
        <f t="shared" si="18"/>
        <v>0.59627329192546585</v>
      </c>
      <c r="BS23" s="216">
        <f t="shared" si="19"/>
        <v>0.91497848571692597</v>
      </c>
      <c r="BT23" s="216">
        <f t="shared" si="20"/>
        <v>1</v>
      </c>
      <c r="BU23" s="216">
        <f t="shared" si="21"/>
        <v>1.4182961429338241</v>
      </c>
      <c r="BV23" s="216">
        <f t="shared" si="22"/>
        <v>1.1739130434782608</v>
      </c>
      <c r="BW23" s="216">
        <f t="shared" si="23"/>
        <v>0.92392856229985265</v>
      </c>
      <c r="BX23" s="216">
        <f t="shared" si="24"/>
        <v>0.79486673896611793</v>
      </c>
      <c r="BY23" s="216">
        <f t="shared" si="25"/>
        <v>0.88316700808074156</v>
      </c>
      <c r="BZ23" s="216">
        <f t="shared" si="26"/>
        <v>0.60516466382580936</v>
      </c>
      <c r="CA23" s="216">
        <f t="shared" si="27"/>
        <v>0.14459890236287753</v>
      </c>
      <c r="CB23" s="216">
        <f t="shared" si="28"/>
        <v>0.15508232278418613</v>
      </c>
      <c r="CC23" s="216">
        <f t="shared" si="29"/>
        <v>0.42750519424087396</v>
      </c>
      <c r="CD23" s="216">
        <f t="shared" si="30"/>
        <v>0.3443316134827521</v>
      </c>
      <c r="CE23" s="216">
        <f t="shared" si="31"/>
        <v>0</v>
      </c>
      <c r="CF23" s="216">
        <f t="shared" si="32"/>
        <v>0</v>
      </c>
      <c r="CG23" s="216">
        <f t="shared" si="33"/>
        <v>0</v>
      </c>
      <c r="CH23" s="216">
        <f t="shared" si="34"/>
        <v>0</v>
      </c>
      <c r="CI23" s="216">
        <f t="shared" si="35"/>
        <v>0</v>
      </c>
      <c r="CJ23" s="216">
        <f t="shared" si="36"/>
        <v>6.6646948634526276E-2</v>
      </c>
      <c r="CK23" s="216">
        <f t="shared" si="37"/>
        <v>0</v>
      </c>
      <c r="CL23" s="216">
        <f t="shared" si="38"/>
        <v>4.829092130679432E-2</v>
      </c>
      <c r="CM23" s="216">
        <f t="shared" si="39"/>
        <v>0</v>
      </c>
      <c r="CN23" s="216">
        <f t="shared" si="40"/>
        <v>0.73701622355866647</v>
      </c>
      <c r="CO23" s="216">
        <f t="shared" si="41"/>
        <v>1.4014116650417547</v>
      </c>
      <c r="CP23" s="216">
        <f t="shared" si="42"/>
        <v>1.0799274084298238</v>
      </c>
      <c r="CQ23" s="216">
        <f t="shared" si="43"/>
        <v>1.710323850420469</v>
      </c>
      <c r="CR23" s="216">
        <f t="shared" si="44"/>
        <v>1.4764862466725819</v>
      </c>
      <c r="CS23" s="216">
        <f t="shared" si="45"/>
        <v>1.3598139202003936</v>
      </c>
      <c r="CT23" s="216">
        <f t="shared" si="46"/>
        <v>2.1266262812156529</v>
      </c>
      <c r="CU23" s="216">
        <f t="shared" si="47"/>
        <v>2.6381996706358333</v>
      </c>
      <c r="CV23" s="216">
        <f t="shared" si="48"/>
        <v>1.3805361113849726</v>
      </c>
      <c r="CW23" s="216">
        <f t="shared" si="49"/>
        <v>3.3476617700220186</v>
      </c>
      <c r="CX23" s="216">
        <f t="shared" si="50"/>
        <v>4.8002891978047249</v>
      </c>
      <c r="CY23" s="216">
        <f t="shared" si="51"/>
        <v>5.3132939702988002</v>
      </c>
      <c r="CZ23" s="216">
        <f t="shared" si="52"/>
        <v>5.005429761813474</v>
      </c>
      <c r="DA23" s="216">
        <f t="shared" si="53"/>
        <v>8.6527983173945895</v>
      </c>
      <c r="DB23" s="216">
        <f t="shared" si="54"/>
        <v>7.7045983181248889</v>
      </c>
      <c r="DC23" s="216">
        <f t="shared" si="55"/>
        <v>8.898170969944605</v>
      </c>
      <c r="DD23" s="216">
        <f t="shared" si="56"/>
        <v>11.179664136185874</v>
      </c>
      <c r="DE23" s="216">
        <f t="shared" si="57"/>
        <v>12.130058679403055</v>
      </c>
      <c r="DF23" s="216" t="str">
        <f t="shared" si="58"/>
        <v/>
      </c>
      <c r="DG23" s="216" t="str">
        <f t="shared" si="59"/>
        <v/>
      </c>
      <c r="DH23" s="216" t="str">
        <f t="shared" si="60"/>
        <v/>
      </c>
      <c r="DI23" s="216" t="str">
        <f t="shared" si="61"/>
        <v/>
      </c>
      <c r="DJ23" s="216" t="str">
        <f t="shared" si="62"/>
        <v/>
      </c>
      <c r="DK23" s="216" t="str">
        <f t="shared" si="63"/>
        <v/>
      </c>
    </row>
    <row r="24" spans="1:115">
      <c r="A24" s="35">
        <v>1066032</v>
      </c>
      <c r="B24" s="1">
        <v>51</v>
      </c>
      <c r="C24" s="25" t="str">
        <f t="shared" si="13"/>
        <v>1066032-51</v>
      </c>
      <c r="D24" s="23" t="s">
        <v>56</v>
      </c>
      <c r="E24" s="26" t="s">
        <v>72</v>
      </c>
      <c r="F24" s="27">
        <v>42850</v>
      </c>
      <c r="G24" s="198" t="s">
        <v>66</v>
      </c>
      <c r="H24" s="76">
        <v>27.3</v>
      </c>
      <c r="I24" s="27">
        <v>42861</v>
      </c>
      <c r="J24" s="33">
        <v>29.4</v>
      </c>
      <c r="K24" s="33">
        <v>8</v>
      </c>
      <c r="L24" s="33">
        <v>6.4</v>
      </c>
      <c r="M24" s="33">
        <f t="shared" si="14"/>
        <v>170.39360000000005</v>
      </c>
      <c r="N24" s="28">
        <f t="shared" si="15"/>
        <v>1703.9360000000006</v>
      </c>
      <c r="O24" s="28">
        <f t="shared" si="16"/>
        <v>56.797866666666685</v>
      </c>
      <c r="P24" s="33">
        <v>1217</v>
      </c>
      <c r="Q24" s="130">
        <f t="shared" si="7"/>
        <v>7.1422870342548057</v>
      </c>
      <c r="R24" s="131">
        <f t="shared" si="17"/>
        <v>0.7142287034254805</v>
      </c>
      <c r="S24" s="223"/>
      <c r="T24" s="224"/>
      <c r="U24" s="29"/>
      <c r="V24" s="111"/>
      <c r="W24" s="71">
        <f>6.4*4.3*4.3*0.52</f>
        <v>61.53472</v>
      </c>
      <c r="X24" s="76">
        <v>71.5</v>
      </c>
      <c r="Y24" s="76">
        <v>170.39360000000005</v>
      </c>
      <c r="Z24" s="76">
        <f>8.3*6.4*6.4*0.52</f>
        <v>176.78336000000004</v>
      </c>
      <c r="AA24" s="76">
        <f>8.3*6.5*6.5*0.52</f>
        <v>182.351</v>
      </c>
      <c r="AB24" s="76">
        <f>7.7*6.2*6.2*0.52</f>
        <v>153.91376</v>
      </c>
      <c r="AC24" s="76">
        <f>8.5*7.5*7.5*0.52</f>
        <v>248.625</v>
      </c>
      <c r="AD24" s="76">
        <f>9.4*7.1*7.1*0.52</f>
        <v>246.40407999999996</v>
      </c>
      <c r="AE24" s="76">
        <f>8*7.4*7.4*0.52</f>
        <v>227.80160000000004</v>
      </c>
      <c r="AF24" s="76">
        <f>9.8*8.4*8.4*0.52</f>
        <v>359.57376000000005</v>
      </c>
      <c r="AG24" s="76">
        <f>9*8.6*8.6*0.52</f>
        <v>346.13279999999992</v>
      </c>
      <c r="AH24" s="76">
        <f>10.5*10.3*10.3*0.52</f>
        <v>579.2514000000001</v>
      </c>
      <c r="AI24" s="76">
        <f>11.9*11.8*11.8*0.52</f>
        <v>861.61712000000023</v>
      </c>
      <c r="AJ24" s="76">
        <f>12.7*11.3*11.3*0.52</f>
        <v>843.26476000000002</v>
      </c>
      <c r="AK24" s="76">
        <f>11.7*10.5*10.5*0.52</f>
        <v>670.76099999999997</v>
      </c>
      <c r="AL24" s="76">
        <f>11.9*11.4*11.4*0.52</f>
        <v>804.19248000000005</v>
      </c>
      <c r="AM24" s="76">
        <f>13.1*13.1*13.1*0.52</f>
        <v>1169.0073199999999</v>
      </c>
      <c r="AN24" s="76">
        <f>14.6*12.3*12.3*0.52</f>
        <v>1148.5936800000002</v>
      </c>
      <c r="AO24" s="76">
        <f>14.5*12.5*12.5*0.52</f>
        <v>1178.125</v>
      </c>
      <c r="AP24" s="76">
        <f>15.3*15.2*15.2*0.52</f>
        <v>1838.1542400000001</v>
      </c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34"/>
      <c r="BR24" s="216">
        <f t="shared" si="18"/>
        <v>0.3611328124999999</v>
      </c>
      <c r="BS24" s="216">
        <f t="shared" si="19"/>
        <v>0.41961669921874989</v>
      </c>
      <c r="BT24" s="216">
        <f t="shared" si="20"/>
        <v>1</v>
      </c>
      <c r="BU24" s="216">
        <f t="shared" si="21"/>
        <v>1.0374999999999999</v>
      </c>
      <c r="BV24" s="216">
        <f t="shared" si="22"/>
        <v>1.0701751708984373</v>
      </c>
      <c r="BW24" s="216">
        <f t="shared" si="23"/>
        <v>0.90328369140624976</v>
      </c>
      <c r="BX24" s="216">
        <f t="shared" si="24"/>
        <v>1.4591217041015621</v>
      </c>
      <c r="BY24" s="216">
        <f t="shared" si="25"/>
        <v>1.4460876464843744</v>
      </c>
      <c r="BZ24" s="216">
        <f t="shared" si="26"/>
        <v>1.3369140624999998</v>
      </c>
      <c r="CA24" s="216">
        <f t="shared" si="27"/>
        <v>2.1102539062499996</v>
      </c>
      <c r="CB24" s="216">
        <f t="shared" si="28"/>
        <v>2.0313720703124991</v>
      </c>
      <c r="CC24" s="216">
        <f t="shared" si="29"/>
        <v>3.3994903564453121</v>
      </c>
      <c r="CD24" s="216">
        <f t="shared" si="30"/>
        <v>5.0566284179687502</v>
      </c>
      <c r="CE24" s="216">
        <f t="shared" si="31"/>
        <v>4.9489227294921863</v>
      </c>
      <c r="CF24" s="216">
        <f t="shared" si="32"/>
        <v>3.9365386962890612</v>
      </c>
      <c r="CG24" s="216">
        <f t="shared" si="33"/>
        <v>4.7196166992187489</v>
      </c>
      <c r="CH24" s="216">
        <f t="shared" si="34"/>
        <v>6.860629272460935</v>
      </c>
      <c r="CI24" s="216">
        <f t="shared" si="35"/>
        <v>6.7408264160156239</v>
      </c>
      <c r="CJ24" s="216">
        <f t="shared" si="36"/>
        <v>6.9141387939453107</v>
      </c>
      <c r="CK24" s="216">
        <f t="shared" si="37"/>
        <v>10.787695312499997</v>
      </c>
      <c r="CL24" s="216" t="str">
        <f t="shared" si="38"/>
        <v/>
      </c>
      <c r="CM24" s="216" t="str">
        <f t="shared" si="39"/>
        <v/>
      </c>
      <c r="CN24" s="216" t="str">
        <f t="shared" si="40"/>
        <v/>
      </c>
      <c r="CO24" s="216" t="str">
        <f t="shared" si="41"/>
        <v/>
      </c>
      <c r="CP24" s="216" t="str">
        <f t="shared" si="42"/>
        <v/>
      </c>
      <c r="CQ24" s="216" t="str">
        <f t="shared" si="43"/>
        <v/>
      </c>
      <c r="CR24" s="216" t="str">
        <f t="shared" si="44"/>
        <v/>
      </c>
      <c r="CS24" s="216" t="str">
        <f t="shared" si="45"/>
        <v/>
      </c>
      <c r="CT24" s="216" t="str">
        <f t="shared" si="46"/>
        <v/>
      </c>
      <c r="CU24" s="216" t="str">
        <f t="shared" si="47"/>
        <v/>
      </c>
      <c r="CV24" s="216" t="str">
        <f t="shared" si="48"/>
        <v/>
      </c>
      <c r="CW24" s="216" t="str">
        <f t="shared" si="49"/>
        <v/>
      </c>
      <c r="CX24" s="216" t="str">
        <f t="shared" si="50"/>
        <v/>
      </c>
      <c r="CY24" s="216" t="str">
        <f t="shared" si="51"/>
        <v/>
      </c>
      <c r="CZ24" s="216" t="str">
        <f t="shared" si="52"/>
        <v/>
      </c>
      <c r="DA24" s="216" t="str">
        <f t="shared" si="53"/>
        <v/>
      </c>
      <c r="DB24" s="216" t="str">
        <f t="shared" si="54"/>
        <v/>
      </c>
      <c r="DC24" s="216" t="str">
        <f t="shared" si="55"/>
        <v/>
      </c>
      <c r="DD24" s="216" t="str">
        <f t="shared" si="56"/>
        <v/>
      </c>
      <c r="DE24" s="216" t="str">
        <f t="shared" si="57"/>
        <v/>
      </c>
      <c r="DF24" s="216" t="str">
        <f t="shared" si="58"/>
        <v/>
      </c>
      <c r="DG24" s="216" t="str">
        <f t="shared" si="59"/>
        <v/>
      </c>
      <c r="DH24" s="216" t="str">
        <f t="shared" si="60"/>
        <v/>
      </c>
      <c r="DI24" s="216" t="str">
        <f t="shared" si="61"/>
        <v/>
      </c>
      <c r="DJ24" s="216" t="str">
        <f t="shared" si="62"/>
        <v/>
      </c>
      <c r="DK24" s="216" t="str">
        <f t="shared" si="63"/>
        <v/>
      </c>
    </row>
    <row r="25" spans="1:115">
      <c r="A25" s="35">
        <v>1066032</v>
      </c>
      <c r="B25" s="1">
        <v>52</v>
      </c>
      <c r="C25" s="25" t="str">
        <f t="shared" si="13"/>
        <v>1066032-52</v>
      </c>
      <c r="D25" s="23" t="s">
        <v>56</v>
      </c>
      <c r="E25" s="32" t="s">
        <v>72</v>
      </c>
      <c r="F25" s="27">
        <v>42850</v>
      </c>
      <c r="G25" s="198" t="s">
        <v>66</v>
      </c>
      <c r="H25" s="76">
        <v>28.2</v>
      </c>
      <c r="I25" s="27">
        <v>42861</v>
      </c>
      <c r="J25" s="33">
        <v>29.4</v>
      </c>
      <c r="K25" s="33">
        <v>6.9</v>
      </c>
      <c r="L25" s="33">
        <v>5.3</v>
      </c>
      <c r="M25" s="33">
        <f t="shared" si="14"/>
        <v>100.78692000000001</v>
      </c>
      <c r="N25" s="28">
        <f t="shared" si="15"/>
        <v>1007.8692000000001</v>
      </c>
      <c r="O25" s="28">
        <f t="shared" si="16"/>
        <v>33.595640000000003</v>
      </c>
      <c r="P25" s="33">
        <v>670</v>
      </c>
      <c r="Q25" s="130">
        <f t="shared" si="7"/>
        <v>6.6476880134842888</v>
      </c>
      <c r="R25" s="131">
        <f t="shared" si="17"/>
        <v>0.66476880134842886</v>
      </c>
      <c r="S25" s="223"/>
      <c r="T25" s="224"/>
      <c r="U25" s="29"/>
      <c r="V25" s="111"/>
      <c r="W25" s="71">
        <f>5.9*5*5*0.52</f>
        <v>76.7</v>
      </c>
      <c r="X25" s="76">
        <v>88.1</v>
      </c>
      <c r="Y25" s="76">
        <v>100.78692000000001</v>
      </c>
      <c r="Z25" s="76">
        <f>9.8*7.2*7.2*0.52</f>
        <v>264.17664000000002</v>
      </c>
      <c r="AA25" s="76">
        <f>8.4*6.3*6.3*0.52</f>
        <v>173.36592000000002</v>
      </c>
      <c r="AB25" s="76">
        <f>8.4*6.4*6.4*0.52</f>
        <v>178.91328000000004</v>
      </c>
      <c r="AC25" s="76">
        <f>9.4*7.3*7.3*0.52</f>
        <v>260.48152000000005</v>
      </c>
      <c r="AD25" s="76">
        <f>7.9*6.3*6.3*0.52</f>
        <v>163.04651999999999</v>
      </c>
      <c r="AE25" s="76">
        <f>9*8.2*8.2*0.52</f>
        <v>314.6832</v>
      </c>
      <c r="AF25" s="76">
        <f>12*10.9*10.9*0.52</f>
        <v>741.37440000000015</v>
      </c>
      <c r="AG25" s="76">
        <f>11.3*8.3*8.3*0.52</f>
        <v>404.79764000000011</v>
      </c>
      <c r="AH25" s="76">
        <f>12.7*11.8*11.8*0.52</f>
        <v>919.54096000000015</v>
      </c>
      <c r="AI25" s="76">
        <f>13.8*13.6*13.6*0.52</f>
        <v>1327.27296</v>
      </c>
      <c r="AJ25" s="76">
        <f>13.5*13.2*13.2*0.52</f>
        <v>1223.1648</v>
      </c>
      <c r="AK25" s="76">
        <f>13.6*10.5*10.5*0.52+5.7*4.8*4.8*0.52</f>
        <v>847.97856000000002</v>
      </c>
      <c r="AL25" s="76">
        <f>15.5*14.1*14.1*0.52</f>
        <v>1602.4086</v>
      </c>
      <c r="AM25" s="76">
        <f>14.8*14.6*14.6*0.52</f>
        <v>1640.47936</v>
      </c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34"/>
      <c r="BR25" s="216">
        <f t="shared" si="18"/>
        <v>0.76101144870782833</v>
      </c>
      <c r="BS25" s="216">
        <f t="shared" si="19"/>
        <v>0.87412136416114294</v>
      </c>
      <c r="BT25" s="216">
        <f t="shared" si="20"/>
        <v>1</v>
      </c>
      <c r="BU25" s="216">
        <f t="shared" si="21"/>
        <v>2.6211401241351555</v>
      </c>
      <c r="BV25" s="216">
        <f t="shared" si="22"/>
        <v>1.720123206463696</v>
      </c>
      <c r="BW25" s="216">
        <f t="shared" si="23"/>
        <v>1.775163681953968</v>
      </c>
      <c r="BX25" s="216">
        <f t="shared" si="24"/>
        <v>2.5844774302062214</v>
      </c>
      <c r="BY25" s="216">
        <f t="shared" si="25"/>
        <v>1.617734920364666</v>
      </c>
      <c r="BZ25" s="216">
        <f t="shared" si="26"/>
        <v>3.1222622935595212</v>
      </c>
      <c r="CA25" s="216">
        <f t="shared" si="27"/>
        <v>7.3558592722150857</v>
      </c>
      <c r="CB25" s="216">
        <f t="shared" si="28"/>
        <v>4.0163707750966102</v>
      </c>
      <c r="CC25" s="216">
        <f t="shared" si="29"/>
        <v>9.1236140562684138</v>
      </c>
      <c r="CD25" s="216">
        <f t="shared" si="30"/>
        <v>13.169099323602705</v>
      </c>
      <c r="CE25" s="216">
        <f t="shared" si="31"/>
        <v>12.136146238023743</v>
      </c>
      <c r="CF25" s="216">
        <f t="shared" si="32"/>
        <v>8.4135774761248783</v>
      </c>
      <c r="CG25" s="216">
        <f t="shared" si="33"/>
        <v>15.898973795409164</v>
      </c>
      <c r="CH25" s="216">
        <f t="shared" si="34"/>
        <v>16.276708922149819</v>
      </c>
      <c r="CI25" s="216" t="str">
        <f t="shared" si="35"/>
        <v/>
      </c>
      <c r="CJ25" s="216" t="str">
        <f t="shared" si="36"/>
        <v/>
      </c>
      <c r="CK25" s="216" t="str">
        <f t="shared" si="37"/>
        <v/>
      </c>
      <c r="CL25" s="216" t="str">
        <f t="shared" si="38"/>
        <v/>
      </c>
      <c r="CM25" s="216" t="str">
        <f t="shared" si="39"/>
        <v/>
      </c>
      <c r="CN25" s="216" t="str">
        <f t="shared" si="40"/>
        <v/>
      </c>
      <c r="CO25" s="216" t="str">
        <f t="shared" si="41"/>
        <v/>
      </c>
      <c r="CP25" s="216" t="str">
        <f t="shared" si="42"/>
        <v/>
      </c>
      <c r="CQ25" s="216" t="str">
        <f t="shared" si="43"/>
        <v/>
      </c>
      <c r="CR25" s="216" t="str">
        <f t="shared" si="44"/>
        <v/>
      </c>
      <c r="CS25" s="216" t="str">
        <f t="shared" si="45"/>
        <v/>
      </c>
      <c r="CT25" s="216" t="str">
        <f t="shared" si="46"/>
        <v/>
      </c>
      <c r="CU25" s="216" t="str">
        <f t="shared" si="47"/>
        <v/>
      </c>
      <c r="CV25" s="216" t="str">
        <f t="shared" si="48"/>
        <v/>
      </c>
      <c r="CW25" s="216" t="str">
        <f t="shared" si="49"/>
        <v/>
      </c>
      <c r="CX25" s="216" t="str">
        <f t="shared" si="50"/>
        <v/>
      </c>
      <c r="CY25" s="216" t="str">
        <f t="shared" si="51"/>
        <v/>
      </c>
      <c r="CZ25" s="216" t="str">
        <f t="shared" si="52"/>
        <v/>
      </c>
      <c r="DA25" s="216" t="str">
        <f t="shared" si="53"/>
        <v/>
      </c>
      <c r="DB25" s="216" t="str">
        <f t="shared" si="54"/>
        <v/>
      </c>
      <c r="DC25" s="216" t="str">
        <f t="shared" si="55"/>
        <v/>
      </c>
      <c r="DD25" s="216" t="str">
        <f t="shared" si="56"/>
        <v/>
      </c>
      <c r="DE25" s="216" t="str">
        <f t="shared" si="57"/>
        <v/>
      </c>
      <c r="DF25" s="216" t="str">
        <f t="shared" si="58"/>
        <v/>
      </c>
      <c r="DG25" s="216" t="str">
        <f t="shared" si="59"/>
        <v/>
      </c>
      <c r="DH25" s="216" t="str">
        <f t="shared" si="60"/>
        <v/>
      </c>
      <c r="DI25" s="216" t="str">
        <f t="shared" si="61"/>
        <v/>
      </c>
      <c r="DJ25" s="216" t="str">
        <f t="shared" si="62"/>
        <v/>
      </c>
      <c r="DK25" s="216" t="str">
        <f t="shared" si="63"/>
        <v/>
      </c>
    </row>
    <row r="26" spans="1:115">
      <c r="A26" s="35">
        <v>1066032</v>
      </c>
      <c r="B26" s="1">
        <v>53</v>
      </c>
      <c r="C26" s="25" t="str">
        <f t="shared" si="13"/>
        <v>1066032-53</v>
      </c>
      <c r="D26" s="23" t="s">
        <v>56</v>
      </c>
      <c r="E26" s="32" t="s">
        <v>62</v>
      </c>
      <c r="F26" s="27">
        <v>42850</v>
      </c>
      <c r="G26" s="198" t="s">
        <v>66</v>
      </c>
      <c r="H26" s="76">
        <v>27.6</v>
      </c>
      <c r="I26" s="27">
        <v>42861</v>
      </c>
      <c r="J26" s="33">
        <v>30</v>
      </c>
      <c r="K26" s="33">
        <v>9.8000000000000007</v>
      </c>
      <c r="L26" s="33">
        <v>6.1</v>
      </c>
      <c r="M26" s="33">
        <f t="shared" si="14"/>
        <v>189.62215999999998</v>
      </c>
      <c r="N26" s="28">
        <f t="shared" si="15"/>
        <v>1896.2215999999999</v>
      </c>
      <c r="O26" s="28">
        <f t="shared" si="16"/>
        <v>63.207386666666658</v>
      </c>
      <c r="P26" s="33">
        <v>0</v>
      </c>
      <c r="Q26" s="130">
        <f t="shared" si="7"/>
        <v>0</v>
      </c>
      <c r="R26" s="131">
        <f t="shared" si="17"/>
        <v>0</v>
      </c>
      <c r="S26" s="223"/>
      <c r="T26" s="224"/>
      <c r="U26" s="29"/>
      <c r="V26" s="111"/>
      <c r="W26" s="71">
        <f>7*4.5*4.5*0.52</f>
        <v>73.710000000000008</v>
      </c>
      <c r="X26" s="76">
        <v>128.4</v>
      </c>
      <c r="Y26" s="76">
        <v>189.62215999999998</v>
      </c>
      <c r="Z26" s="76">
        <f>9.7*7.4*7.4*0.52</f>
        <v>276.20944000000003</v>
      </c>
      <c r="AA26" s="76">
        <f>10.4*7.6*7.6*0.52</f>
        <v>312.36608000000001</v>
      </c>
      <c r="AB26" s="76">
        <f>11.2*7.1*7.1*0.52</f>
        <v>293.58784000000003</v>
      </c>
      <c r="AC26" s="76">
        <f>13.2*8.2*8.2*0.52</f>
        <v>461.53535999999991</v>
      </c>
      <c r="AD26" s="76">
        <f>14.2*9.5*9.5*0.52</f>
        <v>666.40599999999995</v>
      </c>
      <c r="AE26" s="76">
        <f>14.8*10*10*0.52</f>
        <v>769.6</v>
      </c>
      <c r="AF26" s="76">
        <f>17.6*11.2*11.2*0.52</f>
        <v>1148.0268799999999</v>
      </c>
      <c r="AG26" s="76">
        <f>19.7*11.9*11.9*0.52</f>
        <v>1450.6528400000002</v>
      </c>
      <c r="AH26" s="76">
        <f>20.4*13.2*13.2*0.52</f>
        <v>1848.3379199999999</v>
      </c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34"/>
      <c r="BR26" s="216">
        <f t="shared" si="18"/>
        <v>0.38872039006411496</v>
      </c>
      <c r="BS26" s="216">
        <f t="shared" si="19"/>
        <v>0.67713604781213343</v>
      </c>
      <c r="BT26" s="216">
        <f t="shared" si="20"/>
        <v>1</v>
      </c>
      <c r="BU26" s="216">
        <f t="shared" si="21"/>
        <v>1.4566305963395842</v>
      </c>
      <c r="BV26" s="216">
        <f t="shared" si="22"/>
        <v>1.6473078884872951</v>
      </c>
      <c r="BW26" s="216">
        <f t="shared" si="23"/>
        <v>1.5482781126425311</v>
      </c>
      <c r="BX26" s="216">
        <f t="shared" si="24"/>
        <v>2.4339737507472754</v>
      </c>
      <c r="BY26" s="216">
        <f t="shared" si="25"/>
        <v>3.5143888245972938</v>
      </c>
      <c r="BZ26" s="216">
        <f t="shared" si="26"/>
        <v>4.0585973706870551</v>
      </c>
      <c r="CA26" s="216">
        <f t="shared" si="27"/>
        <v>6.0542864821284601</v>
      </c>
      <c r="CB26" s="216">
        <f t="shared" si="28"/>
        <v>7.6502284332168786</v>
      </c>
      <c r="CC26" s="216">
        <f t="shared" si="29"/>
        <v>9.7474784592686845</v>
      </c>
      <c r="CD26" s="216" t="str">
        <f t="shared" si="30"/>
        <v/>
      </c>
      <c r="CE26" s="216" t="str">
        <f t="shared" si="31"/>
        <v/>
      </c>
      <c r="CF26" s="216" t="str">
        <f t="shared" si="32"/>
        <v/>
      </c>
      <c r="CG26" s="216" t="str">
        <f t="shared" si="33"/>
        <v/>
      </c>
      <c r="CH26" s="216" t="str">
        <f t="shared" si="34"/>
        <v/>
      </c>
      <c r="CI26" s="216" t="str">
        <f t="shared" si="35"/>
        <v/>
      </c>
      <c r="CJ26" s="216" t="str">
        <f t="shared" si="36"/>
        <v/>
      </c>
      <c r="CK26" s="216" t="str">
        <f t="shared" si="37"/>
        <v/>
      </c>
      <c r="CL26" s="216" t="str">
        <f t="shared" si="38"/>
        <v/>
      </c>
      <c r="CM26" s="216" t="str">
        <f t="shared" si="39"/>
        <v/>
      </c>
      <c r="CN26" s="216" t="str">
        <f t="shared" si="40"/>
        <v/>
      </c>
      <c r="CO26" s="216" t="str">
        <f t="shared" si="41"/>
        <v/>
      </c>
      <c r="CP26" s="216" t="str">
        <f t="shared" si="42"/>
        <v/>
      </c>
      <c r="CQ26" s="216" t="str">
        <f t="shared" si="43"/>
        <v/>
      </c>
      <c r="CR26" s="216" t="str">
        <f t="shared" si="44"/>
        <v/>
      </c>
      <c r="CS26" s="216" t="str">
        <f t="shared" si="45"/>
        <v/>
      </c>
      <c r="CT26" s="216" t="str">
        <f t="shared" si="46"/>
        <v/>
      </c>
      <c r="CU26" s="216" t="str">
        <f t="shared" si="47"/>
        <v/>
      </c>
      <c r="CV26" s="216" t="str">
        <f t="shared" si="48"/>
        <v/>
      </c>
      <c r="CW26" s="216" t="str">
        <f t="shared" si="49"/>
        <v/>
      </c>
      <c r="CX26" s="216" t="str">
        <f t="shared" si="50"/>
        <v/>
      </c>
      <c r="CY26" s="216" t="str">
        <f t="shared" si="51"/>
        <v/>
      </c>
      <c r="CZ26" s="216" t="str">
        <f t="shared" si="52"/>
        <v/>
      </c>
      <c r="DA26" s="216" t="str">
        <f t="shared" si="53"/>
        <v/>
      </c>
      <c r="DB26" s="216" t="str">
        <f t="shared" si="54"/>
        <v/>
      </c>
      <c r="DC26" s="216" t="str">
        <f t="shared" si="55"/>
        <v/>
      </c>
      <c r="DD26" s="216" t="str">
        <f t="shared" si="56"/>
        <v/>
      </c>
      <c r="DE26" s="216" t="str">
        <f t="shared" si="57"/>
        <v/>
      </c>
      <c r="DF26" s="216" t="str">
        <f t="shared" si="58"/>
        <v/>
      </c>
      <c r="DG26" s="216" t="str">
        <f t="shared" si="59"/>
        <v/>
      </c>
      <c r="DH26" s="216" t="str">
        <f t="shared" si="60"/>
        <v/>
      </c>
      <c r="DI26" s="216" t="str">
        <f t="shared" si="61"/>
        <v/>
      </c>
      <c r="DJ26" s="216" t="str">
        <f t="shared" si="62"/>
        <v/>
      </c>
      <c r="DK26" s="216" t="str">
        <f t="shared" si="63"/>
        <v/>
      </c>
    </row>
    <row r="27" spans="1:115">
      <c r="A27" s="35">
        <v>1066032</v>
      </c>
      <c r="B27" s="1">
        <v>54</v>
      </c>
      <c r="C27" s="25" t="str">
        <f t="shared" si="13"/>
        <v>1066032-54</v>
      </c>
      <c r="D27" s="23" t="s">
        <v>56</v>
      </c>
      <c r="E27" s="32" t="s">
        <v>72</v>
      </c>
      <c r="F27" s="27">
        <v>42850</v>
      </c>
      <c r="G27" s="198" t="s">
        <v>66</v>
      </c>
      <c r="H27" s="76">
        <v>26.7</v>
      </c>
      <c r="I27" s="27">
        <v>42861</v>
      </c>
      <c r="J27" s="33">
        <v>29</v>
      </c>
      <c r="K27" s="33">
        <v>8.3000000000000007</v>
      </c>
      <c r="L27" s="33">
        <v>7.1</v>
      </c>
      <c r="M27" s="33">
        <f t="shared" si="14"/>
        <v>217.56956000000002</v>
      </c>
      <c r="N27" s="28">
        <f t="shared" si="15"/>
        <v>2175.6956</v>
      </c>
      <c r="O27" s="28">
        <f t="shared" si="16"/>
        <v>72.523186666666675</v>
      </c>
      <c r="P27" s="33">
        <v>1495</v>
      </c>
      <c r="Q27" s="130">
        <f t="shared" si="7"/>
        <v>6.8713656450838059</v>
      </c>
      <c r="R27" s="131">
        <f t="shared" si="17"/>
        <v>0.68713656450838068</v>
      </c>
      <c r="S27" s="223"/>
      <c r="T27" s="224"/>
      <c r="U27" s="29"/>
      <c r="V27" s="111"/>
      <c r="W27" s="71">
        <f>6.2*5.7*5.7*0.52</f>
        <v>104.74776000000001</v>
      </c>
      <c r="X27" s="76">
        <v>147.9</v>
      </c>
      <c r="Y27" s="76">
        <v>217.56956000000002</v>
      </c>
      <c r="Z27" s="76">
        <f>9.6*7.6*7.6*0.52</f>
        <v>288.33792</v>
      </c>
      <c r="AA27" s="76">
        <f>11*7.2*7.2*0.52</f>
        <v>296.52480000000003</v>
      </c>
      <c r="AB27" s="76">
        <f>10.4*7.5*7.5*0.52</f>
        <v>304.2</v>
      </c>
      <c r="AC27" s="76">
        <f>9*7.9*7.9*0.52</f>
        <v>292.07880000000006</v>
      </c>
      <c r="AD27" s="76">
        <f>9.5*7.8*7.8*0.52</f>
        <v>300.54959999999994</v>
      </c>
      <c r="AE27" s="76">
        <f>10.5*7.8*7.8*0.52</f>
        <v>332.18639999999999</v>
      </c>
      <c r="AF27" s="76">
        <f>11.9*7.6*7.6*0.52</f>
        <v>357.41888</v>
      </c>
      <c r="AG27" s="76">
        <f>14*10*10*0.52</f>
        <v>728</v>
      </c>
      <c r="AH27" s="75">
        <f>12.3*9.2*9.2*0.52</f>
        <v>541.35744</v>
      </c>
      <c r="AI27" s="76">
        <f>13*12.4*12.4*0.52</f>
        <v>1039.4176000000002</v>
      </c>
      <c r="AJ27" s="76">
        <f>12.8*12.4*12.4*0.52</f>
        <v>1023.4265600000002</v>
      </c>
      <c r="AK27" s="76">
        <f>12.6*11.1*11.1*0.52</f>
        <v>807.27191999999991</v>
      </c>
      <c r="AL27" s="76">
        <f>13*12.4*12.4*0.52</f>
        <v>1039.4176000000002</v>
      </c>
      <c r="AM27" s="76">
        <f>13.9*13.5*13.5*0.52</f>
        <v>1317.3030000000001</v>
      </c>
      <c r="AN27" s="76">
        <f>14.7*14.5*14.5*0.52</f>
        <v>1607.1509999999998</v>
      </c>
      <c r="AO27" s="76">
        <f>15.5*15.1*15.1*0.52</f>
        <v>1837.7605999999998</v>
      </c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34"/>
      <c r="BR27" s="216">
        <f t="shared" si="18"/>
        <v>0.48144492271804934</v>
      </c>
      <c r="BS27" s="216">
        <f t="shared" si="19"/>
        <v>0.67978259458722068</v>
      </c>
      <c r="BT27" s="216">
        <f t="shared" si="20"/>
        <v>1</v>
      </c>
      <c r="BU27" s="216">
        <f t="shared" si="21"/>
        <v>1.3252677442561356</v>
      </c>
      <c r="BV27" s="216">
        <f t="shared" si="22"/>
        <v>1.362896537548727</v>
      </c>
      <c r="BW27" s="216">
        <f t="shared" si="23"/>
        <v>1.398173531260531</v>
      </c>
      <c r="BX27" s="216">
        <f t="shared" si="24"/>
        <v>1.342461693630304</v>
      </c>
      <c r="BY27" s="216">
        <f t="shared" si="25"/>
        <v>1.3813954488854043</v>
      </c>
      <c r="BZ27" s="216">
        <f t="shared" si="26"/>
        <v>1.5268054961364999</v>
      </c>
      <c r="CA27" s="216">
        <f t="shared" si="27"/>
        <v>1.6427798079841682</v>
      </c>
      <c r="CB27" s="216">
        <f t="shared" si="28"/>
        <v>3.3460563141277664</v>
      </c>
      <c r="CC27" s="216">
        <f t="shared" si="29"/>
        <v>2.4882039564725873</v>
      </c>
      <c r="CD27" s="216">
        <f t="shared" si="30"/>
        <v>4.777403603702651</v>
      </c>
      <c r="CE27" s="216">
        <f t="shared" si="31"/>
        <v>4.7039050867226102</v>
      </c>
      <c r="CF27" s="216">
        <f t="shared" si="32"/>
        <v>3.7104083861731385</v>
      </c>
      <c r="CG27" s="216">
        <f t="shared" si="33"/>
        <v>4.777403603702651</v>
      </c>
      <c r="CH27" s="216">
        <f t="shared" si="34"/>
        <v>6.0546291494085844</v>
      </c>
      <c r="CI27" s="216">
        <f t="shared" si="35"/>
        <v>7.3868375704763096</v>
      </c>
      <c r="CJ27" s="216">
        <f t="shared" si="36"/>
        <v>8.4467726091830109</v>
      </c>
      <c r="CK27" s="216" t="str">
        <f t="shared" si="37"/>
        <v/>
      </c>
      <c r="CL27" s="216" t="str">
        <f t="shared" si="38"/>
        <v/>
      </c>
      <c r="CM27" s="216" t="str">
        <f t="shared" si="39"/>
        <v/>
      </c>
      <c r="CN27" s="216" t="str">
        <f t="shared" si="40"/>
        <v/>
      </c>
      <c r="CO27" s="216" t="str">
        <f t="shared" si="41"/>
        <v/>
      </c>
      <c r="CP27" s="216" t="str">
        <f t="shared" si="42"/>
        <v/>
      </c>
      <c r="CQ27" s="216" t="str">
        <f t="shared" si="43"/>
        <v/>
      </c>
      <c r="CR27" s="216" t="str">
        <f t="shared" si="44"/>
        <v/>
      </c>
      <c r="CS27" s="216" t="str">
        <f t="shared" si="45"/>
        <v/>
      </c>
      <c r="CT27" s="216" t="str">
        <f t="shared" si="46"/>
        <v/>
      </c>
      <c r="CU27" s="216" t="str">
        <f t="shared" si="47"/>
        <v/>
      </c>
      <c r="CV27" s="216" t="str">
        <f t="shared" si="48"/>
        <v/>
      </c>
      <c r="CW27" s="216" t="str">
        <f t="shared" si="49"/>
        <v/>
      </c>
      <c r="CX27" s="216" t="str">
        <f t="shared" si="50"/>
        <v/>
      </c>
      <c r="CY27" s="216" t="str">
        <f t="shared" si="51"/>
        <v/>
      </c>
      <c r="CZ27" s="216" t="str">
        <f t="shared" si="52"/>
        <v/>
      </c>
      <c r="DA27" s="216" t="str">
        <f t="shared" si="53"/>
        <v/>
      </c>
      <c r="DB27" s="216" t="str">
        <f t="shared" si="54"/>
        <v/>
      </c>
      <c r="DC27" s="216" t="str">
        <f t="shared" si="55"/>
        <v/>
      </c>
      <c r="DD27" s="216" t="str">
        <f t="shared" si="56"/>
        <v/>
      </c>
      <c r="DE27" s="216" t="str">
        <f t="shared" si="57"/>
        <v/>
      </c>
      <c r="DF27" s="216" t="str">
        <f t="shared" si="58"/>
        <v/>
      </c>
      <c r="DG27" s="216" t="str">
        <f t="shared" si="59"/>
        <v/>
      </c>
      <c r="DH27" s="216" t="str">
        <f t="shared" si="60"/>
        <v/>
      </c>
      <c r="DI27" s="216" t="str">
        <f t="shared" si="61"/>
        <v/>
      </c>
      <c r="DJ27" s="216" t="str">
        <f t="shared" si="62"/>
        <v/>
      </c>
      <c r="DK27" s="216" t="str">
        <f t="shared" si="63"/>
        <v/>
      </c>
    </row>
    <row r="28" spans="1:115" s="80" customFormat="1">
      <c r="A28" s="98"/>
      <c r="B28" s="81"/>
      <c r="C28" s="99"/>
      <c r="D28" s="98"/>
      <c r="E28" s="90"/>
      <c r="F28" s="100"/>
      <c r="G28" s="199"/>
      <c r="H28" s="89"/>
      <c r="I28" s="100"/>
      <c r="J28" s="101"/>
      <c r="K28" s="102"/>
      <c r="L28" s="102"/>
      <c r="M28" s="101"/>
      <c r="N28" s="101"/>
      <c r="O28" s="101"/>
      <c r="P28" s="101"/>
      <c r="Q28" s="101"/>
      <c r="R28" s="101"/>
      <c r="S28" s="225"/>
      <c r="T28" s="225"/>
      <c r="U28" s="101"/>
      <c r="V28" s="81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</row>
    <row r="29" spans="1:115" ht="14.25" customHeight="1">
      <c r="A29" s="77"/>
      <c r="B29" s="77"/>
      <c r="C29" s="77"/>
      <c r="D29" s="39"/>
      <c r="E29" s="84" t="s">
        <v>16</v>
      </c>
      <c r="F29" s="78"/>
      <c r="G29" s="200"/>
      <c r="H29" s="75"/>
      <c r="I29" s="353" t="str">
        <f>E29</f>
        <v>Total</v>
      </c>
      <c r="J29" s="36">
        <f>AVERAGE(J5:J27)</f>
        <v>28.982608695652171</v>
      </c>
      <c r="K29" s="36"/>
      <c r="L29" s="36"/>
      <c r="M29" s="36">
        <f t="shared" ref="M29:R29" si="64">AVERAGE(M5:M27)</f>
        <v>126.72886086956521</v>
      </c>
      <c r="N29" s="36">
        <f t="shared" si="64"/>
        <v>1267.2886086956523</v>
      </c>
      <c r="O29" s="36">
        <f t="shared" si="64"/>
        <v>42.242953623188413</v>
      </c>
      <c r="P29" s="36">
        <f t="shared" si="64"/>
        <v>619.73913043478262</v>
      </c>
      <c r="Q29" s="36">
        <f t="shared" si="64"/>
        <v>4.5950402776701518</v>
      </c>
      <c r="R29" s="36">
        <f t="shared" si="64"/>
        <v>0.4595040277670151</v>
      </c>
      <c r="T29" s="226">
        <f>AVERAGE(T5:T27)</f>
        <v>70</v>
      </c>
      <c r="U29" s="36" t="e">
        <f>AVERAGE(U5:U27)</f>
        <v>#DIV/0!</v>
      </c>
      <c r="V29" s="65" t="s">
        <v>9</v>
      </c>
      <c r="W29" s="71">
        <f t="shared" ref="W29:BP29" si="65">AVERAGE(W5:W27)</f>
        <v>93.166914285714313</v>
      </c>
      <c r="X29" s="71">
        <f t="shared" si="65"/>
        <v>109.76666666666668</v>
      </c>
      <c r="Y29" s="71">
        <f t="shared" si="65"/>
        <v>126.72886086956521</v>
      </c>
      <c r="Z29" s="71">
        <f t="shared" si="65"/>
        <v>199.50127826086955</v>
      </c>
      <c r="AA29" s="71">
        <f t="shared" si="65"/>
        <v>202.96242086956528</v>
      </c>
      <c r="AB29" s="71">
        <f t="shared" si="65"/>
        <v>233.89683652173917</v>
      </c>
      <c r="AC29" s="71">
        <f t="shared" si="65"/>
        <v>253.93940000000003</v>
      </c>
      <c r="AD29" s="71">
        <f t="shared" si="65"/>
        <v>323.64949217391302</v>
      </c>
      <c r="AE29" s="71">
        <f t="shared" si="65"/>
        <v>417.08585043478263</v>
      </c>
      <c r="AF29" s="71">
        <f t="shared" si="65"/>
        <v>567.53672695652187</v>
      </c>
      <c r="AG29" s="71">
        <f t="shared" si="65"/>
        <v>675.81620363636375</v>
      </c>
      <c r="AH29" s="71">
        <f t="shared" si="65"/>
        <v>725.30528571428567</v>
      </c>
      <c r="AI29" s="71">
        <f t="shared" si="65"/>
        <v>867.2082640000001</v>
      </c>
      <c r="AJ29" s="71">
        <f t="shared" si="65"/>
        <v>740.99171058823538</v>
      </c>
      <c r="AK29" s="71">
        <f t="shared" si="65"/>
        <v>453.04595142857141</v>
      </c>
      <c r="AL29" s="71">
        <f t="shared" si="65"/>
        <v>679.58439714285703</v>
      </c>
      <c r="AM29" s="71">
        <f t="shared" si="65"/>
        <v>722.31511999999998</v>
      </c>
      <c r="AN29" s="71">
        <f t="shared" si="65"/>
        <v>739.60588000000007</v>
      </c>
      <c r="AO29" s="71">
        <f t="shared" si="65"/>
        <v>841.2291766666666</v>
      </c>
      <c r="AP29" s="71">
        <f t="shared" si="65"/>
        <v>819.68130400000007</v>
      </c>
      <c r="AQ29" s="71">
        <f t="shared" si="65"/>
        <v>727.47428000000014</v>
      </c>
      <c r="AR29" s="71">
        <f t="shared" si="65"/>
        <v>581.27419999999995</v>
      </c>
      <c r="AS29" s="71">
        <f t="shared" si="65"/>
        <v>304.50908799999996</v>
      </c>
      <c r="AT29" s="71">
        <f t="shared" si="65"/>
        <v>427.28420800000004</v>
      </c>
      <c r="AU29" s="71">
        <f t="shared" si="65"/>
        <v>493.20897600000001</v>
      </c>
      <c r="AV29" s="71">
        <f t="shared" si="65"/>
        <v>639.58866399999999</v>
      </c>
      <c r="AW29" s="71">
        <f t="shared" si="65"/>
        <v>248.25319999999999</v>
      </c>
      <c r="AX29" s="71">
        <f t="shared" si="65"/>
        <v>225.63645000000002</v>
      </c>
      <c r="AY29" s="71">
        <f t="shared" si="65"/>
        <v>323.25812999999999</v>
      </c>
      <c r="AZ29" s="71">
        <f t="shared" si="65"/>
        <v>253.74439999999998</v>
      </c>
      <c r="BA29" s="71">
        <f t="shared" si="65"/>
        <v>201.11415999999997</v>
      </c>
      <c r="BB29" s="71">
        <f t="shared" si="65"/>
        <v>302.91157000000004</v>
      </c>
      <c r="BC29" s="71">
        <f t="shared" si="65"/>
        <v>358.71446000000003</v>
      </c>
      <c r="BD29" s="71">
        <f t="shared" si="65"/>
        <v>378.93374999999992</v>
      </c>
      <c r="BE29" s="71">
        <f t="shared" si="65"/>
        <v>309.08540000000005</v>
      </c>
      <c r="BF29" s="71">
        <f t="shared" si="65"/>
        <v>483.94319999999999</v>
      </c>
      <c r="BG29" s="71">
        <f t="shared" si="65"/>
        <v>437.41256000000004</v>
      </c>
      <c r="BH29" s="71">
        <f t="shared" si="65"/>
        <v>487.49453999999992</v>
      </c>
      <c r="BI29" s="71">
        <f t="shared" si="65"/>
        <v>504.32849999999996</v>
      </c>
      <c r="BJ29" s="71">
        <f t="shared" si="65"/>
        <v>537.03091000000006</v>
      </c>
      <c r="BK29" s="71">
        <f t="shared" si="65"/>
        <v>181.23178666666669</v>
      </c>
      <c r="BL29" s="71">
        <f t="shared" si="65"/>
        <v>134.48136</v>
      </c>
      <c r="BM29" s="71">
        <f t="shared" si="65"/>
        <v>123.39253333333333</v>
      </c>
      <c r="BN29" s="71">
        <f t="shared" si="65"/>
        <v>63.579186666666665</v>
      </c>
      <c r="BO29" s="71" t="e">
        <f t="shared" si="65"/>
        <v>#DIV/0!</v>
      </c>
      <c r="BP29" s="71" t="e">
        <f t="shared" si="65"/>
        <v>#DIV/0!</v>
      </c>
      <c r="BQ29" s="91" t="s">
        <v>9</v>
      </c>
      <c r="BR29" s="66">
        <f t="shared" ref="BR29:DK29" si="66">AVERAGE(BR5:BR27)</f>
        <v>0.74521492813652224</v>
      </c>
      <c r="BS29" s="66">
        <f t="shared" si="66"/>
        <v>0.8720861947823193</v>
      </c>
      <c r="BT29" s="66">
        <f t="shared" si="66"/>
        <v>1</v>
      </c>
      <c r="BU29" s="66">
        <f t="shared" si="66"/>
        <v>1.6475558430996389</v>
      </c>
      <c r="BV29" s="66">
        <f t="shared" si="66"/>
        <v>1.697814073693767</v>
      </c>
      <c r="BW29" s="66">
        <f t="shared" si="66"/>
        <v>2.0346100491636334</v>
      </c>
      <c r="BX29" s="66">
        <f t="shared" si="66"/>
        <v>2.2278676876840238</v>
      </c>
      <c r="BY29" s="66">
        <f t="shared" si="66"/>
        <v>2.8574991454100918</v>
      </c>
      <c r="BZ29" s="66">
        <f t="shared" si="66"/>
        <v>3.8489001837588286</v>
      </c>
      <c r="CA29" s="66">
        <f t="shared" si="66"/>
        <v>5.2912133637805239</v>
      </c>
      <c r="CB29" s="66">
        <f t="shared" si="66"/>
        <v>6.3663501806615308</v>
      </c>
      <c r="CC29" s="66">
        <f t="shared" si="66"/>
        <v>6.930515188060884</v>
      </c>
      <c r="CD29" s="66">
        <f t="shared" si="66"/>
        <v>8.88389291432566</v>
      </c>
      <c r="CE29" s="66">
        <f t="shared" si="66"/>
        <v>5.8453483855129305</v>
      </c>
      <c r="CF29" s="66">
        <f t="shared" si="66"/>
        <v>3.5281043431050838</v>
      </c>
      <c r="CG29" s="66">
        <f t="shared" si="66"/>
        <v>5.3847336376120456</v>
      </c>
      <c r="CH29" s="66">
        <f t="shared" si="66"/>
        <v>5.7361249498722335</v>
      </c>
      <c r="CI29" s="66">
        <f t="shared" si="66"/>
        <v>5.6237296776660015</v>
      </c>
      <c r="CJ29" s="66">
        <f t="shared" si="66"/>
        <v>6.4209882124480684</v>
      </c>
      <c r="CK29" s="66">
        <f t="shared" si="66"/>
        <v>6.8895311591747186</v>
      </c>
      <c r="CL29" s="66">
        <f t="shared" si="66"/>
        <v>5.6932707407492824</v>
      </c>
      <c r="CM29" s="66">
        <f t="shared" si="66"/>
        <v>5.0532959187123305</v>
      </c>
      <c r="CN29" s="66">
        <f t="shared" si="66"/>
        <v>2.5138239331204955</v>
      </c>
      <c r="CO29" s="66">
        <f t="shared" si="66"/>
        <v>3.5036542762618135</v>
      </c>
      <c r="CP29" s="66">
        <f t="shared" si="66"/>
        <v>4.0722839445162524</v>
      </c>
      <c r="CQ29" s="66">
        <f t="shared" si="66"/>
        <v>5.2735477770641612</v>
      </c>
      <c r="CR29" s="66">
        <f t="shared" si="66"/>
        <v>1.945676756463611</v>
      </c>
      <c r="CS29" s="66">
        <f t="shared" si="66"/>
        <v>1.7678241116751616</v>
      </c>
      <c r="CT29" s="66">
        <f t="shared" si="66"/>
        <v>2.5335607077248485</v>
      </c>
      <c r="CU29" s="66">
        <f t="shared" si="66"/>
        <v>1.9489217275533173</v>
      </c>
      <c r="CV29" s="66">
        <f t="shared" si="66"/>
        <v>1.5688189894350792</v>
      </c>
      <c r="CW29" s="66">
        <f t="shared" si="66"/>
        <v>2.3171132541329653</v>
      </c>
      <c r="CX29" s="66">
        <f t="shared" si="66"/>
        <v>2.71491714639801</v>
      </c>
      <c r="CY29" s="66">
        <f t="shared" si="66"/>
        <v>2.8608866145123253</v>
      </c>
      <c r="CZ29" s="66">
        <f t="shared" si="66"/>
        <v>2.309292361898887</v>
      </c>
      <c r="DA29" s="66">
        <f t="shared" si="66"/>
        <v>3.5871531927270515</v>
      </c>
      <c r="DB29" s="66">
        <f t="shared" si="66"/>
        <v>3.2487093134008638</v>
      </c>
      <c r="DC29" s="66">
        <f t="shared" si="66"/>
        <v>3.6068146261139233</v>
      </c>
      <c r="DD29" s="66">
        <f t="shared" si="66"/>
        <v>3.6511856486241503</v>
      </c>
      <c r="DE29" s="66">
        <f t="shared" si="66"/>
        <v>3.8795938907562095</v>
      </c>
      <c r="DF29" s="66">
        <f t="shared" si="66"/>
        <v>1.4610799107839292</v>
      </c>
      <c r="DG29" s="66">
        <f t="shared" si="66"/>
        <v>1.0834476823964461</v>
      </c>
      <c r="DH29" s="66">
        <f t="shared" si="66"/>
        <v>0.99735434346652785</v>
      </c>
      <c r="DI29" s="66">
        <f t="shared" si="66"/>
        <v>0.51149295121618055</v>
      </c>
      <c r="DJ29" s="66" t="e">
        <f t="shared" si="66"/>
        <v>#DIV/0!</v>
      </c>
      <c r="DK29" s="66" t="e">
        <f t="shared" si="66"/>
        <v>#DIV/0!</v>
      </c>
    </row>
    <row r="30" spans="1:115" ht="14.25" customHeight="1">
      <c r="A30" s="39"/>
      <c r="B30" s="38"/>
      <c r="C30" s="40"/>
      <c r="D30" s="39"/>
      <c r="E30" s="82"/>
      <c r="F30" s="64"/>
      <c r="G30" s="200"/>
      <c r="H30" s="75"/>
      <c r="I30" s="353"/>
      <c r="J30" s="36">
        <f>_xlfn.STDEV.P(J5:J27)</f>
        <v>2.4802966466889713</v>
      </c>
      <c r="K30" s="36"/>
      <c r="L30" s="36"/>
      <c r="M30" s="36">
        <f t="shared" ref="M30:R30" si="67">_xlfn.STDEV.P(M5:M27)</f>
        <v>36.666302801539416</v>
      </c>
      <c r="N30" s="36">
        <f t="shared" si="67"/>
        <v>366.66302801539359</v>
      </c>
      <c r="O30" s="36">
        <f t="shared" si="67"/>
        <v>12.222100933846439</v>
      </c>
      <c r="P30" s="36">
        <f t="shared" si="67"/>
        <v>623.37023804974876</v>
      </c>
      <c r="Q30" s="36">
        <f t="shared" si="67"/>
        <v>4.494977160143236</v>
      </c>
      <c r="R30" s="36">
        <f t="shared" si="67"/>
        <v>0.44949771601432353</v>
      </c>
      <c r="T30" s="226">
        <f>_xlfn.STDEV.P(T5:T27)</f>
        <v>0</v>
      </c>
      <c r="U30" s="36" t="e">
        <f>_xlfn.STDEV.P(U5:U27)</f>
        <v>#DIV/0!</v>
      </c>
      <c r="V30" s="65" t="s">
        <v>11</v>
      </c>
      <c r="W30" s="74">
        <f t="shared" ref="W30:BP30" si="68">STDEVA(W5:W27)</f>
        <v>27.172683031342416</v>
      </c>
      <c r="X30" s="74">
        <f t="shared" si="68"/>
        <v>25.684398636785943</v>
      </c>
      <c r="Y30" s="74">
        <f t="shared" si="68"/>
        <v>37.490367554447239</v>
      </c>
      <c r="Z30" s="74">
        <f t="shared" si="68"/>
        <v>68.261776478384718</v>
      </c>
      <c r="AA30" s="74">
        <f t="shared" si="68"/>
        <v>58.281356447854286</v>
      </c>
      <c r="AB30" s="74">
        <f t="shared" si="68"/>
        <v>83.700849650194613</v>
      </c>
      <c r="AC30" s="74">
        <f t="shared" si="68"/>
        <v>107.64541135930514</v>
      </c>
      <c r="AD30" s="74">
        <f t="shared" si="68"/>
        <v>185.3611455103991</v>
      </c>
      <c r="AE30" s="74">
        <f t="shared" si="68"/>
        <v>289.23944233405501</v>
      </c>
      <c r="AF30" s="74">
        <f t="shared" si="68"/>
        <v>479.65939420665921</v>
      </c>
      <c r="AG30" s="74">
        <f t="shared" si="68"/>
        <v>538.19748902210722</v>
      </c>
      <c r="AH30" s="74">
        <f t="shared" si="68"/>
        <v>563.88704079248862</v>
      </c>
      <c r="AI30" s="74">
        <f t="shared" si="68"/>
        <v>703.8294035022808</v>
      </c>
      <c r="AJ30" s="74">
        <f t="shared" si="68"/>
        <v>679.78278134647019</v>
      </c>
      <c r="AK30" s="74">
        <f t="shared" si="68"/>
        <v>457.45794203162779</v>
      </c>
      <c r="AL30" s="74">
        <f t="shared" si="68"/>
        <v>686.71303026945145</v>
      </c>
      <c r="AM30" s="74">
        <f t="shared" si="68"/>
        <v>589.49342527896624</v>
      </c>
      <c r="AN30" s="74">
        <f t="shared" si="68"/>
        <v>608.5968049049892</v>
      </c>
      <c r="AO30" s="74">
        <f t="shared" si="68"/>
        <v>694.51889764952864</v>
      </c>
      <c r="AP30" s="74">
        <f t="shared" si="68"/>
        <v>763.2342173420011</v>
      </c>
      <c r="AQ30" s="74">
        <f t="shared" si="68"/>
        <v>766.34101453689937</v>
      </c>
      <c r="AR30" s="74">
        <f t="shared" si="68"/>
        <v>862.33258890840534</v>
      </c>
      <c r="AS30" s="74">
        <f t="shared" si="68"/>
        <v>422.35747461150714</v>
      </c>
      <c r="AT30" s="74">
        <f t="shared" si="68"/>
        <v>538.57655397635165</v>
      </c>
      <c r="AU30" s="74">
        <f t="shared" si="68"/>
        <v>681.10781397213316</v>
      </c>
      <c r="AV30" s="74">
        <f t="shared" si="68"/>
        <v>881.58855850971918</v>
      </c>
      <c r="AW30" s="74">
        <f t="shared" si="68"/>
        <v>346.02279977437786</v>
      </c>
      <c r="AX30" s="74">
        <f t="shared" si="68"/>
        <v>313.01035722032094</v>
      </c>
      <c r="AY30" s="74">
        <f t="shared" si="68"/>
        <v>450.931305777521</v>
      </c>
      <c r="AZ30" s="74">
        <f t="shared" si="68"/>
        <v>295.87157946747828</v>
      </c>
      <c r="BA30" s="74">
        <f t="shared" si="68"/>
        <v>270.0692861625372</v>
      </c>
      <c r="BB30" s="74">
        <f t="shared" si="68"/>
        <v>347.78994410109465</v>
      </c>
      <c r="BC30" s="74">
        <f t="shared" si="68"/>
        <v>401.8973574358634</v>
      </c>
      <c r="BD30" s="74">
        <f t="shared" si="68"/>
        <v>427.80637841186223</v>
      </c>
      <c r="BE30" s="74">
        <f t="shared" si="68"/>
        <v>360.85381671097491</v>
      </c>
      <c r="BF30" s="74">
        <f t="shared" si="68"/>
        <v>596.69306372250855</v>
      </c>
      <c r="BG30" s="74">
        <f t="shared" si="68"/>
        <v>536.72310590012353</v>
      </c>
      <c r="BH30" s="74">
        <f t="shared" si="68"/>
        <v>609.50519117157137</v>
      </c>
      <c r="BI30" s="74">
        <f t="shared" si="68"/>
        <v>749.46757871792795</v>
      </c>
      <c r="BJ30" s="74">
        <f t="shared" si="68"/>
        <v>815.36590054360613</v>
      </c>
      <c r="BK30" s="74">
        <f t="shared" si="68"/>
        <v>298.88366968729588</v>
      </c>
      <c r="BL30" s="74">
        <f t="shared" si="68"/>
        <v>220.48361370793251</v>
      </c>
      <c r="BM30" s="74">
        <f t="shared" si="68"/>
        <v>208.08086850459785</v>
      </c>
      <c r="BN30" s="74">
        <f t="shared" si="68"/>
        <v>102.94484605372205</v>
      </c>
      <c r="BO30" s="74" t="e">
        <f t="shared" si="68"/>
        <v>#DIV/0!</v>
      </c>
      <c r="BP30" s="74" t="e">
        <f t="shared" si="68"/>
        <v>#DIV/0!</v>
      </c>
      <c r="BQ30" s="92" t="s">
        <v>11</v>
      </c>
      <c r="BR30" s="67">
        <f t="shared" ref="BR30:DK30" si="69">STDEVA(BR5:BR27)</f>
        <v>0.29635411026557457</v>
      </c>
      <c r="BS30" s="67">
        <f t="shared" si="69"/>
        <v>0.30765668115501987</v>
      </c>
      <c r="BT30" s="67">
        <f t="shared" si="69"/>
        <v>0</v>
      </c>
      <c r="BU30" s="67">
        <f t="shared" si="69"/>
        <v>0.64759686856289533</v>
      </c>
      <c r="BV30" s="67">
        <f t="shared" si="69"/>
        <v>0.6162709401621399</v>
      </c>
      <c r="BW30" s="67">
        <f t="shared" si="69"/>
        <v>1.1745412609100983</v>
      </c>
      <c r="BX30" s="67">
        <f t="shared" si="69"/>
        <v>1.3428670295494842</v>
      </c>
      <c r="BY30" s="67">
        <f t="shared" si="69"/>
        <v>2.0599605465821726</v>
      </c>
      <c r="BZ30" s="67">
        <f t="shared" si="69"/>
        <v>3.3681393787726073</v>
      </c>
      <c r="CA30" s="67">
        <f t="shared" si="69"/>
        <v>5.2026019848520315</v>
      </c>
      <c r="CB30" s="67">
        <f t="shared" si="69"/>
        <v>6.2817063572461498</v>
      </c>
      <c r="CC30" s="67">
        <f t="shared" si="69"/>
        <v>7.0091311598628128</v>
      </c>
      <c r="CD30" s="67">
        <f t="shared" si="69"/>
        <v>9.7773908647813581</v>
      </c>
      <c r="CE30" s="67">
        <f t="shared" si="69"/>
        <v>5.4331629412188285</v>
      </c>
      <c r="CF30" s="67">
        <f t="shared" si="69"/>
        <v>3.2795913445771681</v>
      </c>
      <c r="CG30" s="67">
        <f t="shared" si="69"/>
        <v>5.1058160012267617</v>
      </c>
      <c r="CH30" s="67">
        <f t="shared" si="69"/>
        <v>4.7868744177919815</v>
      </c>
      <c r="CI30" s="67">
        <f t="shared" si="69"/>
        <v>4.5366112959075906</v>
      </c>
      <c r="CJ30" s="67">
        <f t="shared" si="69"/>
        <v>5.2141507876119979</v>
      </c>
      <c r="CK30" s="67">
        <f t="shared" si="69"/>
        <v>5.7602498833849722</v>
      </c>
      <c r="CL30" s="67">
        <f t="shared" si="69"/>
        <v>4.3515665272902329</v>
      </c>
      <c r="CM30" s="67">
        <f t="shared" si="69"/>
        <v>4.3063902091363353</v>
      </c>
      <c r="CN30" s="67">
        <f t="shared" si="69"/>
        <v>1.8603026030854184</v>
      </c>
      <c r="CO30" s="67">
        <f t="shared" si="69"/>
        <v>2.4465353055047334</v>
      </c>
      <c r="CP30" s="67">
        <f t="shared" si="69"/>
        <v>3.002660671162535</v>
      </c>
      <c r="CQ30" s="67">
        <f t="shared" si="69"/>
        <v>3.8912176873300983</v>
      </c>
      <c r="CR30" s="67">
        <f t="shared" si="69"/>
        <v>1.2870547654961269</v>
      </c>
      <c r="CS30" s="67">
        <f t="shared" si="69"/>
        <v>1.1659343148857118</v>
      </c>
      <c r="CT30" s="67">
        <f t="shared" si="69"/>
        <v>1.6733984808665063</v>
      </c>
      <c r="CU30" s="67">
        <f t="shared" si="69"/>
        <v>1.1526174280423862</v>
      </c>
      <c r="CV30" s="67">
        <f t="shared" si="69"/>
        <v>1.0149475264077743</v>
      </c>
      <c r="CW30" s="67">
        <f t="shared" si="69"/>
        <v>1.3568130533920424</v>
      </c>
      <c r="CX30" s="67">
        <f t="shared" si="69"/>
        <v>1.5503291301680888</v>
      </c>
      <c r="CY30" s="67">
        <f t="shared" si="69"/>
        <v>1.6341309813809355</v>
      </c>
      <c r="CZ30" s="67">
        <f t="shared" si="69"/>
        <v>1.3270544220184515</v>
      </c>
      <c r="DA30" s="67">
        <f t="shared" si="69"/>
        <v>2.1095676237733851</v>
      </c>
      <c r="DB30" s="67">
        <f t="shared" si="69"/>
        <v>1.9069903958901835</v>
      </c>
      <c r="DC30" s="67">
        <f t="shared" si="69"/>
        <v>2.1354995907305447</v>
      </c>
      <c r="DD30" s="67">
        <f t="shared" si="69"/>
        <v>2.4001672659546136</v>
      </c>
      <c r="DE30" s="67">
        <f t="shared" si="69"/>
        <v>2.5888909876626482</v>
      </c>
      <c r="DF30" s="67">
        <f t="shared" si="69"/>
        <v>0.88886848695714182</v>
      </c>
      <c r="DG30" s="67">
        <f t="shared" si="69"/>
        <v>0.65695667753669451</v>
      </c>
      <c r="DH30" s="67">
        <f t="shared" si="69"/>
        <v>0.6144403992073626</v>
      </c>
      <c r="DI30" s="67">
        <f t="shared" si="69"/>
        <v>0.30798660650746151</v>
      </c>
      <c r="DJ30" s="67">
        <f t="shared" si="69"/>
        <v>0</v>
      </c>
      <c r="DK30" s="67">
        <f t="shared" si="69"/>
        <v>0</v>
      </c>
    </row>
    <row r="31" spans="1:115" ht="12.75" customHeight="1">
      <c r="A31" s="103"/>
      <c r="E31" s="83"/>
      <c r="K31" s="50"/>
      <c r="L31" s="50"/>
      <c r="P31" s="50"/>
      <c r="Q31" s="50"/>
      <c r="R31" s="50"/>
      <c r="S31" s="227"/>
      <c r="T31" s="227"/>
      <c r="U31" s="50"/>
      <c r="V31" s="38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</row>
    <row r="32" spans="1:115" ht="14.25" customHeight="1">
      <c r="A32" s="103"/>
      <c r="E32" s="108" t="str">
        <f>'NAB_PTX Groups'!C6</f>
        <v>BxPc3 - Control</v>
      </c>
      <c r="I32" s="108" t="str">
        <f>E32</f>
        <v>BxPc3 - Control</v>
      </c>
      <c r="J32" s="97">
        <f>AVERAGEIF($E$5:$E$27,$E32,J$5:J$27)</f>
        <v>30.066666666666663</v>
      </c>
      <c r="K32" s="97"/>
      <c r="L32" s="97"/>
      <c r="M32" s="97">
        <f t="shared" ref="M32:R32" si="70">AVERAGEIF($E$5:$E$27,$E32,M$5:M$27)</f>
        <v>126.71958000000001</v>
      </c>
      <c r="N32" s="97">
        <f t="shared" si="70"/>
        <v>1267.1958000000002</v>
      </c>
      <c r="O32" s="97">
        <f t="shared" si="70"/>
        <v>42.23986</v>
      </c>
      <c r="P32" s="97">
        <f t="shared" si="70"/>
        <v>0</v>
      </c>
      <c r="Q32" s="97">
        <f t="shared" si="70"/>
        <v>0</v>
      </c>
      <c r="R32" s="97">
        <f t="shared" si="70"/>
        <v>0</v>
      </c>
      <c r="S32" s="228"/>
      <c r="T32" s="228" t="e">
        <f>AVERAGEIF($E$5:$E$27,$E32,T$5:T$27)</f>
        <v>#DIV/0!</v>
      </c>
      <c r="U32" s="97" t="e">
        <f>AVERAGEIF($E$5:$E$27,$E32,U$5:U$27)</f>
        <v>#DIV/0!</v>
      </c>
      <c r="V32" s="65" t="s">
        <v>9</v>
      </c>
      <c r="W32" s="71">
        <f t="shared" ref="W32:BP32" si="71">AVERAGEIF($E$5:$E$27,$E32,W$5:W$27)</f>
        <v>97.53952000000001</v>
      </c>
      <c r="X32" s="71">
        <f t="shared" si="71"/>
        <v>118.80000000000001</v>
      </c>
      <c r="Y32" s="71">
        <f t="shared" si="71"/>
        <v>126.71958000000001</v>
      </c>
      <c r="Z32" s="71">
        <f t="shared" si="71"/>
        <v>196.14989333333335</v>
      </c>
      <c r="AA32" s="71">
        <f t="shared" si="71"/>
        <v>229.1082733333333</v>
      </c>
      <c r="AB32" s="71">
        <f t="shared" si="71"/>
        <v>316.55883999999998</v>
      </c>
      <c r="AC32" s="71">
        <f t="shared" si="71"/>
        <v>372.70497333333333</v>
      </c>
      <c r="AD32" s="71">
        <f t="shared" si="71"/>
        <v>534.98926000000006</v>
      </c>
      <c r="AE32" s="71">
        <f t="shared" si="71"/>
        <v>771.01786666666669</v>
      </c>
      <c r="AF32" s="71">
        <f t="shared" si="71"/>
        <v>1139.0797599999999</v>
      </c>
      <c r="AG32" s="71">
        <f t="shared" si="71"/>
        <v>1386.8684960000003</v>
      </c>
      <c r="AH32" s="71">
        <f t="shared" si="71"/>
        <v>1377.76522</v>
      </c>
      <c r="AI32" s="71">
        <f t="shared" si="71"/>
        <v>1601.6339733333334</v>
      </c>
      <c r="AJ32" s="71">
        <f t="shared" si="71"/>
        <v>1866.4555</v>
      </c>
      <c r="AK32" s="71" t="e">
        <f t="shared" si="71"/>
        <v>#DIV/0!</v>
      </c>
      <c r="AL32" s="71" t="e">
        <f t="shared" si="71"/>
        <v>#DIV/0!</v>
      </c>
      <c r="AM32" s="71" t="e">
        <f t="shared" si="71"/>
        <v>#DIV/0!</v>
      </c>
      <c r="AN32" s="71" t="e">
        <f t="shared" si="71"/>
        <v>#DIV/0!</v>
      </c>
      <c r="AO32" s="71" t="e">
        <f t="shared" si="71"/>
        <v>#DIV/0!</v>
      </c>
      <c r="AP32" s="71" t="e">
        <f t="shared" si="71"/>
        <v>#DIV/0!</v>
      </c>
      <c r="AQ32" s="71" t="e">
        <f t="shared" si="71"/>
        <v>#DIV/0!</v>
      </c>
      <c r="AR32" s="71" t="e">
        <f t="shared" si="71"/>
        <v>#DIV/0!</v>
      </c>
      <c r="AS32" s="71" t="e">
        <f t="shared" si="71"/>
        <v>#DIV/0!</v>
      </c>
      <c r="AT32" s="71" t="e">
        <f t="shared" si="71"/>
        <v>#DIV/0!</v>
      </c>
      <c r="AU32" s="71" t="e">
        <f t="shared" si="71"/>
        <v>#DIV/0!</v>
      </c>
      <c r="AV32" s="71" t="e">
        <f t="shared" si="71"/>
        <v>#DIV/0!</v>
      </c>
      <c r="AW32" s="71" t="e">
        <f t="shared" si="71"/>
        <v>#DIV/0!</v>
      </c>
      <c r="AX32" s="71" t="e">
        <f t="shared" si="71"/>
        <v>#DIV/0!</v>
      </c>
      <c r="AY32" s="71" t="e">
        <f t="shared" si="71"/>
        <v>#DIV/0!</v>
      </c>
      <c r="AZ32" s="71" t="e">
        <f t="shared" si="71"/>
        <v>#DIV/0!</v>
      </c>
      <c r="BA32" s="71" t="e">
        <f t="shared" si="71"/>
        <v>#DIV/0!</v>
      </c>
      <c r="BB32" s="71" t="e">
        <f t="shared" si="71"/>
        <v>#DIV/0!</v>
      </c>
      <c r="BC32" s="71" t="e">
        <f t="shared" si="71"/>
        <v>#DIV/0!</v>
      </c>
      <c r="BD32" s="71" t="e">
        <f t="shared" si="71"/>
        <v>#DIV/0!</v>
      </c>
      <c r="BE32" s="71" t="e">
        <f t="shared" si="71"/>
        <v>#DIV/0!</v>
      </c>
      <c r="BF32" s="71" t="e">
        <f t="shared" si="71"/>
        <v>#DIV/0!</v>
      </c>
      <c r="BG32" s="71" t="e">
        <f t="shared" si="71"/>
        <v>#DIV/0!</v>
      </c>
      <c r="BH32" s="71" t="e">
        <f t="shared" si="71"/>
        <v>#DIV/0!</v>
      </c>
      <c r="BI32" s="71" t="e">
        <f t="shared" si="71"/>
        <v>#DIV/0!</v>
      </c>
      <c r="BJ32" s="71" t="e">
        <f t="shared" si="71"/>
        <v>#DIV/0!</v>
      </c>
      <c r="BK32" s="71" t="e">
        <f t="shared" si="71"/>
        <v>#DIV/0!</v>
      </c>
      <c r="BL32" s="71" t="e">
        <f t="shared" si="71"/>
        <v>#DIV/0!</v>
      </c>
      <c r="BM32" s="71" t="e">
        <f t="shared" si="71"/>
        <v>#DIV/0!</v>
      </c>
      <c r="BN32" s="71" t="e">
        <f t="shared" si="71"/>
        <v>#DIV/0!</v>
      </c>
      <c r="BO32" s="71" t="e">
        <f t="shared" si="71"/>
        <v>#DIV/0!</v>
      </c>
      <c r="BP32" s="71" t="e">
        <f t="shared" si="71"/>
        <v>#DIV/0!</v>
      </c>
      <c r="BQ32" s="93" t="s">
        <v>9</v>
      </c>
      <c r="BR32" s="66">
        <f t="shared" ref="BR32:DK32" si="72">AVERAGEIF($E$5:$E$27,$E32,BR$5:BR$27)</f>
        <v>0.73045947901995567</v>
      </c>
      <c r="BS32" s="66">
        <f t="shared" si="72"/>
        <v>0.86044569055461506</v>
      </c>
      <c r="BT32" s="66">
        <f t="shared" si="72"/>
        <v>1</v>
      </c>
      <c r="BU32" s="66">
        <f t="shared" si="72"/>
        <v>1.7698738373915448</v>
      </c>
      <c r="BV32" s="66">
        <f t="shared" si="72"/>
        <v>2.0167387820156786</v>
      </c>
      <c r="BW32" s="66">
        <f t="shared" si="72"/>
        <v>3.0019695843447427</v>
      </c>
      <c r="BX32" s="66">
        <f t="shared" si="72"/>
        <v>3.4200290565277611</v>
      </c>
      <c r="BY32" s="66">
        <f t="shared" si="72"/>
        <v>4.8176662101936705</v>
      </c>
      <c r="BZ32" s="66">
        <f t="shared" si="72"/>
        <v>7.1683845226835912</v>
      </c>
      <c r="CA32" s="66">
        <f t="shared" si="72"/>
        <v>10.546769395809788</v>
      </c>
      <c r="CB32" s="66">
        <f t="shared" si="72"/>
        <v>13.627559805627374</v>
      </c>
      <c r="CC32" s="66">
        <f t="shared" si="72"/>
        <v>13.568468730094549</v>
      </c>
      <c r="CD32" s="66">
        <f t="shared" si="72"/>
        <v>19.686034825662723</v>
      </c>
      <c r="CE32" s="66">
        <f t="shared" si="72"/>
        <v>13.411063003864907</v>
      </c>
      <c r="CF32" s="66" t="e">
        <f t="shared" si="72"/>
        <v>#DIV/0!</v>
      </c>
      <c r="CG32" s="66" t="e">
        <f t="shared" si="72"/>
        <v>#DIV/0!</v>
      </c>
      <c r="CH32" s="66" t="e">
        <f t="shared" si="72"/>
        <v>#DIV/0!</v>
      </c>
      <c r="CI32" s="66" t="e">
        <f t="shared" si="72"/>
        <v>#DIV/0!</v>
      </c>
      <c r="CJ32" s="66" t="e">
        <f t="shared" si="72"/>
        <v>#DIV/0!</v>
      </c>
      <c r="CK32" s="66" t="e">
        <f t="shared" si="72"/>
        <v>#DIV/0!</v>
      </c>
      <c r="CL32" s="66" t="e">
        <f t="shared" si="72"/>
        <v>#DIV/0!</v>
      </c>
      <c r="CM32" s="66" t="e">
        <f t="shared" si="72"/>
        <v>#DIV/0!</v>
      </c>
      <c r="CN32" s="66" t="e">
        <f t="shared" si="72"/>
        <v>#DIV/0!</v>
      </c>
      <c r="CO32" s="66" t="e">
        <f t="shared" si="72"/>
        <v>#DIV/0!</v>
      </c>
      <c r="CP32" s="66" t="e">
        <f t="shared" si="72"/>
        <v>#DIV/0!</v>
      </c>
      <c r="CQ32" s="66" t="e">
        <f t="shared" si="72"/>
        <v>#DIV/0!</v>
      </c>
      <c r="CR32" s="66" t="e">
        <f t="shared" si="72"/>
        <v>#DIV/0!</v>
      </c>
      <c r="CS32" s="66" t="e">
        <f t="shared" si="72"/>
        <v>#DIV/0!</v>
      </c>
      <c r="CT32" s="66" t="e">
        <f t="shared" si="72"/>
        <v>#DIV/0!</v>
      </c>
      <c r="CU32" s="66" t="e">
        <f t="shared" si="72"/>
        <v>#DIV/0!</v>
      </c>
      <c r="CV32" s="66" t="e">
        <f t="shared" si="72"/>
        <v>#DIV/0!</v>
      </c>
      <c r="CW32" s="66" t="e">
        <f t="shared" si="72"/>
        <v>#DIV/0!</v>
      </c>
      <c r="CX32" s="66" t="e">
        <f t="shared" si="72"/>
        <v>#DIV/0!</v>
      </c>
      <c r="CY32" s="66" t="e">
        <f t="shared" si="72"/>
        <v>#DIV/0!</v>
      </c>
      <c r="CZ32" s="66" t="e">
        <f t="shared" si="72"/>
        <v>#DIV/0!</v>
      </c>
      <c r="DA32" s="66" t="e">
        <f t="shared" si="72"/>
        <v>#DIV/0!</v>
      </c>
      <c r="DB32" s="66" t="e">
        <f t="shared" si="72"/>
        <v>#DIV/0!</v>
      </c>
      <c r="DC32" s="66" t="e">
        <f t="shared" si="72"/>
        <v>#DIV/0!</v>
      </c>
      <c r="DD32" s="66" t="e">
        <f t="shared" si="72"/>
        <v>#DIV/0!</v>
      </c>
      <c r="DE32" s="66" t="e">
        <f t="shared" si="72"/>
        <v>#DIV/0!</v>
      </c>
      <c r="DF32" s="66" t="e">
        <f t="shared" si="72"/>
        <v>#DIV/0!</v>
      </c>
      <c r="DG32" s="66" t="e">
        <f t="shared" si="72"/>
        <v>#DIV/0!</v>
      </c>
      <c r="DH32" s="66" t="e">
        <f t="shared" si="72"/>
        <v>#DIV/0!</v>
      </c>
      <c r="DI32" s="66" t="e">
        <f t="shared" si="72"/>
        <v>#DIV/0!</v>
      </c>
      <c r="DJ32" s="66" t="e">
        <f t="shared" si="72"/>
        <v>#DIV/0!</v>
      </c>
      <c r="DK32" s="66" t="e">
        <f t="shared" si="72"/>
        <v>#DIV/0!</v>
      </c>
    </row>
    <row r="33" spans="1:120" ht="14.25" customHeight="1">
      <c r="A33" s="103"/>
      <c r="E33" s="83"/>
      <c r="I33" s="83"/>
      <c r="J33" s="97">
        <f t="array" ref="J33">_xlfn.STDEV.P(IF($E$5:$E$27=$E32,J$5:J$27))</f>
        <v>2.2617593938249834</v>
      </c>
      <c r="K33" s="97"/>
      <c r="L33" s="97"/>
      <c r="M33" s="97">
        <f t="array" ref="M33">_xlfn.STDEV.P(IF($E$5:$E$27=$E32,M$5:M$27))</f>
        <v>43.974864255376581</v>
      </c>
      <c r="N33" s="97">
        <f t="array" ref="N33">_xlfn.STDEV.P(IF($E$5:$E$27=$E32,N$5:N$27))</f>
        <v>439.7486425537661</v>
      </c>
      <c r="O33" s="97">
        <f t="array" ref="O33">_xlfn.STDEV.P(IF($E$5:$E$27=$E32,O$5:O$27))</f>
        <v>14.658288085125525</v>
      </c>
      <c r="P33" s="97">
        <f t="array" ref="P33">_xlfn.STDEV.P(IF($E$5:$E$27=$E32,P$5:P$27))</f>
        <v>0</v>
      </c>
      <c r="Q33" s="97">
        <f t="array" ref="Q33">_xlfn.STDEV.P(IF($E$5:$E$27=$E32,Q$5:Q$27))</f>
        <v>0</v>
      </c>
      <c r="R33" s="97">
        <f t="array" ref="R33">_xlfn.STDEV.P(IF($E$5:$E$27=$E32,R$5:R$27))</f>
        <v>0</v>
      </c>
      <c r="S33" s="228"/>
      <c r="T33" s="228">
        <f t="array" ref="T33">_xlfn.STDEV.P(IF($E$5:$E$27=$E32,T$5:T$27))</f>
        <v>0</v>
      </c>
      <c r="U33" s="97">
        <f t="array" ref="U33">_xlfn.STDEV.P(IF($E$5:$E$27=$E32,U$5:U$27))</f>
        <v>0</v>
      </c>
      <c r="V33" s="65" t="s">
        <v>11</v>
      </c>
      <c r="W33" s="74">
        <f t="array" ref="W33">_xlfn.STDEV.P(IF($E$5:$E$27=$E32,W$5:W$27))</f>
        <v>47.600878186132498</v>
      </c>
      <c r="X33" s="74">
        <f t="array" ref="X33">_xlfn.STDEV.P(IF($E$5:$E$27=$E32,X$5:X$27))</f>
        <v>56.715459385720699</v>
      </c>
      <c r="Y33" s="74">
        <f t="array" ref="Y33">_xlfn.STDEV.P(IF($E$5:$E$27=$E32,Y$5:Y$27))</f>
        <v>43.974864255376581</v>
      </c>
      <c r="Z33" s="74">
        <f t="array" ref="Z33">_xlfn.STDEV.P(IF($E$5:$E$27=$E32,Z$5:Z$27))</f>
        <v>38.337623895786109</v>
      </c>
      <c r="AA33" s="74">
        <f t="array" ref="AA33">_xlfn.STDEV.P(IF($E$5:$E$27=$E32,AA$5:AA$27))</f>
        <v>59.106507702821595</v>
      </c>
      <c r="AB33" s="74">
        <f t="array" ref="AB33">_xlfn.STDEV.P(IF($E$5:$E$27=$E32,AB$5:AB$27))</f>
        <v>75.082034443543023</v>
      </c>
      <c r="AC33" s="74">
        <f t="array" ref="AC33">_xlfn.STDEV.P(IF($E$5:$E$27=$E32,AC$5:AC$27))</f>
        <v>94.239240511579027</v>
      </c>
      <c r="AD33" s="74">
        <f t="array" ref="AD33">_xlfn.STDEV.P(IF($E$5:$E$27=$E32,AD$5:AD$27))</f>
        <v>150.60765138289929</v>
      </c>
      <c r="AE33" s="74">
        <f t="array" ref="AE33">_xlfn.STDEV.P(IF($E$5:$E$27=$E32,AE$5:AE$27))</f>
        <v>204.71245486605903</v>
      </c>
      <c r="AF33" s="74">
        <f t="array" ref="AF33">_xlfn.STDEV.P(IF($E$5:$E$27=$E32,AF$5:AF$27))</f>
        <v>310.81184677025783</v>
      </c>
      <c r="AG33" s="74">
        <f t="array" ref="AG33">_xlfn.STDEV.P(IF($E$5:$E$27=$E32,AG$5:AG$27))</f>
        <v>611.13895865440827</v>
      </c>
      <c r="AH33" s="74">
        <f t="array" ref="AH33">_xlfn.STDEV.P(IF($E$5:$E$27=$E32,AH$5:AH$27))</f>
        <v>689.04310072545491</v>
      </c>
      <c r="AI33" s="74">
        <f t="array" ref="AI33">_xlfn.STDEV.P(IF($E$5:$E$27=$E32,AI$5:AI$27))</f>
        <v>806.00641533897044</v>
      </c>
      <c r="AJ33" s="74">
        <f t="array" ref="AJ33">_xlfn.STDEV.P(IF($E$5:$E$27=$E32,AJ$5:AJ$27))</f>
        <v>880.16843041553068</v>
      </c>
      <c r="AK33" s="74">
        <f t="array" ref="AK33">_xlfn.STDEV.P(IF($E$5:$E$27=$E32,AK$5:AK$27))</f>
        <v>0</v>
      </c>
      <c r="AL33" s="74">
        <f t="array" ref="AL33">_xlfn.STDEV.P(IF($E$5:$E$27=$E32,AL$5:AL$27))</f>
        <v>0</v>
      </c>
      <c r="AM33" s="74">
        <f t="array" ref="AM33">_xlfn.STDEV.P(IF($E$5:$E$27=$E32,AM$5:AM$27))</f>
        <v>0</v>
      </c>
      <c r="AN33" s="74">
        <f t="array" ref="AN33">_xlfn.STDEV.P(IF($E$5:$E$27=$E32,AN$5:AN$27))</f>
        <v>0</v>
      </c>
      <c r="AO33" s="74">
        <f t="array" ref="AO33">_xlfn.STDEV.P(IF($E$5:$E$27=$E32,AO$5:AO$27))</f>
        <v>0</v>
      </c>
      <c r="AP33" s="74">
        <f t="array" ref="AP33">_xlfn.STDEV.P(IF($E$5:$E$27=$E32,AP$5:AP$27))</f>
        <v>0</v>
      </c>
      <c r="AQ33" s="74">
        <f t="array" ref="AQ33">_xlfn.STDEV.P(IF($E$5:$E$27=$E32,AQ$5:AQ$27))</f>
        <v>0</v>
      </c>
      <c r="AR33" s="74">
        <f t="array" ref="AR33">_xlfn.STDEV.P(IF($E$5:$E$27=$E32,AR$5:AR$27))</f>
        <v>0</v>
      </c>
      <c r="AS33" s="74">
        <f t="array" ref="AS33">_xlfn.STDEV.P(IF($E$5:$E$27=$E32,AS$5:AS$27))</f>
        <v>0</v>
      </c>
      <c r="AT33" s="74">
        <f t="array" ref="AT33">_xlfn.STDEV.P(IF($E$5:$E$27=$E32,AT$5:AT$27))</f>
        <v>0</v>
      </c>
      <c r="AU33" s="74">
        <f t="array" ref="AU33">_xlfn.STDEV.P(IF($E$5:$E$27=$E32,AU$5:AU$27))</f>
        <v>0</v>
      </c>
      <c r="AV33" s="74">
        <f t="array" ref="AV33">_xlfn.STDEV.P(IF($E$5:$E$27=$E32,AV$5:AV$27))</f>
        <v>0</v>
      </c>
      <c r="AW33" s="74">
        <f t="array" ref="AW33">_xlfn.STDEV.P(IF($E$5:$E$27=$E32,AW$5:AW$27))</f>
        <v>0</v>
      </c>
      <c r="AX33" s="74">
        <f t="array" ref="AX33">_xlfn.STDEV.P(IF($E$5:$E$27=$E32,AX$5:AX$27))</f>
        <v>0</v>
      </c>
      <c r="AY33" s="74">
        <f t="array" ref="AY33">_xlfn.STDEV.P(IF($E$5:$E$27=$E32,AY$5:AY$27))</f>
        <v>0</v>
      </c>
      <c r="AZ33" s="74">
        <f t="array" ref="AZ33">_xlfn.STDEV.P(IF($E$5:$E$27=$E32,AZ$5:AZ$27))</f>
        <v>0</v>
      </c>
      <c r="BA33" s="74">
        <f t="array" ref="BA33">_xlfn.STDEV.P(IF($E$5:$E$27=$E32,BA$5:BA$27))</f>
        <v>0</v>
      </c>
      <c r="BB33" s="74">
        <f t="array" ref="BB33">_xlfn.STDEV.P(IF($E$5:$E$27=$E32,BB$5:BB$27))</f>
        <v>0</v>
      </c>
      <c r="BC33" s="74">
        <f t="array" ref="BC33">_xlfn.STDEV.P(IF($E$5:$E$27=$E32,BC$5:BC$27))</f>
        <v>0</v>
      </c>
      <c r="BD33" s="74">
        <f t="array" ref="BD33">_xlfn.STDEV.P(IF($E$5:$E$27=$E32,BD$5:BD$27))</f>
        <v>0</v>
      </c>
      <c r="BE33" s="74">
        <f t="array" ref="BE33">_xlfn.STDEV.P(IF($E$5:$E$27=$E32,BE$5:BE$27))</f>
        <v>0</v>
      </c>
      <c r="BF33" s="74">
        <f t="array" ref="BF33">_xlfn.STDEV.P(IF($E$5:$E$27=$E32,BF$5:BF$27))</f>
        <v>0</v>
      </c>
      <c r="BG33" s="74">
        <f t="array" ref="BG33">_xlfn.STDEV.P(IF($E$5:$E$27=$E32,BG$5:BG$27))</f>
        <v>0</v>
      </c>
      <c r="BH33" s="74">
        <f t="array" ref="BH33">_xlfn.STDEV.P(IF($E$5:$E$27=$E32,BH$5:BH$27))</f>
        <v>0</v>
      </c>
      <c r="BI33" s="74">
        <f t="array" ref="BI33">_xlfn.STDEV.P(IF($E$5:$E$27=$E32,BI$5:BI$27))</f>
        <v>0</v>
      </c>
      <c r="BJ33" s="74">
        <f t="array" ref="BJ33">_xlfn.STDEV.P(IF($E$5:$E$27=$E32,BJ$5:BJ$27))</f>
        <v>0</v>
      </c>
      <c r="BK33" s="74">
        <f t="array" ref="BK33">_xlfn.STDEV.P(IF($E$5:$E$27=$E32,BK$5:BK$27))</f>
        <v>0</v>
      </c>
      <c r="BL33" s="74">
        <f t="array" ref="BL33">_xlfn.STDEV.P(IF($E$5:$E$27=$E32,BL$5:BL$27))</f>
        <v>0</v>
      </c>
      <c r="BM33" s="74">
        <f t="array" ref="BM33">_xlfn.STDEV.P(IF($E$5:$E$27=$E32,BM$5:BM$27))</f>
        <v>0</v>
      </c>
      <c r="BN33" s="74">
        <f t="array" ref="BN33">_xlfn.STDEV.P(IF($E$5:$E$27=$E32,BN$5:BN$27))</f>
        <v>0</v>
      </c>
      <c r="BO33" s="74">
        <f t="array" ref="BO33">_xlfn.STDEV.P(IF($E$5:$E$27=$E32,BO$5:BO$27))</f>
        <v>0</v>
      </c>
      <c r="BP33" s="74">
        <f t="array" ref="BP33">_xlfn.STDEV.P(IF($E$5:$E$27=$E32,BP$5:BP$27))</f>
        <v>0</v>
      </c>
      <c r="BQ33" s="94" t="s">
        <v>11</v>
      </c>
      <c r="BR33" s="67">
        <f t="array" ref="BR33">_xlfn.STDEV.P(IF($E$5:$E$27=$E32,BR$5:BR$27))</f>
        <v>0.20774587961999766</v>
      </c>
      <c r="BS33" s="67">
        <f t="array" ref="BS33">_xlfn.STDEV.P(IF($E$5:$E$27=$E32,BS$5:BS$27))</f>
        <v>0.11729124056827057</v>
      </c>
      <c r="BT33" s="67">
        <f t="array" ref="BT33">_xlfn.STDEV.P(IF($E$5:$E$27=$E32,BT$5:BT$27))</f>
        <v>0</v>
      </c>
      <c r="BU33" s="67">
        <f t="array" ref="BU33">_xlfn.STDEV.P(IF($E$5:$E$27=$E32,BU$5:BU$27))</f>
        <v>0.75850658802187287</v>
      </c>
      <c r="BV33" s="67">
        <f t="array" ref="BV33">_xlfn.STDEV.P(IF($E$5:$E$27=$E32,BV$5:BV$27))</f>
        <v>0.76165088341798937</v>
      </c>
      <c r="BW33" s="67">
        <f t="array" ref="BW33">_xlfn.STDEV.P(IF($E$5:$E$27=$E32,BW$5:BW$27))</f>
        <v>1.6864546033584222</v>
      </c>
      <c r="BX33" s="67">
        <f t="array" ref="BX33">_xlfn.STDEV.P(IF($E$5:$E$27=$E32,BX$5:BX$27))</f>
        <v>1.676932768035559</v>
      </c>
      <c r="BY33" s="67">
        <f t="array" ref="BY33">_xlfn.STDEV.P(IF($E$5:$E$27=$E32,BY$5:BY$27))</f>
        <v>2.1238512891548837</v>
      </c>
      <c r="BZ33" s="67">
        <f t="array" ref="BZ33">_xlfn.STDEV.P(IF($E$5:$E$27=$E32,BZ$5:BZ$27))</f>
        <v>3.5518882669011265</v>
      </c>
      <c r="CA33" s="67">
        <f t="array" ref="CA33">_xlfn.STDEV.P(IF($E$5:$E$27=$E32,CA$5:CA$27))</f>
        <v>5.1014382576740589</v>
      </c>
      <c r="CB33" s="67">
        <f t="array" ref="CB33">_xlfn.STDEV.P(IF($E$5:$E$27=$E32,CB$5:CB$27))</f>
        <v>6.8050600824876089</v>
      </c>
      <c r="CC33" s="67">
        <f t="array" ref="CC33">_xlfn.STDEV.P(IF($E$5:$E$27=$E32,CC$5:CC$27))</f>
        <v>8.1093630489794712</v>
      </c>
      <c r="CD33" s="67">
        <f t="array" ref="CD33">_xlfn.STDEV.P(IF($E$5:$E$27=$E32,CD$5:CD$27))</f>
        <v>12.361846211309546</v>
      </c>
      <c r="CE33" s="67">
        <f t="array" ref="CE33">_xlfn.STDEV.P(IF($E$5:$E$27=$E32,CE$5:CE$27))</f>
        <v>0.8048797835064514</v>
      </c>
      <c r="CF33" s="67" t="e">
        <f t="array" ref="CF33">_xlfn.STDEV.P(IF($E$5:$E$27=$E32,CF$5:CF$27))</f>
        <v>#DIV/0!</v>
      </c>
      <c r="CG33" s="67" t="e">
        <f t="array" ref="CG33">_xlfn.STDEV.P(IF($E$5:$E$27=$E32,CG$5:CG$27))</f>
        <v>#DIV/0!</v>
      </c>
      <c r="CH33" s="67" t="e">
        <f t="array" ref="CH33">_xlfn.STDEV.P(IF($E$5:$E$27=$E32,CH$5:CH$27))</f>
        <v>#DIV/0!</v>
      </c>
      <c r="CI33" s="67" t="e">
        <f t="array" ref="CI33">_xlfn.STDEV.P(IF($E$5:$E$27=$E32,CI$5:CI$27))</f>
        <v>#DIV/0!</v>
      </c>
      <c r="CJ33" s="67" t="e">
        <f t="array" ref="CJ33">_xlfn.STDEV.P(IF($E$5:$E$27=$E32,CJ$5:CJ$27))</f>
        <v>#DIV/0!</v>
      </c>
      <c r="CK33" s="67" t="e">
        <f t="array" ref="CK33">_xlfn.STDEV.P(IF($E$5:$E$27=$E32,CK$5:CK$27))</f>
        <v>#DIV/0!</v>
      </c>
      <c r="CL33" s="67" t="e">
        <f t="array" ref="CL33">_xlfn.STDEV.P(IF($E$5:$E$27=$E32,CL$5:CL$27))</f>
        <v>#DIV/0!</v>
      </c>
      <c r="CM33" s="67" t="e">
        <f t="array" ref="CM33">_xlfn.STDEV.P(IF($E$5:$E$27=$E32,CM$5:CM$27))</f>
        <v>#DIV/0!</v>
      </c>
      <c r="CN33" s="67" t="e">
        <f t="array" ref="CN33">_xlfn.STDEV.P(IF($E$5:$E$27=$E32,CN$5:CN$27))</f>
        <v>#DIV/0!</v>
      </c>
      <c r="CO33" s="67" t="e">
        <f t="array" ref="CO33">_xlfn.STDEV.P(IF($E$5:$E$27=$E32,CO$5:CO$27))</f>
        <v>#DIV/0!</v>
      </c>
      <c r="CP33" s="67" t="e">
        <f t="array" ref="CP33">_xlfn.STDEV.P(IF($E$5:$E$27=$E32,CP$5:CP$27))</f>
        <v>#DIV/0!</v>
      </c>
      <c r="CQ33" s="67" t="e">
        <f t="array" ref="CQ33">_xlfn.STDEV.P(IF($E$5:$E$27=$E32,CQ$5:CQ$27))</f>
        <v>#DIV/0!</v>
      </c>
      <c r="CR33" s="67" t="e">
        <f t="array" ref="CR33">_xlfn.STDEV.P(IF($E$5:$E$27=$E32,CR$5:CR$27))</f>
        <v>#DIV/0!</v>
      </c>
      <c r="CS33" s="67" t="e">
        <f t="array" ref="CS33">_xlfn.STDEV.P(IF($E$5:$E$27=$E32,CS$5:CS$27))</f>
        <v>#DIV/0!</v>
      </c>
      <c r="CT33" s="67" t="e">
        <f t="array" ref="CT33">_xlfn.STDEV.P(IF($E$5:$E$27=$E32,CT$5:CT$27))</f>
        <v>#DIV/0!</v>
      </c>
      <c r="CU33" s="67" t="e">
        <f t="array" ref="CU33">_xlfn.STDEV.P(IF($E$5:$E$27=$E32,CU$5:CU$27))</f>
        <v>#DIV/0!</v>
      </c>
      <c r="CV33" s="67" t="e">
        <f t="array" ref="CV33">_xlfn.STDEV.P(IF($E$5:$E$27=$E32,CV$5:CV$27))</f>
        <v>#DIV/0!</v>
      </c>
      <c r="CW33" s="67" t="e">
        <f t="array" ref="CW33">_xlfn.STDEV.P(IF($E$5:$E$27=$E32,CW$5:CW$27))</f>
        <v>#DIV/0!</v>
      </c>
      <c r="CX33" s="67" t="e">
        <f t="array" ref="CX33">_xlfn.STDEV.P(IF($E$5:$E$27=$E32,CX$5:CX$27))</f>
        <v>#DIV/0!</v>
      </c>
      <c r="CY33" s="67" t="e">
        <f t="array" ref="CY33">_xlfn.STDEV.P(IF($E$5:$E$27=$E32,CY$5:CY$27))</f>
        <v>#DIV/0!</v>
      </c>
      <c r="CZ33" s="67" t="e">
        <f t="array" ref="CZ33">_xlfn.STDEV.P(IF($E$5:$E$27=$E32,CZ$5:CZ$27))</f>
        <v>#DIV/0!</v>
      </c>
      <c r="DA33" s="67" t="e">
        <f t="array" ref="DA33">_xlfn.STDEV.P(IF($E$5:$E$27=$E32,DA$5:DA$27))</f>
        <v>#DIV/0!</v>
      </c>
      <c r="DB33" s="67" t="e">
        <f t="array" ref="DB33">_xlfn.STDEV.P(IF($E$5:$E$27=$E32,DB$5:DB$27))</f>
        <v>#DIV/0!</v>
      </c>
      <c r="DC33" s="67" t="e">
        <f t="array" ref="DC33">_xlfn.STDEV.P(IF($E$5:$E$27=$E32,DC$5:DC$27))</f>
        <v>#DIV/0!</v>
      </c>
      <c r="DD33" s="67" t="e">
        <f t="array" ref="DD33">_xlfn.STDEV.P(IF($E$5:$E$27=$E32,DD$5:DD$27))</f>
        <v>#DIV/0!</v>
      </c>
      <c r="DE33" s="67" t="e">
        <f t="array" ref="DE33">_xlfn.STDEV.P(IF($E$5:$E$27=$E32,DE$5:DE$27))</f>
        <v>#DIV/0!</v>
      </c>
      <c r="DF33" s="67" t="e">
        <f t="array" ref="DF33">_xlfn.STDEV.P(IF($E$5:$E$27=$E32,DF$5:DF$27))</f>
        <v>#DIV/0!</v>
      </c>
      <c r="DG33" s="67" t="e">
        <f t="array" ref="DG33">_xlfn.STDEV.P(IF($E$5:$E$27=$E32,DG$5:DG$27))</f>
        <v>#DIV/0!</v>
      </c>
      <c r="DH33" s="67" t="e">
        <f t="array" ref="DH33">_xlfn.STDEV.P(IF($E$5:$E$27=$E32,DH$5:DH$27))</f>
        <v>#DIV/0!</v>
      </c>
      <c r="DI33" s="67" t="e">
        <f t="array" ref="DI33">_xlfn.STDEV.P(IF($E$5:$E$27=$E32,DI$5:DI$27))</f>
        <v>#DIV/0!</v>
      </c>
      <c r="DJ33" s="67" t="e">
        <f t="array" ref="DJ33">_xlfn.STDEV.P(IF($E$5:$E$27=$E32,DJ$5:DJ$27))</f>
        <v>#DIV/0!</v>
      </c>
      <c r="DK33" s="67" t="e">
        <f t="array" ref="DK33">_xlfn.STDEV.P(IF($E$5:$E$27=$E32,DK$5:DK$27))</f>
        <v>#DIV/0!</v>
      </c>
    </row>
    <row r="34" spans="1:120" ht="15">
      <c r="A34" s="103"/>
      <c r="E34" s="45"/>
      <c r="I34" s="45"/>
      <c r="K34" s="50"/>
      <c r="L34" s="50"/>
      <c r="P34" s="50"/>
      <c r="Q34" s="50"/>
      <c r="R34" s="50"/>
      <c r="S34" s="227"/>
      <c r="T34" s="227"/>
      <c r="U34" s="50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DF34" s="37"/>
      <c r="DG34" s="37"/>
      <c r="DH34" s="37"/>
      <c r="DI34" s="37"/>
      <c r="DJ34" s="37"/>
      <c r="DK34" s="37"/>
      <c r="DL34" s="164" t="e">
        <f>#REF!</f>
        <v>#REF!</v>
      </c>
      <c r="DM34" s="164" t="e">
        <f>#REF!</f>
        <v>#REF!</v>
      </c>
      <c r="DN34" s="164" t="e">
        <f>#REF!</f>
        <v>#REF!</v>
      </c>
      <c r="DO34" s="164" t="e">
        <f>#REF!</f>
        <v>#REF!</v>
      </c>
      <c r="DP34" s="164" t="e">
        <f>#REF!</f>
        <v>#REF!</v>
      </c>
    </row>
    <row r="35" spans="1:120" ht="14.25" customHeight="1">
      <c r="A35" s="103"/>
      <c r="E35" s="108" t="s">
        <v>63</v>
      </c>
      <c r="I35" s="108" t="str">
        <f>E35</f>
        <v>BxPc3 - CP-PTX Combo</v>
      </c>
      <c r="J35" s="97" t="e">
        <f>AVERAGEIF($E$5:$E$27,$E35,J$5:J$27)</f>
        <v>#DIV/0!</v>
      </c>
      <c r="K35" s="97"/>
      <c r="L35" s="97"/>
      <c r="M35" s="97" t="e">
        <f t="shared" ref="M35:R35" si="73">AVERAGEIF($E$5:$E$27,$E35,M$5:M$27)</f>
        <v>#DIV/0!</v>
      </c>
      <c r="N35" s="97" t="e">
        <f t="shared" si="73"/>
        <v>#DIV/0!</v>
      </c>
      <c r="O35" s="97" t="e">
        <f t="shared" si="73"/>
        <v>#DIV/0!</v>
      </c>
      <c r="P35" s="97" t="e">
        <f t="shared" si="73"/>
        <v>#DIV/0!</v>
      </c>
      <c r="Q35" s="97" t="e">
        <f t="shared" si="73"/>
        <v>#DIV/0!</v>
      </c>
      <c r="R35" s="97" t="e">
        <f t="shared" si="73"/>
        <v>#DIV/0!</v>
      </c>
      <c r="S35" s="228"/>
      <c r="T35" s="228" t="e">
        <f>AVERAGEIF($E$5:$E$27,$E35,T$5:T$27)</f>
        <v>#DIV/0!</v>
      </c>
      <c r="U35" s="97" t="e">
        <f>AVERAGEIF($E$5:$E$27,$E35,U$5:U$27)</f>
        <v>#DIV/0!</v>
      </c>
      <c r="V35" s="65" t="s">
        <v>9</v>
      </c>
      <c r="W35" s="71" t="e">
        <f t="shared" ref="W35:BP35" si="74">AVERAGEIF($E$5:$E$27,$E35,W$5:W$27)</f>
        <v>#DIV/0!</v>
      </c>
      <c r="X35" s="71" t="e">
        <f t="shared" si="74"/>
        <v>#DIV/0!</v>
      </c>
      <c r="Y35" s="71" t="e">
        <f t="shared" si="74"/>
        <v>#DIV/0!</v>
      </c>
      <c r="Z35" s="71" t="e">
        <f t="shared" si="74"/>
        <v>#DIV/0!</v>
      </c>
      <c r="AA35" s="71" t="e">
        <f t="shared" si="74"/>
        <v>#DIV/0!</v>
      </c>
      <c r="AB35" s="71" t="e">
        <f t="shared" si="74"/>
        <v>#DIV/0!</v>
      </c>
      <c r="AC35" s="71" t="e">
        <f t="shared" si="74"/>
        <v>#DIV/0!</v>
      </c>
      <c r="AD35" s="71" t="e">
        <f t="shared" si="74"/>
        <v>#DIV/0!</v>
      </c>
      <c r="AE35" s="71" t="e">
        <f t="shared" si="74"/>
        <v>#DIV/0!</v>
      </c>
      <c r="AF35" s="71" t="e">
        <f t="shared" si="74"/>
        <v>#DIV/0!</v>
      </c>
      <c r="AG35" s="71" t="e">
        <f t="shared" si="74"/>
        <v>#DIV/0!</v>
      </c>
      <c r="AH35" s="71" t="e">
        <f t="shared" si="74"/>
        <v>#DIV/0!</v>
      </c>
      <c r="AI35" s="71" t="e">
        <f t="shared" si="74"/>
        <v>#DIV/0!</v>
      </c>
      <c r="AJ35" s="71" t="e">
        <f t="shared" si="74"/>
        <v>#DIV/0!</v>
      </c>
      <c r="AK35" s="71" t="e">
        <f t="shared" si="74"/>
        <v>#DIV/0!</v>
      </c>
      <c r="AL35" s="71" t="e">
        <f t="shared" si="74"/>
        <v>#DIV/0!</v>
      </c>
      <c r="AM35" s="71" t="e">
        <f t="shared" si="74"/>
        <v>#DIV/0!</v>
      </c>
      <c r="AN35" s="71" t="e">
        <f t="shared" si="74"/>
        <v>#DIV/0!</v>
      </c>
      <c r="AO35" s="71" t="e">
        <f t="shared" si="74"/>
        <v>#DIV/0!</v>
      </c>
      <c r="AP35" s="71" t="e">
        <f t="shared" si="74"/>
        <v>#DIV/0!</v>
      </c>
      <c r="AQ35" s="71" t="e">
        <f t="shared" si="74"/>
        <v>#DIV/0!</v>
      </c>
      <c r="AR35" s="71" t="e">
        <f t="shared" si="74"/>
        <v>#DIV/0!</v>
      </c>
      <c r="AS35" s="71" t="e">
        <f t="shared" si="74"/>
        <v>#DIV/0!</v>
      </c>
      <c r="AT35" s="71" t="e">
        <f t="shared" si="74"/>
        <v>#DIV/0!</v>
      </c>
      <c r="AU35" s="71" t="e">
        <f t="shared" si="74"/>
        <v>#DIV/0!</v>
      </c>
      <c r="AV35" s="71" t="e">
        <f t="shared" si="74"/>
        <v>#DIV/0!</v>
      </c>
      <c r="AW35" s="71" t="e">
        <f t="shared" si="74"/>
        <v>#DIV/0!</v>
      </c>
      <c r="AX35" s="71" t="e">
        <f t="shared" si="74"/>
        <v>#DIV/0!</v>
      </c>
      <c r="AY35" s="71" t="e">
        <f t="shared" si="74"/>
        <v>#DIV/0!</v>
      </c>
      <c r="AZ35" s="71" t="e">
        <f t="shared" si="74"/>
        <v>#DIV/0!</v>
      </c>
      <c r="BA35" s="71" t="e">
        <f t="shared" si="74"/>
        <v>#DIV/0!</v>
      </c>
      <c r="BB35" s="71" t="e">
        <f t="shared" si="74"/>
        <v>#DIV/0!</v>
      </c>
      <c r="BC35" s="71" t="e">
        <f t="shared" si="74"/>
        <v>#DIV/0!</v>
      </c>
      <c r="BD35" s="71" t="e">
        <f t="shared" si="74"/>
        <v>#DIV/0!</v>
      </c>
      <c r="BE35" s="71" t="e">
        <f t="shared" si="74"/>
        <v>#DIV/0!</v>
      </c>
      <c r="BF35" s="71" t="e">
        <f t="shared" si="74"/>
        <v>#DIV/0!</v>
      </c>
      <c r="BG35" s="71" t="e">
        <f t="shared" si="74"/>
        <v>#DIV/0!</v>
      </c>
      <c r="BH35" s="71" t="e">
        <f t="shared" si="74"/>
        <v>#DIV/0!</v>
      </c>
      <c r="BI35" s="71" t="e">
        <f t="shared" si="74"/>
        <v>#DIV/0!</v>
      </c>
      <c r="BJ35" s="71" t="e">
        <f t="shared" si="74"/>
        <v>#DIV/0!</v>
      </c>
      <c r="BK35" s="71" t="e">
        <f t="shared" si="74"/>
        <v>#DIV/0!</v>
      </c>
      <c r="BL35" s="71" t="e">
        <f t="shared" si="74"/>
        <v>#DIV/0!</v>
      </c>
      <c r="BM35" s="71" t="e">
        <f t="shared" si="74"/>
        <v>#DIV/0!</v>
      </c>
      <c r="BN35" s="71" t="e">
        <f t="shared" si="74"/>
        <v>#DIV/0!</v>
      </c>
      <c r="BO35" s="71" t="e">
        <f t="shared" si="74"/>
        <v>#DIV/0!</v>
      </c>
      <c r="BP35" s="71" t="e">
        <f t="shared" si="74"/>
        <v>#DIV/0!</v>
      </c>
      <c r="BQ35" s="93" t="s">
        <v>9</v>
      </c>
      <c r="BR35" s="66" t="e">
        <f t="shared" ref="BR35:DK35" si="75">AVERAGEIF($E$5:$E$27,$E35,BR$5:BR$27)</f>
        <v>#DIV/0!</v>
      </c>
      <c r="BS35" s="66" t="e">
        <f t="shared" si="75"/>
        <v>#DIV/0!</v>
      </c>
      <c r="BT35" s="66" t="e">
        <f t="shared" si="75"/>
        <v>#DIV/0!</v>
      </c>
      <c r="BU35" s="66" t="e">
        <f t="shared" si="75"/>
        <v>#DIV/0!</v>
      </c>
      <c r="BV35" s="66" t="e">
        <f t="shared" si="75"/>
        <v>#DIV/0!</v>
      </c>
      <c r="BW35" s="66" t="e">
        <f t="shared" si="75"/>
        <v>#DIV/0!</v>
      </c>
      <c r="BX35" s="66" t="e">
        <f t="shared" si="75"/>
        <v>#DIV/0!</v>
      </c>
      <c r="BY35" s="66" t="e">
        <f t="shared" si="75"/>
        <v>#DIV/0!</v>
      </c>
      <c r="BZ35" s="66" t="e">
        <f t="shared" si="75"/>
        <v>#DIV/0!</v>
      </c>
      <c r="CA35" s="66" t="e">
        <f t="shared" si="75"/>
        <v>#DIV/0!</v>
      </c>
      <c r="CB35" s="66" t="e">
        <f t="shared" si="75"/>
        <v>#DIV/0!</v>
      </c>
      <c r="CC35" s="66" t="e">
        <f t="shared" si="75"/>
        <v>#DIV/0!</v>
      </c>
      <c r="CD35" s="66" t="e">
        <f t="shared" si="75"/>
        <v>#DIV/0!</v>
      </c>
      <c r="CE35" s="66" t="e">
        <f t="shared" si="75"/>
        <v>#DIV/0!</v>
      </c>
      <c r="CF35" s="66" t="e">
        <f t="shared" si="75"/>
        <v>#DIV/0!</v>
      </c>
      <c r="CG35" s="66" t="e">
        <f t="shared" si="75"/>
        <v>#DIV/0!</v>
      </c>
      <c r="CH35" s="66" t="e">
        <f t="shared" si="75"/>
        <v>#DIV/0!</v>
      </c>
      <c r="CI35" s="66" t="e">
        <f t="shared" si="75"/>
        <v>#DIV/0!</v>
      </c>
      <c r="CJ35" s="66" t="e">
        <f t="shared" si="75"/>
        <v>#DIV/0!</v>
      </c>
      <c r="CK35" s="66" t="e">
        <f t="shared" si="75"/>
        <v>#DIV/0!</v>
      </c>
      <c r="CL35" s="66" t="e">
        <f t="shared" si="75"/>
        <v>#DIV/0!</v>
      </c>
      <c r="CM35" s="66" t="e">
        <f t="shared" si="75"/>
        <v>#DIV/0!</v>
      </c>
      <c r="CN35" s="66" t="e">
        <f t="shared" si="75"/>
        <v>#DIV/0!</v>
      </c>
      <c r="CO35" s="66" t="e">
        <f t="shared" si="75"/>
        <v>#DIV/0!</v>
      </c>
      <c r="CP35" s="66" t="e">
        <f t="shared" si="75"/>
        <v>#DIV/0!</v>
      </c>
      <c r="CQ35" s="66" t="e">
        <f t="shared" si="75"/>
        <v>#DIV/0!</v>
      </c>
      <c r="CR35" s="66" t="e">
        <f t="shared" si="75"/>
        <v>#DIV/0!</v>
      </c>
      <c r="CS35" s="66" t="e">
        <f t="shared" si="75"/>
        <v>#DIV/0!</v>
      </c>
      <c r="CT35" s="66" t="e">
        <f t="shared" si="75"/>
        <v>#DIV/0!</v>
      </c>
      <c r="CU35" s="66" t="e">
        <f t="shared" si="75"/>
        <v>#DIV/0!</v>
      </c>
      <c r="CV35" s="66" t="e">
        <f t="shared" si="75"/>
        <v>#DIV/0!</v>
      </c>
      <c r="CW35" s="66" t="e">
        <f t="shared" si="75"/>
        <v>#DIV/0!</v>
      </c>
      <c r="CX35" s="66" t="e">
        <f t="shared" si="75"/>
        <v>#DIV/0!</v>
      </c>
      <c r="CY35" s="66" t="e">
        <f t="shared" si="75"/>
        <v>#DIV/0!</v>
      </c>
      <c r="CZ35" s="66" t="e">
        <f t="shared" si="75"/>
        <v>#DIV/0!</v>
      </c>
      <c r="DA35" s="66" t="e">
        <f t="shared" si="75"/>
        <v>#DIV/0!</v>
      </c>
      <c r="DB35" s="66" t="e">
        <f t="shared" si="75"/>
        <v>#DIV/0!</v>
      </c>
      <c r="DC35" s="66" t="e">
        <f t="shared" si="75"/>
        <v>#DIV/0!</v>
      </c>
      <c r="DD35" s="66" t="e">
        <f t="shared" si="75"/>
        <v>#DIV/0!</v>
      </c>
      <c r="DE35" s="66" t="e">
        <f t="shared" si="75"/>
        <v>#DIV/0!</v>
      </c>
      <c r="DF35" s="66" t="e">
        <f t="shared" si="75"/>
        <v>#DIV/0!</v>
      </c>
      <c r="DG35" s="66" t="e">
        <f t="shared" si="75"/>
        <v>#DIV/0!</v>
      </c>
      <c r="DH35" s="66" t="e">
        <f t="shared" si="75"/>
        <v>#DIV/0!</v>
      </c>
      <c r="DI35" s="66" t="e">
        <f t="shared" si="75"/>
        <v>#DIV/0!</v>
      </c>
      <c r="DJ35" s="66" t="e">
        <f t="shared" si="75"/>
        <v>#DIV/0!</v>
      </c>
      <c r="DK35" s="66" t="e">
        <f t="shared" si="75"/>
        <v>#DIV/0!</v>
      </c>
      <c r="DL35" s="165" t="e">
        <f>#REF!</f>
        <v>#REF!</v>
      </c>
      <c r="DM35" s="165" t="e">
        <f>#REF!</f>
        <v>#REF!</v>
      </c>
      <c r="DN35" s="165" t="e">
        <f>#REF!</f>
        <v>#REF!</v>
      </c>
      <c r="DO35" s="165" t="e">
        <f>#REF!</f>
        <v>#REF!</v>
      </c>
      <c r="DP35" s="150" t="e">
        <f>#REF!</f>
        <v>#REF!</v>
      </c>
    </row>
    <row r="36" spans="1:120" ht="14.25" customHeight="1">
      <c r="A36" s="103"/>
      <c r="E36" s="83"/>
      <c r="I36" s="83"/>
      <c r="J36" s="97" t="e">
        <f t="array" ref="J36">_xlfn.STDEV.P(IF($E$5:$E$27=$E35,J$5:J$27))</f>
        <v>#DIV/0!</v>
      </c>
      <c r="K36" s="97"/>
      <c r="L36" s="97"/>
      <c r="M36" s="97" t="e">
        <f t="array" ref="M36">_xlfn.STDEV.P(IF($E$5:$E$27=$E35,M$5:M$27))</f>
        <v>#DIV/0!</v>
      </c>
      <c r="N36" s="97" t="e">
        <f t="array" ref="N36">_xlfn.STDEV.P(IF($E$5:$E$27=$E35,N$5:N$27))</f>
        <v>#DIV/0!</v>
      </c>
      <c r="O36" s="97" t="e">
        <f t="array" ref="O36">_xlfn.STDEV.P(IF($E$5:$E$27=$E35,O$5:O$27))</f>
        <v>#DIV/0!</v>
      </c>
      <c r="P36" s="97" t="e">
        <f t="array" ref="P36">_xlfn.STDEV.P(IF($E$5:$E$27=$E35,P$5:P$27))</f>
        <v>#DIV/0!</v>
      </c>
      <c r="Q36" s="97" t="e">
        <f t="array" ref="Q36">_xlfn.STDEV.P(IF($E$5:$E$27=$E35,Q$5:Q$27))</f>
        <v>#DIV/0!</v>
      </c>
      <c r="R36" s="97" t="e">
        <f t="array" ref="R36">_xlfn.STDEV.P(IF($E$5:$E$27=$E35,R$5:R$27))</f>
        <v>#DIV/0!</v>
      </c>
      <c r="S36" s="228"/>
      <c r="T36" s="228" t="e">
        <f t="array" ref="T36">_xlfn.STDEV.P(IF($E$5:$E$27=$E35,T$5:T$27))</f>
        <v>#DIV/0!</v>
      </c>
      <c r="U36" s="97" t="e">
        <f t="array" ref="U36">_xlfn.STDEV.P(IF($E$5:$E$27=$E35,U$5:U$27))</f>
        <v>#DIV/0!</v>
      </c>
      <c r="V36" s="65" t="s">
        <v>11</v>
      </c>
      <c r="W36" s="74" t="e">
        <f t="array" ref="W36">_xlfn.STDEV.P(IF($E$5:$E$27=$E35,W$5:W$27))</f>
        <v>#DIV/0!</v>
      </c>
      <c r="X36" s="74" t="e">
        <f t="array" ref="X36">_xlfn.STDEV.P(IF($E$5:$E$27=$E35,X$5:X$27))</f>
        <v>#DIV/0!</v>
      </c>
      <c r="Y36" s="74" t="e">
        <f t="array" ref="Y36">_xlfn.STDEV.P(IF($E$5:$E$27=$E35,Y$5:Y$27))</f>
        <v>#DIV/0!</v>
      </c>
      <c r="Z36" s="74" t="e">
        <f t="array" ref="Z36">_xlfn.STDEV.P(IF($E$5:$E$27=$E35,Z$5:Z$27))</f>
        <v>#DIV/0!</v>
      </c>
      <c r="AA36" s="74" t="e">
        <f t="array" ref="AA36">_xlfn.STDEV.P(IF($E$5:$E$27=$E35,AA$5:AA$27))</f>
        <v>#DIV/0!</v>
      </c>
      <c r="AB36" s="74" t="e">
        <f t="array" ref="AB36">_xlfn.STDEV.P(IF($E$5:$E$27=$E35,AB$5:AB$27))</f>
        <v>#DIV/0!</v>
      </c>
      <c r="AC36" s="74" t="e">
        <f t="array" ref="AC36">_xlfn.STDEV.P(IF($E$5:$E$27=$E35,AC$5:AC$27))</f>
        <v>#DIV/0!</v>
      </c>
      <c r="AD36" s="74" t="e">
        <f t="array" ref="AD36">_xlfn.STDEV.P(IF($E$5:$E$27=$E35,AD$5:AD$27))</f>
        <v>#DIV/0!</v>
      </c>
      <c r="AE36" s="74" t="e">
        <f t="array" ref="AE36">_xlfn.STDEV.P(IF($E$5:$E$27=$E35,AE$5:AE$27))</f>
        <v>#DIV/0!</v>
      </c>
      <c r="AF36" s="74" t="e">
        <f t="array" ref="AF36">_xlfn.STDEV.P(IF($E$5:$E$27=$E35,AF$5:AF$27))</f>
        <v>#DIV/0!</v>
      </c>
      <c r="AG36" s="74" t="e">
        <f t="array" ref="AG36">_xlfn.STDEV.P(IF($E$5:$E$27=$E35,AG$5:AG$27))</f>
        <v>#DIV/0!</v>
      </c>
      <c r="AH36" s="74" t="e">
        <f t="array" ref="AH36">_xlfn.STDEV.P(IF($E$5:$E$27=$E35,AH$5:AH$27))</f>
        <v>#DIV/0!</v>
      </c>
      <c r="AI36" s="74" t="e">
        <f t="array" ref="AI36">_xlfn.STDEV.P(IF($E$5:$E$27=$E35,AI$5:AI$27))</f>
        <v>#DIV/0!</v>
      </c>
      <c r="AJ36" s="74" t="e">
        <f t="array" ref="AJ36">_xlfn.STDEV.P(IF($E$5:$E$27=$E35,AJ$5:AJ$27))</f>
        <v>#DIV/0!</v>
      </c>
      <c r="AK36" s="74" t="e">
        <f t="array" ref="AK36">_xlfn.STDEV.P(IF($E$5:$E$27=$E35,AK$5:AK$27))</f>
        <v>#DIV/0!</v>
      </c>
      <c r="AL36" s="74" t="e">
        <f t="array" ref="AL36">_xlfn.STDEV.P(IF($E$5:$E$27=$E35,AL$5:AL$27))</f>
        <v>#DIV/0!</v>
      </c>
      <c r="AM36" s="74" t="e">
        <f t="array" ref="AM36">_xlfn.STDEV.P(IF($E$5:$E$27=$E35,AM$5:AM$27))</f>
        <v>#DIV/0!</v>
      </c>
      <c r="AN36" s="74" t="e">
        <f t="array" ref="AN36">_xlfn.STDEV.P(IF($E$5:$E$27=$E35,AN$5:AN$27))</f>
        <v>#DIV/0!</v>
      </c>
      <c r="AO36" s="74" t="e">
        <f t="array" ref="AO36">_xlfn.STDEV.P(IF($E$5:$E$27=$E35,AO$5:AO$27))</f>
        <v>#DIV/0!</v>
      </c>
      <c r="AP36" s="74" t="e">
        <f t="array" ref="AP36">_xlfn.STDEV.P(IF($E$5:$E$27=$E35,AP$5:AP$27))</f>
        <v>#DIV/0!</v>
      </c>
      <c r="AQ36" s="74" t="e">
        <f t="array" ref="AQ36">_xlfn.STDEV.P(IF($E$5:$E$27=$E35,AQ$5:AQ$27))</f>
        <v>#DIV/0!</v>
      </c>
      <c r="AR36" s="74" t="e">
        <f t="array" ref="AR36">_xlfn.STDEV.P(IF($E$5:$E$27=$E35,AR$5:AR$27))</f>
        <v>#DIV/0!</v>
      </c>
      <c r="AS36" s="74" t="e">
        <f t="array" ref="AS36">_xlfn.STDEV.P(IF($E$5:$E$27=$E35,AS$5:AS$27))</f>
        <v>#DIV/0!</v>
      </c>
      <c r="AT36" s="74" t="e">
        <f t="array" ref="AT36">_xlfn.STDEV.P(IF($E$5:$E$27=$E35,AT$5:AT$27))</f>
        <v>#DIV/0!</v>
      </c>
      <c r="AU36" s="74" t="e">
        <f t="array" ref="AU36">_xlfn.STDEV.P(IF($E$5:$E$27=$E35,AU$5:AU$27))</f>
        <v>#DIV/0!</v>
      </c>
      <c r="AV36" s="74" t="e">
        <f t="array" ref="AV36">_xlfn.STDEV.P(IF($E$5:$E$27=$E35,AV$5:AV$27))</f>
        <v>#DIV/0!</v>
      </c>
      <c r="AW36" s="74" t="e">
        <f t="array" ref="AW36">_xlfn.STDEV.P(IF($E$5:$E$27=$E35,AW$5:AW$27))</f>
        <v>#DIV/0!</v>
      </c>
      <c r="AX36" s="74" t="e">
        <f t="array" ref="AX36">_xlfn.STDEV.P(IF($E$5:$E$27=$E35,AX$5:AX$27))</f>
        <v>#DIV/0!</v>
      </c>
      <c r="AY36" s="74" t="e">
        <f t="array" ref="AY36">_xlfn.STDEV.P(IF($E$5:$E$27=$E35,AY$5:AY$27))</f>
        <v>#DIV/0!</v>
      </c>
      <c r="AZ36" s="74" t="e">
        <f t="array" ref="AZ36">_xlfn.STDEV.P(IF($E$5:$E$27=$E35,AZ$5:AZ$27))</f>
        <v>#DIV/0!</v>
      </c>
      <c r="BA36" s="74" t="e">
        <f t="array" ref="BA36">_xlfn.STDEV.P(IF($E$5:$E$27=$E35,BA$5:BA$27))</f>
        <v>#DIV/0!</v>
      </c>
      <c r="BB36" s="74" t="e">
        <f t="array" ref="BB36">_xlfn.STDEV.P(IF($E$5:$E$27=$E35,BB$5:BB$27))</f>
        <v>#DIV/0!</v>
      </c>
      <c r="BC36" s="74" t="e">
        <f t="array" ref="BC36">_xlfn.STDEV.P(IF($E$5:$E$27=$E35,BC$5:BC$27))</f>
        <v>#DIV/0!</v>
      </c>
      <c r="BD36" s="74" t="e">
        <f t="array" ref="BD36">_xlfn.STDEV.P(IF($E$5:$E$27=$E35,BD$5:BD$27))</f>
        <v>#DIV/0!</v>
      </c>
      <c r="BE36" s="74" t="e">
        <f t="array" ref="BE36">_xlfn.STDEV.P(IF($E$5:$E$27=$E35,BE$5:BE$27))</f>
        <v>#DIV/0!</v>
      </c>
      <c r="BF36" s="74" t="e">
        <f t="array" ref="BF36">_xlfn.STDEV.P(IF($E$5:$E$27=$E35,BF$5:BF$27))</f>
        <v>#DIV/0!</v>
      </c>
      <c r="BG36" s="74" t="e">
        <f t="array" ref="BG36">_xlfn.STDEV.P(IF($E$5:$E$27=$E35,BG$5:BG$27))</f>
        <v>#DIV/0!</v>
      </c>
      <c r="BH36" s="74" t="e">
        <f t="array" ref="BH36">_xlfn.STDEV.P(IF($E$5:$E$27=$E35,BH$5:BH$27))</f>
        <v>#DIV/0!</v>
      </c>
      <c r="BI36" s="74" t="e">
        <f t="array" ref="BI36">_xlfn.STDEV.P(IF($E$5:$E$27=$E35,BI$5:BI$27))</f>
        <v>#DIV/0!</v>
      </c>
      <c r="BJ36" s="74" t="e">
        <f t="array" ref="BJ36">_xlfn.STDEV.P(IF($E$5:$E$27=$E35,BJ$5:BJ$27))</f>
        <v>#DIV/0!</v>
      </c>
      <c r="BK36" s="74" t="e">
        <f t="array" ref="BK36">_xlfn.STDEV.P(IF($E$5:$E$27=$E35,BK$5:BK$27))</f>
        <v>#DIV/0!</v>
      </c>
      <c r="BL36" s="74" t="e">
        <f t="array" ref="BL36">_xlfn.STDEV.P(IF($E$5:$E$27=$E35,BL$5:BL$27))</f>
        <v>#DIV/0!</v>
      </c>
      <c r="BM36" s="74" t="e">
        <f t="array" ref="BM36">_xlfn.STDEV.P(IF($E$5:$E$27=$E35,BM$5:BM$27))</f>
        <v>#DIV/0!</v>
      </c>
      <c r="BN36" s="74" t="e">
        <f t="array" ref="BN36">_xlfn.STDEV.P(IF($E$5:$E$27=$E35,BN$5:BN$27))</f>
        <v>#DIV/0!</v>
      </c>
      <c r="BO36" s="74" t="e">
        <f t="array" ref="BO36">_xlfn.STDEV.P(IF($E$5:$E$27=$E35,BO$5:BO$27))</f>
        <v>#DIV/0!</v>
      </c>
      <c r="BP36" s="74" t="e">
        <f t="array" ref="BP36">_xlfn.STDEV.P(IF($E$5:$E$27=$E35,BP$5:BP$27))</f>
        <v>#DIV/0!</v>
      </c>
      <c r="BQ36" s="94" t="s">
        <v>11</v>
      </c>
      <c r="BR36" s="67" t="e">
        <f t="array" ref="BR36">_xlfn.STDEV.P(IF($E$5:$E$27=$E35,BR$5:BR$27))</f>
        <v>#DIV/0!</v>
      </c>
      <c r="BS36" s="67" t="e">
        <f t="array" ref="BS36">_xlfn.STDEV.P(IF($E$5:$E$27=$E35,BS$5:BS$27))</f>
        <v>#DIV/0!</v>
      </c>
      <c r="BT36" s="67" t="e">
        <f t="array" ref="BT36">_xlfn.STDEV.P(IF($E$5:$E$27=$E35,BT$5:BT$27))</f>
        <v>#DIV/0!</v>
      </c>
      <c r="BU36" s="67" t="e">
        <f t="array" ref="BU36">_xlfn.STDEV.P(IF($E$5:$E$27=$E35,BU$5:BU$27))</f>
        <v>#DIV/0!</v>
      </c>
      <c r="BV36" s="67" t="e">
        <f t="array" ref="BV36">_xlfn.STDEV.P(IF($E$5:$E$27=$E35,BV$5:BV$27))</f>
        <v>#DIV/0!</v>
      </c>
      <c r="BW36" s="67" t="e">
        <f t="array" ref="BW36">_xlfn.STDEV.P(IF($E$5:$E$27=$E35,BW$5:BW$27))</f>
        <v>#DIV/0!</v>
      </c>
      <c r="BX36" s="67" t="e">
        <f t="array" ref="BX36">_xlfn.STDEV.P(IF($E$5:$E$27=$E35,BX$5:BX$27))</f>
        <v>#DIV/0!</v>
      </c>
      <c r="BY36" s="67" t="e">
        <f t="array" ref="BY36">_xlfn.STDEV.P(IF($E$5:$E$27=$E35,BY$5:BY$27))</f>
        <v>#DIV/0!</v>
      </c>
      <c r="BZ36" s="67" t="e">
        <f t="array" ref="BZ36">_xlfn.STDEV.P(IF($E$5:$E$27=$E35,BZ$5:BZ$27))</f>
        <v>#DIV/0!</v>
      </c>
      <c r="CA36" s="67" t="e">
        <f t="array" ref="CA36">_xlfn.STDEV.P(IF($E$5:$E$27=$E35,CA$5:CA$27))</f>
        <v>#DIV/0!</v>
      </c>
      <c r="CB36" s="67" t="e">
        <f t="array" ref="CB36">_xlfn.STDEV.P(IF($E$5:$E$27=$E35,CB$5:CB$27))</f>
        <v>#DIV/0!</v>
      </c>
      <c r="CC36" s="67" t="e">
        <f t="array" ref="CC36">_xlfn.STDEV.P(IF($E$5:$E$27=$E35,CC$5:CC$27))</f>
        <v>#DIV/0!</v>
      </c>
      <c r="CD36" s="67" t="e">
        <f t="array" ref="CD36">_xlfn.STDEV.P(IF($E$5:$E$27=$E35,CD$5:CD$27))</f>
        <v>#DIV/0!</v>
      </c>
      <c r="CE36" s="67" t="e">
        <f t="array" ref="CE36">_xlfn.STDEV.P(IF($E$5:$E$27=$E35,CE$5:CE$27))</f>
        <v>#DIV/0!</v>
      </c>
      <c r="CF36" s="67" t="e">
        <f t="array" ref="CF36">_xlfn.STDEV.P(IF($E$5:$E$27=$E35,CF$5:CF$27))</f>
        <v>#DIV/0!</v>
      </c>
      <c r="CG36" s="67" t="e">
        <f t="array" ref="CG36">_xlfn.STDEV.P(IF($E$5:$E$27=$E35,CG$5:CG$27))</f>
        <v>#DIV/0!</v>
      </c>
      <c r="CH36" s="67" t="e">
        <f t="array" ref="CH36">_xlfn.STDEV.P(IF($E$5:$E$27=$E35,CH$5:CH$27))</f>
        <v>#DIV/0!</v>
      </c>
      <c r="CI36" s="67" t="e">
        <f t="array" ref="CI36">_xlfn.STDEV.P(IF($E$5:$E$27=$E35,CI$5:CI$27))</f>
        <v>#DIV/0!</v>
      </c>
      <c r="CJ36" s="67" t="e">
        <f t="array" ref="CJ36">_xlfn.STDEV.P(IF($E$5:$E$27=$E35,CJ$5:CJ$27))</f>
        <v>#DIV/0!</v>
      </c>
      <c r="CK36" s="67" t="e">
        <f t="array" ref="CK36">_xlfn.STDEV.P(IF($E$5:$E$27=$E35,CK$5:CK$27))</f>
        <v>#DIV/0!</v>
      </c>
      <c r="CL36" s="67" t="e">
        <f t="array" ref="CL36">_xlfn.STDEV.P(IF($E$5:$E$27=$E35,CL$5:CL$27))</f>
        <v>#DIV/0!</v>
      </c>
      <c r="CM36" s="67" t="e">
        <f t="array" ref="CM36">_xlfn.STDEV.P(IF($E$5:$E$27=$E35,CM$5:CM$27))</f>
        <v>#DIV/0!</v>
      </c>
      <c r="CN36" s="67" t="e">
        <f t="array" ref="CN36">_xlfn.STDEV.P(IF($E$5:$E$27=$E35,CN$5:CN$27))</f>
        <v>#DIV/0!</v>
      </c>
      <c r="CO36" s="67" t="e">
        <f t="array" ref="CO36">_xlfn.STDEV.P(IF($E$5:$E$27=$E35,CO$5:CO$27))</f>
        <v>#DIV/0!</v>
      </c>
      <c r="CP36" s="67" t="e">
        <f t="array" ref="CP36">_xlfn.STDEV.P(IF($E$5:$E$27=$E35,CP$5:CP$27))</f>
        <v>#DIV/0!</v>
      </c>
      <c r="CQ36" s="67" t="e">
        <f t="array" ref="CQ36">_xlfn.STDEV.P(IF($E$5:$E$27=$E35,CQ$5:CQ$27))</f>
        <v>#DIV/0!</v>
      </c>
      <c r="CR36" s="67" t="e">
        <f t="array" ref="CR36">_xlfn.STDEV.P(IF($E$5:$E$27=$E35,CR$5:CR$27))</f>
        <v>#DIV/0!</v>
      </c>
      <c r="CS36" s="67" t="e">
        <f t="array" ref="CS36">_xlfn.STDEV.P(IF($E$5:$E$27=$E35,CS$5:CS$27))</f>
        <v>#DIV/0!</v>
      </c>
      <c r="CT36" s="67" t="e">
        <f t="array" ref="CT36">_xlfn.STDEV.P(IF($E$5:$E$27=$E35,CT$5:CT$27))</f>
        <v>#DIV/0!</v>
      </c>
      <c r="CU36" s="67" t="e">
        <f t="array" ref="CU36">_xlfn.STDEV.P(IF($E$5:$E$27=$E35,CU$5:CU$27))</f>
        <v>#DIV/0!</v>
      </c>
      <c r="CV36" s="67" t="e">
        <f t="array" ref="CV36">_xlfn.STDEV.P(IF($E$5:$E$27=$E35,CV$5:CV$27))</f>
        <v>#DIV/0!</v>
      </c>
      <c r="CW36" s="67" t="e">
        <f t="array" ref="CW36">_xlfn.STDEV.P(IF($E$5:$E$27=$E35,CW$5:CW$27))</f>
        <v>#DIV/0!</v>
      </c>
      <c r="CX36" s="67" t="e">
        <f t="array" ref="CX36">_xlfn.STDEV.P(IF($E$5:$E$27=$E35,CX$5:CX$27))</f>
        <v>#DIV/0!</v>
      </c>
      <c r="CY36" s="67" t="e">
        <f t="array" ref="CY36">_xlfn.STDEV.P(IF($E$5:$E$27=$E35,CY$5:CY$27))</f>
        <v>#DIV/0!</v>
      </c>
      <c r="CZ36" s="67" t="e">
        <f t="array" ref="CZ36">_xlfn.STDEV.P(IF($E$5:$E$27=$E35,CZ$5:CZ$27))</f>
        <v>#DIV/0!</v>
      </c>
      <c r="DA36" s="67" t="e">
        <f t="array" ref="DA36">_xlfn.STDEV.P(IF($E$5:$E$27=$E35,DA$5:DA$27))</f>
        <v>#DIV/0!</v>
      </c>
      <c r="DB36" s="67" t="e">
        <f t="array" ref="DB36">_xlfn.STDEV.P(IF($E$5:$E$27=$E35,DB$5:DB$27))</f>
        <v>#DIV/0!</v>
      </c>
      <c r="DC36" s="67" t="e">
        <f t="array" ref="DC36">_xlfn.STDEV.P(IF($E$5:$E$27=$E35,DC$5:DC$27))</f>
        <v>#DIV/0!</v>
      </c>
      <c r="DD36" s="67" t="e">
        <f t="array" ref="DD36">_xlfn.STDEV.P(IF($E$5:$E$27=$E35,DD$5:DD$27))</f>
        <v>#DIV/0!</v>
      </c>
      <c r="DE36" s="67" t="e">
        <f t="array" ref="DE36">_xlfn.STDEV.P(IF($E$5:$E$27=$E35,DE$5:DE$27))</f>
        <v>#DIV/0!</v>
      </c>
      <c r="DF36" s="67" t="e">
        <f t="array" ref="DF36">_xlfn.STDEV.P(IF($E$5:$E$27=$E35,DF$5:DF$27))</f>
        <v>#DIV/0!</v>
      </c>
      <c r="DG36" s="67" t="e">
        <f t="array" ref="DG36">_xlfn.STDEV.P(IF($E$5:$E$27=$E35,DG$5:DG$27))</f>
        <v>#DIV/0!</v>
      </c>
      <c r="DH36" s="67" t="e">
        <f t="array" ref="DH36">_xlfn.STDEV.P(IF($E$5:$E$27=$E35,DH$5:DH$27))</f>
        <v>#DIV/0!</v>
      </c>
      <c r="DI36" s="67" t="e">
        <f t="array" ref="DI36">_xlfn.STDEV.P(IF($E$5:$E$27=$E35,DI$5:DI$27))</f>
        <v>#DIV/0!</v>
      </c>
      <c r="DJ36" s="67" t="e">
        <f t="array" ref="DJ36">_xlfn.STDEV.P(IF($E$5:$E$27=$E35,DJ$5:DJ$27))</f>
        <v>#DIV/0!</v>
      </c>
      <c r="DK36" s="67" t="e">
        <f t="array" ref="DK36">_xlfn.STDEV.P(IF($E$5:$E$27=$E35,DK$5:DK$27))</f>
        <v>#DIV/0!</v>
      </c>
      <c r="DL36" s="165" t="e">
        <f>#REF!</f>
        <v>#REF!</v>
      </c>
      <c r="DM36" s="165" t="e">
        <f>#REF!</f>
        <v>#REF!</v>
      </c>
      <c r="DN36" s="165" t="e">
        <f>#REF!</f>
        <v>#REF!</v>
      </c>
      <c r="DO36" s="165" t="e">
        <f>#REF!</f>
        <v>#REF!</v>
      </c>
      <c r="DP36" s="150" t="e">
        <f>#REF!</f>
        <v>#REF!</v>
      </c>
    </row>
    <row r="37" spans="1:120" ht="15">
      <c r="A37" s="103"/>
      <c r="E37" s="45"/>
      <c r="I37" s="45"/>
      <c r="K37" s="50"/>
      <c r="L37" s="50"/>
      <c r="P37" s="50"/>
      <c r="Q37" s="50"/>
      <c r="R37" s="50"/>
      <c r="S37" s="227"/>
      <c r="T37" s="227"/>
      <c r="U37" s="50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DF37" s="37"/>
      <c r="DG37" s="37"/>
      <c r="DH37" s="37"/>
      <c r="DI37" s="37"/>
      <c r="DJ37" s="37"/>
      <c r="DK37" s="37"/>
      <c r="DL37" s="165"/>
      <c r="DM37" s="165"/>
      <c r="DN37" s="165"/>
      <c r="DO37" s="165"/>
    </row>
    <row r="38" spans="1:120" ht="14.25" customHeight="1">
      <c r="A38" s="103"/>
      <c r="E38" s="108" t="str">
        <f>'NAB_PTX Groups'!C8</f>
        <v>BxPc3 - Abraxane only</v>
      </c>
      <c r="I38" s="108" t="str">
        <f>E38</f>
        <v>BxPc3 - Abraxane only</v>
      </c>
      <c r="J38" s="97">
        <f>AVERAGEIF($E$5:$E$27,$E38,J$5:J$27)</f>
        <v>28.879999999999995</v>
      </c>
      <c r="K38" s="97"/>
      <c r="L38" s="97"/>
      <c r="M38" s="97">
        <f t="shared" ref="M38:R38" si="76">AVERAGEIF($E$5:$E$27,$E38,M$5:M$27)</f>
        <v>103.98003200000001</v>
      </c>
      <c r="N38" s="97">
        <f t="shared" si="76"/>
        <v>1039.8003199999998</v>
      </c>
      <c r="O38" s="97">
        <f t="shared" si="76"/>
        <v>34.660010666666665</v>
      </c>
      <c r="P38" s="97">
        <f t="shared" si="76"/>
        <v>0</v>
      </c>
      <c r="Q38" s="97">
        <f t="shared" si="76"/>
        <v>0</v>
      </c>
      <c r="R38" s="97">
        <f t="shared" si="76"/>
        <v>0</v>
      </c>
      <c r="S38" s="228"/>
      <c r="T38" s="228">
        <f>AVERAGEIF($E$5:$E$27,$E38,T$5:T$27)</f>
        <v>70</v>
      </c>
      <c r="U38" s="97" t="e">
        <f>AVERAGEIF($E$5:$E$27,$E38,U$5:U$27)</f>
        <v>#DIV/0!</v>
      </c>
      <c r="V38" s="65" t="s">
        <v>9</v>
      </c>
      <c r="W38" s="71">
        <f t="shared" ref="W38:BP38" si="77">AVERAGEIF($E$5:$E$27,$E38,W$5:W$27)</f>
        <v>79.555424000000002</v>
      </c>
      <c r="X38" s="71">
        <f t="shared" si="77"/>
        <v>104.96000000000001</v>
      </c>
      <c r="Y38" s="71">
        <f t="shared" si="77"/>
        <v>103.98003200000001</v>
      </c>
      <c r="Z38" s="71">
        <f t="shared" si="77"/>
        <v>128.61264</v>
      </c>
      <c r="AA38" s="71">
        <f t="shared" si="77"/>
        <v>154.15077600000001</v>
      </c>
      <c r="AB38" s="71">
        <f t="shared" si="77"/>
        <v>208.00613600000003</v>
      </c>
      <c r="AC38" s="71">
        <f t="shared" si="77"/>
        <v>249.23288000000002</v>
      </c>
      <c r="AD38" s="71">
        <f t="shared" si="77"/>
        <v>370.00974400000001</v>
      </c>
      <c r="AE38" s="71">
        <f t="shared" si="77"/>
        <v>501.81175200000007</v>
      </c>
      <c r="AF38" s="71">
        <f t="shared" si="77"/>
        <v>729.62760000000003</v>
      </c>
      <c r="AG38" s="71">
        <f t="shared" si="77"/>
        <v>889.88588000000004</v>
      </c>
      <c r="AH38" s="71">
        <f t="shared" si="77"/>
        <v>1157.442728</v>
      </c>
      <c r="AI38" s="71">
        <f t="shared" si="77"/>
        <v>1467.0313840000001</v>
      </c>
      <c r="AJ38" s="71">
        <f t="shared" si="77"/>
        <v>1275.39516</v>
      </c>
      <c r="AK38" s="71">
        <f t="shared" si="77"/>
        <v>1124.04396</v>
      </c>
      <c r="AL38" s="71">
        <f t="shared" si="77"/>
        <v>1535.9562399999995</v>
      </c>
      <c r="AM38" s="71">
        <f t="shared" si="77"/>
        <v>962.98384000000033</v>
      </c>
      <c r="AN38" s="71">
        <f t="shared" si="77"/>
        <v>1111.9217200000001</v>
      </c>
      <c r="AO38" s="71">
        <f t="shared" si="77"/>
        <v>1279.6055999999999</v>
      </c>
      <c r="AP38" s="71">
        <f t="shared" si="77"/>
        <v>1512.6134400000001</v>
      </c>
      <c r="AQ38" s="71">
        <f t="shared" si="77"/>
        <v>1490.1213600000003</v>
      </c>
      <c r="AR38" s="71">
        <f t="shared" si="77"/>
        <v>2198.5766400000002</v>
      </c>
      <c r="AS38" s="71" t="e">
        <f t="shared" si="77"/>
        <v>#DIV/0!</v>
      </c>
      <c r="AT38" s="71" t="e">
        <f t="shared" si="77"/>
        <v>#DIV/0!</v>
      </c>
      <c r="AU38" s="71" t="e">
        <f t="shared" si="77"/>
        <v>#DIV/0!</v>
      </c>
      <c r="AV38" s="71" t="e">
        <f t="shared" si="77"/>
        <v>#DIV/0!</v>
      </c>
      <c r="AW38" s="71" t="e">
        <f t="shared" si="77"/>
        <v>#DIV/0!</v>
      </c>
      <c r="AX38" s="71" t="e">
        <f t="shared" si="77"/>
        <v>#DIV/0!</v>
      </c>
      <c r="AY38" s="71" t="e">
        <f t="shared" si="77"/>
        <v>#DIV/0!</v>
      </c>
      <c r="AZ38" s="71" t="e">
        <f t="shared" si="77"/>
        <v>#DIV/0!</v>
      </c>
      <c r="BA38" s="71" t="e">
        <f t="shared" si="77"/>
        <v>#DIV/0!</v>
      </c>
      <c r="BB38" s="71" t="e">
        <f t="shared" si="77"/>
        <v>#DIV/0!</v>
      </c>
      <c r="BC38" s="71" t="e">
        <f t="shared" si="77"/>
        <v>#DIV/0!</v>
      </c>
      <c r="BD38" s="71" t="e">
        <f t="shared" si="77"/>
        <v>#DIV/0!</v>
      </c>
      <c r="BE38" s="71" t="e">
        <f t="shared" si="77"/>
        <v>#DIV/0!</v>
      </c>
      <c r="BF38" s="71" t="e">
        <f t="shared" si="77"/>
        <v>#DIV/0!</v>
      </c>
      <c r="BG38" s="71" t="e">
        <f t="shared" si="77"/>
        <v>#DIV/0!</v>
      </c>
      <c r="BH38" s="71" t="e">
        <f t="shared" si="77"/>
        <v>#DIV/0!</v>
      </c>
      <c r="BI38" s="71" t="e">
        <f t="shared" si="77"/>
        <v>#DIV/0!</v>
      </c>
      <c r="BJ38" s="71" t="e">
        <f t="shared" si="77"/>
        <v>#DIV/0!</v>
      </c>
      <c r="BK38" s="71" t="e">
        <f t="shared" si="77"/>
        <v>#DIV/0!</v>
      </c>
      <c r="BL38" s="71" t="e">
        <f t="shared" si="77"/>
        <v>#DIV/0!</v>
      </c>
      <c r="BM38" s="71" t="e">
        <f t="shared" si="77"/>
        <v>#DIV/0!</v>
      </c>
      <c r="BN38" s="71" t="e">
        <f t="shared" si="77"/>
        <v>#DIV/0!</v>
      </c>
      <c r="BO38" s="71" t="e">
        <f t="shared" si="77"/>
        <v>#DIV/0!</v>
      </c>
      <c r="BP38" s="71" t="e">
        <f t="shared" si="77"/>
        <v>#DIV/0!</v>
      </c>
      <c r="BQ38" s="93" t="s">
        <v>9</v>
      </c>
      <c r="BR38" s="66">
        <f t="shared" ref="BR38:DK38" si="78">AVERAGEIF($E$5:$E$27,$E38,BR$5:BR$27)</f>
        <v>0.77057126832027967</v>
      </c>
      <c r="BS38" s="66">
        <f t="shared" si="78"/>
        <v>1.0225683426547438</v>
      </c>
      <c r="BT38" s="66">
        <f t="shared" si="78"/>
        <v>1</v>
      </c>
      <c r="BU38" s="66">
        <f t="shared" si="78"/>
        <v>1.2158632493544625</v>
      </c>
      <c r="BV38" s="66">
        <f t="shared" si="78"/>
        <v>1.5084642490718871</v>
      </c>
      <c r="BW38" s="66">
        <f t="shared" si="78"/>
        <v>1.9782084375014732</v>
      </c>
      <c r="BX38" s="66">
        <f t="shared" si="78"/>
        <v>2.4819926347447789</v>
      </c>
      <c r="BY38" s="66">
        <f t="shared" si="78"/>
        <v>3.7274400519980135</v>
      </c>
      <c r="BZ38" s="66">
        <f t="shared" si="78"/>
        <v>5.2034319013512818</v>
      </c>
      <c r="CA38" s="66">
        <f t="shared" si="78"/>
        <v>7.3680615375954446</v>
      </c>
      <c r="CB38" s="66">
        <f t="shared" si="78"/>
        <v>9.0443389823738958</v>
      </c>
      <c r="CC38" s="66">
        <f t="shared" si="78"/>
        <v>11.957868355509211</v>
      </c>
      <c r="CD38" s="66">
        <f t="shared" si="78"/>
        <v>15.553190207781551</v>
      </c>
      <c r="CE38" s="66">
        <f t="shared" si="78"/>
        <v>11.10359326106529</v>
      </c>
      <c r="CF38" s="66">
        <f t="shared" si="78"/>
        <v>8.7418082438998095</v>
      </c>
      <c r="CG38" s="66">
        <f t="shared" si="78"/>
        <v>11.714061992117912</v>
      </c>
      <c r="CH38" s="66">
        <f t="shared" si="78"/>
        <v>8.5806451612903238</v>
      </c>
      <c r="CI38" s="66">
        <f t="shared" si="78"/>
        <v>9.9077526850830768</v>
      </c>
      <c r="CJ38" s="66">
        <f t="shared" si="78"/>
        <v>11.401896006894567</v>
      </c>
      <c r="CK38" s="66">
        <f t="shared" si="78"/>
        <v>13.478106958512106</v>
      </c>
      <c r="CL38" s="66">
        <f t="shared" si="78"/>
        <v>13.277691801577227</v>
      </c>
      <c r="CM38" s="66">
        <f t="shared" si="78"/>
        <v>19.590366135055739</v>
      </c>
      <c r="CN38" s="66" t="e">
        <f t="shared" si="78"/>
        <v>#DIV/0!</v>
      </c>
      <c r="CO38" s="66" t="e">
        <f t="shared" si="78"/>
        <v>#DIV/0!</v>
      </c>
      <c r="CP38" s="66" t="e">
        <f t="shared" si="78"/>
        <v>#DIV/0!</v>
      </c>
      <c r="CQ38" s="66" t="e">
        <f t="shared" si="78"/>
        <v>#DIV/0!</v>
      </c>
      <c r="CR38" s="66" t="e">
        <f t="shared" si="78"/>
        <v>#DIV/0!</v>
      </c>
      <c r="CS38" s="66" t="e">
        <f t="shared" si="78"/>
        <v>#DIV/0!</v>
      </c>
      <c r="CT38" s="66" t="e">
        <f t="shared" si="78"/>
        <v>#DIV/0!</v>
      </c>
      <c r="CU38" s="66" t="e">
        <f t="shared" si="78"/>
        <v>#DIV/0!</v>
      </c>
      <c r="CV38" s="66" t="e">
        <f t="shared" si="78"/>
        <v>#DIV/0!</v>
      </c>
      <c r="CW38" s="66" t="e">
        <f t="shared" si="78"/>
        <v>#DIV/0!</v>
      </c>
      <c r="CX38" s="66" t="e">
        <f t="shared" si="78"/>
        <v>#DIV/0!</v>
      </c>
      <c r="CY38" s="66" t="e">
        <f t="shared" si="78"/>
        <v>#DIV/0!</v>
      </c>
      <c r="CZ38" s="66" t="e">
        <f t="shared" si="78"/>
        <v>#DIV/0!</v>
      </c>
      <c r="DA38" s="66" t="e">
        <f t="shared" si="78"/>
        <v>#DIV/0!</v>
      </c>
      <c r="DB38" s="66" t="e">
        <f t="shared" si="78"/>
        <v>#DIV/0!</v>
      </c>
      <c r="DC38" s="66" t="e">
        <f t="shared" si="78"/>
        <v>#DIV/0!</v>
      </c>
      <c r="DD38" s="66" t="e">
        <f t="shared" si="78"/>
        <v>#DIV/0!</v>
      </c>
      <c r="DE38" s="66" t="e">
        <f t="shared" si="78"/>
        <v>#DIV/0!</v>
      </c>
      <c r="DF38" s="66" t="e">
        <f t="shared" si="78"/>
        <v>#DIV/0!</v>
      </c>
      <c r="DG38" s="66" t="e">
        <f t="shared" si="78"/>
        <v>#DIV/0!</v>
      </c>
      <c r="DH38" s="66" t="e">
        <f t="shared" si="78"/>
        <v>#DIV/0!</v>
      </c>
      <c r="DI38" s="66" t="e">
        <f t="shared" si="78"/>
        <v>#DIV/0!</v>
      </c>
      <c r="DJ38" s="66" t="e">
        <f t="shared" si="78"/>
        <v>#DIV/0!</v>
      </c>
      <c r="DK38" s="66" t="e">
        <f t="shared" si="78"/>
        <v>#DIV/0!</v>
      </c>
      <c r="DL38" s="165" t="e">
        <f>#REF!</f>
        <v>#REF!</v>
      </c>
      <c r="DM38" s="165" t="e">
        <f>#REF!</f>
        <v>#REF!</v>
      </c>
      <c r="DN38" s="165" t="e">
        <f>#REF!</f>
        <v>#REF!</v>
      </c>
      <c r="DO38" s="165" t="e">
        <f>#REF!</f>
        <v>#REF!</v>
      </c>
      <c r="DP38" s="150" t="e">
        <f>#REF!</f>
        <v>#REF!</v>
      </c>
    </row>
    <row r="39" spans="1:120" ht="14.25" customHeight="1">
      <c r="A39" s="103"/>
      <c r="E39" s="83"/>
      <c r="I39" s="83"/>
      <c r="J39" s="97">
        <f t="array" ref="J39">_xlfn.STDEV.P(IF($E$5:$E$27=$E38,J$5:J$27))</f>
        <v>2.8861046412075906</v>
      </c>
      <c r="K39" s="97"/>
      <c r="L39" s="97"/>
      <c r="M39" s="97">
        <f t="array" ref="M39">_xlfn.STDEV.P(IF($E$5:$E$27=$E38,M$5:M$27))</f>
        <v>21.032818762342185</v>
      </c>
      <c r="N39" s="97">
        <f t="array" ref="N39">_xlfn.STDEV.P(IF($E$5:$E$27=$E38,N$5:N$27))</f>
        <v>210.3281876234231</v>
      </c>
      <c r="O39" s="97">
        <f t="array" ref="O39">_xlfn.STDEV.P(IF($E$5:$E$27=$E38,O$5:O$27))</f>
        <v>7.0109395874474272</v>
      </c>
      <c r="P39" s="97">
        <f t="array" ref="P39">_xlfn.STDEV.P(IF($E$5:$E$27=$E38,P$5:P$27))</f>
        <v>0</v>
      </c>
      <c r="Q39" s="97">
        <f t="array" ref="Q39">_xlfn.STDEV.P(IF($E$5:$E$27=$E38,Q$5:Q$27))</f>
        <v>0</v>
      </c>
      <c r="R39" s="97">
        <f t="array" ref="R39">_xlfn.STDEV.P(IF($E$5:$E$27=$E38,R$5:R$27))</f>
        <v>0</v>
      </c>
      <c r="S39" s="228"/>
      <c r="T39" s="228">
        <f t="array" ref="T39">_xlfn.STDEV.P(IF($E$5:$E$27=$E38,T$5:T$27))</f>
        <v>0</v>
      </c>
      <c r="U39" s="97">
        <f t="array" ref="U39">_xlfn.STDEV.P(IF($E$5:$E$27=$E38,U$5:U$27))</f>
        <v>0</v>
      </c>
      <c r="V39" s="65" t="s">
        <v>11</v>
      </c>
      <c r="W39" s="74">
        <f t="array" ref="W39">_xlfn.STDEV.P(IF($E$5:$E$27=$E38,W$5:W$27))</f>
        <v>24.564401191546754</v>
      </c>
      <c r="X39" s="74">
        <f t="array" ref="X39">_xlfn.STDEV.P(IF($E$5:$E$27=$E38,X$5:X$27))</f>
        <v>18.213906774769566</v>
      </c>
      <c r="Y39" s="74">
        <f t="array" ref="Y39">_xlfn.STDEV.P(IF($E$5:$E$27=$E38,Y$5:Y$27))</f>
        <v>21.032818762342185</v>
      </c>
      <c r="Z39" s="74">
        <f t="array" ref="Z39">_xlfn.STDEV.P(IF($E$5:$E$27=$E38,Z$5:Z$27))</f>
        <v>51.474612323731023</v>
      </c>
      <c r="AA39" s="74">
        <f t="array" ref="AA39">_xlfn.STDEV.P(IF($E$5:$E$27=$E38,AA$5:AA$27))</f>
        <v>44.96772696332404</v>
      </c>
      <c r="AB39" s="74">
        <f t="array" ref="AB39">_xlfn.STDEV.P(IF($E$5:$E$27=$E38,AB$5:AB$27))</f>
        <v>69.638870234505561</v>
      </c>
      <c r="AC39" s="74">
        <f t="array" ref="AC39">_xlfn.STDEV.P(IF($E$5:$E$27=$E38,AC$5:AC$27))</f>
        <v>40.275165595527987</v>
      </c>
      <c r="AD39" s="74">
        <f t="array" ref="AD39">_xlfn.STDEV.P(IF($E$5:$E$27=$E38,AD$5:AD$27))</f>
        <v>119.5551476467929</v>
      </c>
      <c r="AE39" s="74">
        <f t="array" ref="AE39">_xlfn.STDEV.P(IF($E$5:$E$27=$E38,AE$5:AE$27))</f>
        <v>121.36262999653195</v>
      </c>
      <c r="AF39" s="74">
        <f t="array" ref="AF39">_xlfn.STDEV.P(IF($E$5:$E$27=$E38,AF$5:AF$27))</f>
        <v>238.76439081197987</v>
      </c>
      <c r="AG39" s="74">
        <f t="array" ref="AG39">_xlfn.STDEV.P(IF($E$5:$E$27=$E38,AG$5:AG$27))</f>
        <v>243.8252471885213</v>
      </c>
      <c r="AH39" s="74">
        <f t="array" ref="AH39">_xlfn.STDEV.P(IF($E$5:$E$27=$E38,AH$5:AH$27))</f>
        <v>318.06564336416</v>
      </c>
      <c r="AI39" s="74">
        <f t="array" ref="AI39">_xlfn.STDEV.P(IF($E$5:$E$27=$E38,AI$5:AI$27))</f>
        <v>531.00464697969812</v>
      </c>
      <c r="AJ39" s="74">
        <f t="array" ref="AJ39">_xlfn.STDEV.P(IF($E$5:$E$27=$E38,AJ$5:AJ$27))</f>
        <v>710.92652160481657</v>
      </c>
      <c r="AK39" s="74">
        <f t="array" ref="AK39">_xlfn.STDEV.P(IF($E$5:$E$27=$E38,AK$5:AK$27))</f>
        <v>601.24177853789467</v>
      </c>
      <c r="AL39" s="74">
        <f t="array" ref="AL39">_xlfn.STDEV.P(IF($E$5:$E$27=$E38,AL$5:AL$27))</f>
        <v>904.9120815672735</v>
      </c>
      <c r="AM39" s="74">
        <f t="array" ref="AM39">_xlfn.STDEV.P(IF($E$5:$E$27=$E38,AM$5:AM$27))</f>
        <v>385.19353600000011</v>
      </c>
      <c r="AN39" s="74">
        <f t="array" ref="AN39">_xlfn.STDEV.P(IF($E$5:$E$27=$E38,AN$5:AN$27))</f>
        <v>444.768688</v>
      </c>
      <c r="AO39" s="74">
        <f t="array" ref="AO39">_xlfn.STDEV.P(IF($E$5:$E$27=$E38,AO$5:AO$27))</f>
        <v>511.84223999999995</v>
      </c>
      <c r="AP39" s="74">
        <f t="array" ref="AP39">_xlfn.STDEV.P(IF($E$5:$E$27=$E38,AP$5:AP$27))</f>
        <v>605.04537600000003</v>
      </c>
      <c r="AQ39" s="74">
        <f t="array" ref="AQ39">_xlfn.STDEV.P(IF($E$5:$E$27=$E38,AQ$5:AQ$27))</f>
        <v>596.04854400000022</v>
      </c>
      <c r="AR39" s="74">
        <f t="array" ref="AR39">_xlfn.STDEV.P(IF($E$5:$E$27=$E38,AR$5:AR$27))</f>
        <v>879.43065600000011</v>
      </c>
      <c r="AS39" s="74">
        <f t="array" ref="AS39">_xlfn.STDEV.P(IF($E$5:$E$27=$E38,AS$5:AS$27))</f>
        <v>0</v>
      </c>
      <c r="AT39" s="74">
        <f t="array" ref="AT39">_xlfn.STDEV.P(IF($E$5:$E$27=$E38,AT$5:AT$27))</f>
        <v>0</v>
      </c>
      <c r="AU39" s="74">
        <f t="array" ref="AU39">_xlfn.STDEV.P(IF($E$5:$E$27=$E38,AU$5:AU$27))</f>
        <v>0</v>
      </c>
      <c r="AV39" s="74">
        <f t="array" ref="AV39">_xlfn.STDEV.P(IF($E$5:$E$27=$E38,AV$5:AV$27))</f>
        <v>0</v>
      </c>
      <c r="AW39" s="74">
        <f t="array" ref="AW39">_xlfn.STDEV.P(IF($E$5:$E$27=$E38,AW$5:AW$27))</f>
        <v>0</v>
      </c>
      <c r="AX39" s="74">
        <f t="array" ref="AX39">_xlfn.STDEV.P(IF($E$5:$E$27=$E38,AX$5:AX$27))</f>
        <v>0</v>
      </c>
      <c r="AY39" s="74">
        <f t="array" ref="AY39">_xlfn.STDEV.P(IF($E$5:$E$27=$E38,AY$5:AY$27))</f>
        <v>0</v>
      </c>
      <c r="AZ39" s="74">
        <f t="array" ref="AZ39">_xlfn.STDEV.P(IF($E$5:$E$27=$E38,AZ$5:AZ$27))</f>
        <v>0</v>
      </c>
      <c r="BA39" s="74">
        <f t="array" ref="BA39">_xlfn.STDEV.P(IF($E$5:$E$27=$E38,BA$5:BA$27))</f>
        <v>0</v>
      </c>
      <c r="BB39" s="74">
        <f t="array" ref="BB39">_xlfn.STDEV.P(IF($E$5:$E$27=$E38,BB$5:BB$27))</f>
        <v>0</v>
      </c>
      <c r="BC39" s="74">
        <f t="array" ref="BC39">_xlfn.STDEV.P(IF($E$5:$E$27=$E38,BC$5:BC$27))</f>
        <v>0</v>
      </c>
      <c r="BD39" s="74">
        <f t="array" ref="BD39">_xlfn.STDEV.P(IF($E$5:$E$27=$E38,BD$5:BD$27))</f>
        <v>0</v>
      </c>
      <c r="BE39" s="74">
        <f t="array" ref="BE39">_xlfn.STDEV.P(IF($E$5:$E$27=$E38,BE$5:BE$27))</f>
        <v>0</v>
      </c>
      <c r="BF39" s="74">
        <f t="array" ref="BF39">_xlfn.STDEV.P(IF($E$5:$E$27=$E38,BF$5:BF$27))</f>
        <v>0</v>
      </c>
      <c r="BG39" s="74">
        <f t="array" ref="BG39">_xlfn.STDEV.P(IF($E$5:$E$27=$E38,BG$5:BG$27))</f>
        <v>0</v>
      </c>
      <c r="BH39" s="74">
        <f t="array" ref="BH39">_xlfn.STDEV.P(IF($E$5:$E$27=$E38,BH$5:BH$27))</f>
        <v>0</v>
      </c>
      <c r="BI39" s="74">
        <f t="array" ref="BI39">_xlfn.STDEV.P(IF($E$5:$E$27=$E38,BI$5:BI$27))</f>
        <v>0</v>
      </c>
      <c r="BJ39" s="74">
        <f t="array" ref="BJ39">_xlfn.STDEV.P(IF($E$5:$E$27=$E38,BJ$5:BJ$27))</f>
        <v>0</v>
      </c>
      <c r="BK39" s="74">
        <f t="array" ref="BK39">_xlfn.STDEV.P(IF($E$5:$E$27=$E38,BK$5:BK$27))</f>
        <v>0</v>
      </c>
      <c r="BL39" s="74">
        <f t="array" ref="BL39">_xlfn.STDEV.P(IF($E$5:$E$27=$E38,BL$5:BL$27))</f>
        <v>0</v>
      </c>
      <c r="BM39" s="74">
        <f t="array" ref="BM39">_xlfn.STDEV.P(IF($E$5:$E$27=$E38,BM$5:BM$27))</f>
        <v>0</v>
      </c>
      <c r="BN39" s="74">
        <f t="array" ref="BN39">_xlfn.STDEV.P(IF($E$5:$E$27=$E38,BN$5:BN$27))</f>
        <v>0</v>
      </c>
      <c r="BO39" s="74">
        <f t="array" ref="BO39">_xlfn.STDEV.P(IF($E$5:$E$27=$E38,BO$5:BO$27))</f>
        <v>0</v>
      </c>
      <c r="BP39" s="74">
        <f t="array" ref="BP39">_xlfn.STDEV.P(IF($E$5:$E$27=$E38,BP$5:BP$27))</f>
        <v>0</v>
      </c>
      <c r="BQ39" s="94" t="s">
        <v>11</v>
      </c>
      <c r="BR39" s="67">
        <f t="array" ref="BR39">_xlfn.STDEV.P(IF($E$5:$E$27=$E38,BR$5:BR$27))</f>
        <v>0.20719400300454857</v>
      </c>
      <c r="BS39" s="67">
        <f t="array" ref="BS39">_xlfn.STDEV.P(IF($E$5:$E$27=$E38,BS$5:BS$27))</f>
        <v>0.11631368249846083</v>
      </c>
      <c r="BT39" s="67">
        <f t="array" ref="BT39">_xlfn.STDEV.P(IF($E$5:$E$27=$E38,BT$5:BT$27))</f>
        <v>0</v>
      </c>
      <c r="BU39" s="67">
        <f t="array" ref="BU39">_xlfn.STDEV.P(IF($E$5:$E$27=$E38,BU$5:BU$27))</f>
        <v>0.47207894527534539</v>
      </c>
      <c r="BV39" s="67">
        <f t="array" ref="BV39">_xlfn.STDEV.P(IF($E$5:$E$27=$E38,BV$5:BV$27))</f>
        <v>0.5034314589549217</v>
      </c>
      <c r="BW39" s="67">
        <f t="array" ref="BW39">_xlfn.STDEV.P(IF($E$5:$E$27=$E38,BW$5:BW$27))</f>
        <v>0.53603071970485616</v>
      </c>
      <c r="BX39" s="67">
        <f t="array" ref="BX39">_xlfn.STDEV.P(IF($E$5:$E$27=$E38,BX$5:BX$27))</f>
        <v>0.60242238625506617</v>
      </c>
      <c r="BY39" s="67">
        <f t="array" ref="BY39">_xlfn.STDEV.P(IF($E$5:$E$27=$E38,BY$5:BY$27))</f>
        <v>1.545875723089486</v>
      </c>
      <c r="BZ39" s="67">
        <f t="array" ref="BZ39">_xlfn.STDEV.P(IF($E$5:$E$27=$E38,BZ$5:BZ$27))</f>
        <v>2.0735036509892968</v>
      </c>
      <c r="CA39" s="67">
        <f t="array" ref="CA39">_xlfn.STDEV.P(IF($E$5:$E$27=$E38,CA$5:CA$27))</f>
        <v>3.0395446435578304</v>
      </c>
      <c r="CB39" s="67">
        <f t="array" ref="CB39">_xlfn.STDEV.P(IF($E$5:$E$27=$E38,CB$5:CB$27))</f>
        <v>3.3506295018215906</v>
      </c>
      <c r="CC39" s="67">
        <f t="array" ref="CC39">_xlfn.STDEV.P(IF($E$5:$E$27=$E38,CC$5:CC$27))</f>
        <v>4.9397085267241563</v>
      </c>
      <c r="CD39" s="67">
        <f t="array" ref="CD39">_xlfn.STDEV.P(IF($E$5:$E$27=$E38,CD$5:CD$27))</f>
        <v>8.1716711415978693</v>
      </c>
      <c r="CE39" s="67">
        <f t="array" ref="CE39">_xlfn.STDEV.P(IF($E$5:$E$27=$E38,CE$5:CE$27))</f>
        <v>4.6103420061784499</v>
      </c>
      <c r="CF39" s="67">
        <f t="array" ref="CF39">_xlfn.STDEV.P(IF($E$5:$E$27=$E38,CF$5:CF$27))</f>
        <v>2.1265790272305165</v>
      </c>
      <c r="CG39" s="67">
        <f t="array" ref="CG39">_xlfn.STDEV.P(IF($E$5:$E$27=$E38,CG$5:CG$27))</f>
        <v>5.1097862463644672</v>
      </c>
      <c r="CH39" s="67">
        <f t="array" ref="CH39">_xlfn.STDEV.P(IF($E$5:$E$27=$E38,CH$5:CH$27))</f>
        <v>0</v>
      </c>
      <c r="CI39" s="67">
        <f t="array" ref="CI39">_xlfn.STDEV.P(IF($E$5:$E$27=$E38,CI$5:CI$27))</f>
        <v>0</v>
      </c>
      <c r="CJ39" s="67">
        <f t="array" ref="CJ39">_xlfn.STDEV.P(IF($E$5:$E$27=$E38,CJ$5:CJ$27))</f>
        <v>0</v>
      </c>
      <c r="CK39" s="67">
        <f t="array" ref="CK39">_xlfn.STDEV.P(IF($E$5:$E$27=$E38,CK$5:CK$27))</f>
        <v>0</v>
      </c>
      <c r="CL39" s="67">
        <f t="array" ref="CL39">_xlfn.STDEV.P(IF($E$5:$E$27=$E38,CL$5:CL$27))</f>
        <v>0</v>
      </c>
      <c r="CM39" s="67">
        <f t="array" ref="CM39">_xlfn.STDEV.P(IF($E$5:$E$27=$E38,CM$5:CM$27))</f>
        <v>0</v>
      </c>
      <c r="CN39" s="67" t="e">
        <f t="array" ref="CN39">_xlfn.STDEV.P(IF($E$5:$E$27=$E38,CN$5:CN$27))</f>
        <v>#DIV/0!</v>
      </c>
      <c r="CO39" s="67" t="e">
        <f t="array" ref="CO39">_xlfn.STDEV.P(IF($E$5:$E$27=$E38,CO$5:CO$27))</f>
        <v>#DIV/0!</v>
      </c>
      <c r="CP39" s="67" t="e">
        <f t="array" ref="CP39">_xlfn.STDEV.P(IF($E$5:$E$27=$E38,CP$5:CP$27))</f>
        <v>#DIV/0!</v>
      </c>
      <c r="CQ39" s="67" t="e">
        <f t="array" ref="CQ39">_xlfn.STDEV.P(IF($E$5:$E$27=$E38,CQ$5:CQ$27))</f>
        <v>#DIV/0!</v>
      </c>
      <c r="CR39" s="67" t="e">
        <f t="array" ref="CR39">_xlfn.STDEV.P(IF($E$5:$E$27=$E38,CR$5:CR$27))</f>
        <v>#DIV/0!</v>
      </c>
      <c r="CS39" s="67" t="e">
        <f t="array" ref="CS39">_xlfn.STDEV.P(IF($E$5:$E$27=$E38,CS$5:CS$27))</f>
        <v>#DIV/0!</v>
      </c>
      <c r="CT39" s="67" t="e">
        <f t="array" ref="CT39">_xlfn.STDEV.P(IF($E$5:$E$27=$E38,CT$5:CT$27))</f>
        <v>#DIV/0!</v>
      </c>
      <c r="CU39" s="67" t="e">
        <f t="array" ref="CU39">_xlfn.STDEV.P(IF($E$5:$E$27=$E38,CU$5:CU$27))</f>
        <v>#DIV/0!</v>
      </c>
      <c r="CV39" s="67" t="e">
        <f t="array" ref="CV39">_xlfn.STDEV.P(IF($E$5:$E$27=$E38,CV$5:CV$27))</f>
        <v>#DIV/0!</v>
      </c>
      <c r="CW39" s="67" t="e">
        <f t="array" ref="CW39">_xlfn.STDEV.P(IF($E$5:$E$27=$E38,CW$5:CW$27))</f>
        <v>#DIV/0!</v>
      </c>
      <c r="CX39" s="67" t="e">
        <f t="array" ref="CX39">_xlfn.STDEV.P(IF($E$5:$E$27=$E38,CX$5:CX$27))</f>
        <v>#DIV/0!</v>
      </c>
      <c r="CY39" s="67" t="e">
        <f t="array" ref="CY39">_xlfn.STDEV.P(IF($E$5:$E$27=$E38,CY$5:CY$27))</f>
        <v>#DIV/0!</v>
      </c>
      <c r="CZ39" s="67" t="e">
        <f t="array" ref="CZ39">_xlfn.STDEV.P(IF($E$5:$E$27=$E38,CZ$5:CZ$27))</f>
        <v>#DIV/0!</v>
      </c>
      <c r="DA39" s="67" t="e">
        <f t="array" ref="DA39">_xlfn.STDEV.P(IF($E$5:$E$27=$E38,DA$5:DA$27))</f>
        <v>#DIV/0!</v>
      </c>
      <c r="DB39" s="67" t="e">
        <f t="array" ref="DB39">_xlfn.STDEV.P(IF($E$5:$E$27=$E38,DB$5:DB$27))</f>
        <v>#DIV/0!</v>
      </c>
      <c r="DC39" s="67" t="e">
        <f t="array" ref="DC39">_xlfn.STDEV.P(IF($E$5:$E$27=$E38,DC$5:DC$27))</f>
        <v>#DIV/0!</v>
      </c>
      <c r="DD39" s="67" t="e">
        <f t="array" ref="DD39">_xlfn.STDEV.P(IF($E$5:$E$27=$E38,DD$5:DD$27))</f>
        <v>#DIV/0!</v>
      </c>
      <c r="DE39" s="67" t="e">
        <f t="array" ref="DE39">_xlfn.STDEV.P(IF($E$5:$E$27=$E38,DE$5:DE$27))</f>
        <v>#DIV/0!</v>
      </c>
      <c r="DF39" s="67" t="e">
        <f t="array" ref="DF39">_xlfn.STDEV.P(IF($E$5:$E$27=$E38,DF$5:DF$27))</f>
        <v>#DIV/0!</v>
      </c>
      <c r="DG39" s="67" t="e">
        <f t="array" ref="DG39">_xlfn.STDEV.P(IF($E$5:$E$27=$E38,DG$5:DG$27))</f>
        <v>#DIV/0!</v>
      </c>
      <c r="DH39" s="67" t="e">
        <f t="array" ref="DH39">_xlfn.STDEV.P(IF($E$5:$E$27=$E38,DH$5:DH$27))</f>
        <v>#DIV/0!</v>
      </c>
      <c r="DI39" s="67" t="e">
        <f t="array" ref="DI39">_xlfn.STDEV.P(IF($E$5:$E$27=$E38,DI$5:DI$27))</f>
        <v>#DIV/0!</v>
      </c>
      <c r="DJ39" s="67" t="e">
        <f t="array" ref="DJ39">_xlfn.STDEV.P(IF($E$5:$E$27=$E38,DJ$5:DJ$27))</f>
        <v>#DIV/0!</v>
      </c>
      <c r="DK39" s="67" t="e">
        <f t="array" ref="DK39">_xlfn.STDEV.P(IF($E$5:$E$27=$E38,DK$5:DK$27))</f>
        <v>#DIV/0!</v>
      </c>
      <c r="DL39" s="165" t="e">
        <f>#REF!</f>
        <v>#REF!</v>
      </c>
      <c r="DM39" s="165" t="e">
        <f>#REF!</f>
        <v>#REF!</v>
      </c>
      <c r="DN39" s="165" t="e">
        <f>#REF!</f>
        <v>#REF!</v>
      </c>
      <c r="DO39" s="165" t="e">
        <f>#REF!</f>
        <v>#REF!</v>
      </c>
      <c r="DP39" s="150" t="e">
        <f>#REF!</f>
        <v>#REF!</v>
      </c>
    </row>
    <row r="40" spans="1:120" ht="15">
      <c r="A40" s="103"/>
      <c r="E40" s="45"/>
      <c r="I40" s="45"/>
      <c r="K40" s="50"/>
      <c r="L40" s="50"/>
      <c r="P40" s="50"/>
      <c r="Q40" s="50"/>
      <c r="R40" s="50"/>
      <c r="S40" s="227"/>
      <c r="T40" s="227"/>
      <c r="U40" s="50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DF40" s="37"/>
      <c r="DG40" s="37"/>
      <c r="DH40" s="37"/>
      <c r="DI40" s="37"/>
      <c r="DJ40" s="37"/>
      <c r="DK40" s="37"/>
      <c r="DL40" s="165"/>
      <c r="DM40" s="165"/>
      <c r="DN40" s="165"/>
      <c r="DO40" s="165"/>
    </row>
    <row r="41" spans="1:120" ht="14.25" customHeight="1">
      <c r="A41" s="103"/>
      <c r="E41" s="108" t="str">
        <f>'NAB_PTX Groups'!C9</f>
        <v>BxPc3 - Abraxane Combo</v>
      </c>
      <c r="I41" s="108" t="str">
        <f>E41</f>
        <v>BxPc3 - Abraxane Combo</v>
      </c>
      <c r="J41" s="97">
        <f>AVERAGEIF($E$5:$E$27,$E41,J$5:J$27)</f>
        <v>28.316666666666666</v>
      </c>
      <c r="K41" s="97"/>
      <c r="L41" s="97"/>
      <c r="M41" s="97">
        <f t="shared" ref="M41:R41" si="79">AVERAGEIF($E$5:$E$27,$E41,M$5:M$27)</f>
        <v>122.29082666666669</v>
      </c>
      <c r="N41" s="97">
        <f t="shared" si="79"/>
        <v>1222.908266666667</v>
      </c>
      <c r="O41" s="97">
        <f t="shared" si="79"/>
        <v>40.763608888888896</v>
      </c>
      <c r="P41" s="97">
        <f t="shared" si="79"/>
        <v>1162.8333333333333</v>
      </c>
      <c r="Q41" s="97">
        <f t="shared" si="79"/>
        <v>9.4304922352930998</v>
      </c>
      <c r="R41" s="97">
        <f t="shared" si="79"/>
        <v>0.94304922352930964</v>
      </c>
      <c r="S41" s="228"/>
      <c r="T41" s="228">
        <f>AVERAGEIF($E$5:$E$27,$E41,T$5:T$27)</f>
        <v>70</v>
      </c>
      <c r="U41" s="97" t="e">
        <f>AVERAGEIF($E$5:$E$27,$E41,U$5:U$27)</f>
        <v>#DIV/0!</v>
      </c>
      <c r="V41" s="65" t="s">
        <v>9</v>
      </c>
      <c r="W41" s="71">
        <f t="shared" ref="W41:BP41" si="80">AVERAGEIF($E$5:$E$27,$E41,W$5:W$27)</f>
        <v>96.105273333333329</v>
      </c>
      <c r="X41" s="71">
        <f t="shared" si="80"/>
        <v>103.05</v>
      </c>
      <c r="Y41" s="71">
        <f t="shared" si="80"/>
        <v>122.29082666666669</v>
      </c>
      <c r="Z41" s="71">
        <f t="shared" si="80"/>
        <v>193.8347666666667</v>
      </c>
      <c r="AA41" s="71">
        <f t="shared" si="80"/>
        <v>193.18286000000003</v>
      </c>
      <c r="AB41" s="71">
        <f t="shared" si="80"/>
        <v>175.41628</v>
      </c>
      <c r="AC41" s="71">
        <f t="shared" si="80"/>
        <v>141.0072733333333</v>
      </c>
      <c r="AD41" s="71">
        <f t="shared" si="80"/>
        <v>138.72724666666667</v>
      </c>
      <c r="AE41" s="71">
        <f t="shared" si="80"/>
        <v>114.37798666666667</v>
      </c>
      <c r="AF41" s="71">
        <f t="shared" si="80"/>
        <v>95.863906666666651</v>
      </c>
      <c r="AG41" s="71">
        <f t="shared" si="80"/>
        <v>145.0000933333333</v>
      </c>
      <c r="AH41" s="71">
        <f t="shared" si="80"/>
        <v>128.22844666666666</v>
      </c>
      <c r="AI41" s="71">
        <f t="shared" si="80"/>
        <v>144.87018</v>
      </c>
      <c r="AJ41" s="71">
        <f t="shared" si="80"/>
        <v>121.59602</v>
      </c>
      <c r="AK41" s="71">
        <f t="shared" si="80"/>
        <v>89.675473333333343</v>
      </c>
      <c r="AL41" s="71">
        <f t="shared" si="80"/>
        <v>181.35736666666665</v>
      </c>
      <c r="AM41" s="71">
        <f t="shared" si="80"/>
        <v>230.3315733333333</v>
      </c>
      <c r="AN41" s="71">
        <f t="shared" si="80"/>
        <v>294.86236000000002</v>
      </c>
      <c r="AO41" s="71">
        <f t="shared" si="80"/>
        <v>324.59535333333332</v>
      </c>
      <c r="AP41" s="71">
        <f t="shared" si="80"/>
        <v>402.45382666666666</v>
      </c>
      <c r="AQ41" s="71">
        <f t="shared" si="80"/>
        <v>195.88576799999998</v>
      </c>
      <c r="AR41" s="71">
        <f t="shared" si="80"/>
        <v>257.81371200000001</v>
      </c>
      <c r="AS41" s="71">
        <f t="shared" si="80"/>
        <v>304.50908799999996</v>
      </c>
      <c r="AT41" s="71">
        <f t="shared" si="80"/>
        <v>427.28420800000004</v>
      </c>
      <c r="AU41" s="71">
        <f t="shared" si="80"/>
        <v>493.20897600000001</v>
      </c>
      <c r="AV41" s="71">
        <f t="shared" si="80"/>
        <v>639.58866399999999</v>
      </c>
      <c r="AW41" s="71">
        <f t="shared" si="80"/>
        <v>248.25319999999999</v>
      </c>
      <c r="AX41" s="71">
        <f t="shared" si="80"/>
        <v>225.63645000000002</v>
      </c>
      <c r="AY41" s="71">
        <f t="shared" si="80"/>
        <v>323.25812999999999</v>
      </c>
      <c r="AZ41" s="71">
        <f t="shared" si="80"/>
        <v>253.74439999999998</v>
      </c>
      <c r="BA41" s="71">
        <f t="shared" si="80"/>
        <v>201.11415999999997</v>
      </c>
      <c r="BB41" s="71">
        <f t="shared" si="80"/>
        <v>302.91157000000004</v>
      </c>
      <c r="BC41" s="71">
        <f t="shared" si="80"/>
        <v>358.71446000000003</v>
      </c>
      <c r="BD41" s="71">
        <f t="shared" si="80"/>
        <v>378.93374999999992</v>
      </c>
      <c r="BE41" s="71">
        <f t="shared" si="80"/>
        <v>309.08540000000005</v>
      </c>
      <c r="BF41" s="71">
        <f t="shared" si="80"/>
        <v>483.94319999999999</v>
      </c>
      <c r="BG41" s="71">
        <f t="shared" si="80"/>
        <v>437.41256000000004</v>
      </c>
      <c r="BH41" s="71">
        <f t="shared" si="80"/>
        <v>487.49453999999992</v>
      </c>
      <c r="BI41" s="71">
        <f t="shared" si="80"/>
        <v>504.32849999999996</v>
      </c>
      <c r="BJ41" s="71">
        <f t="shared" si="80"/>
        <v>537.03091000000006</v>
      </c>
      <c r="BK41" s="71">
        <f t="shared" si="80"/>
        <v>181.23178666666669</v>
      </c>
      <c r="BL41" s="71">
        <f t="shared" si="80"/>
        <v>134.48136</v>
      </c>
      <c r="BM41" s="71">
        <f t="shared" si="80"/>
        <v>123.39253333333333</v>
      </c>
      <c r="BN41" s="71">
        <f t="shared" si="80"/>
        <v>63.579186666666665</v>
      </c>
      <c r="BO41" s="71" t="e">
        <f t="shared" si="80"/>
        <v>#DIV/0!</v>
      </c>
      <c r="BP41" s="71" t="e">
        <f t="shared" si="80"/>
        <v>#DIV/0!</v>
      </c>
      <c r="BQ41" s="93" t="s">
        <v>9</v>
      </c>
      <c r="BR41" s="66">
        <f t="shared" ref="BR41:DK41" si="81">AVERAGEIF($E$5:$E$27,$E41,BR$5:BR$27)</f>
        <v>0.79088972553869663</v>
      </c>
      <c r="BS41" s="66">
        <f t="shared" si="81"/>
        <v>0.83142172313341967</v>
      </c>
      <c r="BT41" s="66">
        <f t="shared" si="81"/>
        <v>1</v>
      </c>
      <c r="BU41" s="66">
        <f t="shared" si="81"/>
        <v>1.6307027325457251</v>
      </c>
      <c r="BV41" s="66">
        <f t="shared" si="81"/>
        <v>1.6753123862337997</v>
      </c>
      <c r="BW41" s="66">
        <f t="shared" si="81"/>
        <v>1.5416613174738885</v>
      </c>
      <c r="BX41" s="66">
        <f t="shared" si="81"/>
        <v>1.2795994142711977</v>
      </c>
      <c r="BY41" s="66">
        <f t="shared" si="81"/>
        <v>1.2519574507551072</v>
      </c>
      <c r="BZ41" s="66">
        <f t="shared" si="81"/>
        <v>1.1527485619252198</v>
      </c>
      <c r="CA41" s="66">
        <f t="shared" si="81"/>
        <v>1.0675577832894472</v>
      </c>
      <c r="CB41" s="66">
        <f t="shared" si="81"/>
        <v>1.4691663234620431</v>
      </c>
      <c r="CC41" s="66">
        <f t="shared" si="81"/>
        <v>1.3210007876447558</v>
      </c>
      <c r="CD41" s="66">
        <f t="shared" si="81"/>
        <v>1.5885716872903319</v>
      </c>
      <c r="CE41" s="66">
        <f t="shared" si="81"/>
        <v>1.3743644943523032</v>
      </c>
      <c r="CF41" s="66">
        <f t="shared" si="81"/>
        <v>1.0901182249520887</v>
      </c>
      <c r="CG41" s="66">
        <f t="shared" si="81"/>
        <v>2.0366173479743415</v>
      </c>
      <c r="CH41" s="66">
        <f t="shared" si="81"/>
        <v>2.533112974526412</v>
      </c>
      <c r="CI41" s="66">
        <f t="shared" si="81"/>
        <v>3.269820139278059</v>
      </c>
      <c r="CJ41" s="66">
        <f t="shared" si="81"/>
        <v>3.6412125573542853</v>
      </c>
      <c r="CK41" s="66">
        <f t="shared" si="81"/>
        <v>4.5000340632738531</v>
      </c>
      <c r="CL41" s="66">
        <f t="shared" si="81"/>
        <v>1.626199530719856</v>
      </c>
      <c r="CM41" s="66">
        <f t="shared" si="81"/>
        <v>2.1458818754436484</v>
      </c>
      <c r="CN41" s="66">
        <f t="shared" si="81"/>
        <v>2.5138239331204955</v>
      </c>
      <c r="CO41" s="66">
        <f t="shared" si="81"/>
        <v>3.5036542762618135</v>
      </c>
      <c r="CP41" s="66">
        <f t="shared" si="81"/>
        <v>4.0722839445162524</v>
      </c>
      <c r="CQ41" s="66">
        <f t="shared" si="81"/>
        <v>5.2735477770641612</v>
      </c>
      <c r="CR41" s="66">
        <f t="shared" si="81"/>
        <v>1.945676756463611</v>
      </c>
      <c r="CS41" s="66">
        <f t="shared" si="81"/>
        <v>1.7678241116751616</v>
      </c>
      <c r="CT41" s="66">
        <f t="shared" si="81"/>
        <v>2.5335607077248485</v>
      </c>
      <c r="CU41" s="66">
        <f t="shared" si="81"/>
        <v>1.9489217275533173</v>
      </c>
      <c r="CV41" s="66">
        <f t="shared" si="81"/>
        <v>1.5688189894350792</v>
      </c>
      <c r="CW41" s="66">
        <f t="shared" si="81"/>
        <v>2.3171132541329653</v>
      </c>
      <c r="CX41" s="66">
        <f t="shared" si="81"/>
        <v>2.71491714639801</v>
      </c>
      <c r="CY41" s="66">
        <f t="shared" si="81"/>
        <v>2.8608866145123253</v>
      </c>
      <c r="CZ41" s="66">
        <f t="shared" si="81"/>
        <v>2.309292361898887</v>
      </c>
      <c r="DA41" s="66">
        <f t="shared" si="81"/>
        <v>3.5871531927270515</v>
      </c>
      <c r="DB41" s="66">
        <f t="shared" si="81"/>
        <v>3.2487093134008638</v>
      </c>
      <c r="DC41" s="66">
        <f t="shared" si="81"/>
        <v>3.6068146261139233</v>
      </c>
      <c r="DD41" s="66">
        <f t="shared" si="81"/>
        <v>3.6511856486241503</v>
      </c>
      <c r="DE41" s="66">
        <f t="shared" si="81"/>
        <v>3.8795938907562095</v>
      </c>
      <c r="DF41" s="66">
        <f t="shared" si="81"/>
        <v>1.4610799107839292</v>
      </c>
      <c r="DG41" s="66">
        <f t="shared" si="81"/>
        <v>1.0834476823964461</v>
      </c>
      <c r="DH41" s="66">
        <f t="shared" si="81"/>
        <v>0.99735434346652785</v>
      </c>
      <c r="DI41" s="66">
        <f t="shared" si="81"/>
        <v>0.51149295121618055</v>
      </c>
      <c r="DJ41" s="66" t="e">
        <f t="shared" si="81"/>
        <v>#DIV/0!</v>
      </c>
      <c r="DK41" s="66" t="e">
        <f t="shared" si="81"/>
        <v>#DIV/0!</v>
      </c>
      <c r="DL41" s="166" t="e">
        <f t="shared" ref="DL41:DP41" si="82">SQRT(DL36*DL39-(DL35^2*DL38^2))</f>
        <v>#REF!</v>
      </c>
      <c r="DM41" s="166" t="e">
        <f t="shared" si="82"/>
        <v>#REF!</v>
      </c>
      <c r="DN41" s="166" t="e">
        <f t="shared" si="82"/>
        <v>#REF!</v>
      </c>
      <c r="DO41" s="166" t="e">
        <f t="shared" si="82"/>
        <v>#REF!</v>
      </c>
      <c r="DP41" s="136" t="e">
        <f t="shared" si="82"/>
        <v>#REF!</v>
      </c>
    </row>
    <row r="42" spans="1:120" ht="14.25" customHeight="1">
      <c r="A42" s="103"/>
      <c r="E42" s="108"/>
      <c r="I42" s="83"/>
      <c r="J42" s="97">
        <f t="array" ref="J42">_xlfn.STDEV.P(IF($E$5:$E$27=$E41,J$5:J$27))</f>
        <v>2.6822979368858744</v>
      </c>
      <c r="K42" s="97"/>
      <c r="L42" s="97"/>
      <c r="M42" s="97">
        <f t="array" ref="M42">_xlfn.STDEV.P(IF($E$5:$E$27=$E41,M$5:M$27))</f>
        <v>21.83607635829194</v>
      </c>
      <c r="N42" s="97">
        <f t="array" ref="N42">_xlfn.STDEV.P(IF($E$5:$E$27=$E41,N$5:N$27))</f>
        <v>218.36076358291811</v>
      </c>
      <c r="O42" s="97">
        <f t="array" ref="O42">_xlfn.STDEV.P(IF($E$5:$E$27=$E41,O$5:O$27))</f>
        <v>7.2786921194306347</v>
      </c>
      <c r="P42" s="97">
        <f t="array" ref="P42">_xlfn.STDEV.P(IF($E$5:$E$27=$E41,P$5:P$27))</f>
        <v>266.45788702073645</v>
      </c>
      <c r="Q42" s="97">
        <f t="array" ref="Q42">_xlfn.STDEV.P(IF($E$5:$E$27=$E41,Q$5:Q$27))</f>
        <v>0.84293673667785707</v>
      </c>
      <c r="R42" s="97">
        <f t="array" ref="R42">_xlfn.STDEV.P(IF($E$5:$E$27=$E41,R$5:R$27))</f>
        <v>8.4293673667785673E-2</v>
      </c>
      <c r="S42" s="228"/>
      <c r="T42" s="228">
        <f t="array" ref="T42">_xlfn.STDEV.P(IF($E$5:$E$27=$E41,T$5:T$27))</f>
        <v>0</v>
      </c>
      <c r="U42" s="97">
        <f t="array" ref="U42">_xlfn.STDEV.P(IF($E$5:$E$27=$E41,U$5:U$27))</f>
        <v>0</v>
      </c>
      <c r="V42" s="65" t="s">
        <v>11</v>
      </c>
      <c r="W42" s="74">
        <f t="array" ref="W42">_xlfn.STDEV.P(IF($E$5:$E$27=$E41,W$5:W$27))</f>
        <v>30.012758514297825</v>
      </c>
      <c r="X42" s="74">
        <f t="array" ref="X42">_xlfn.STDEV.P(IF($E$5:$E$27=$E41,X$5:X$27))</f>
        <v>30.948599860629205</v>
      </c>
      <c r="Y42" s="74">
        <f t="array" ref="Y42">_xlfn.STDEV.P(IF($E$5:$E$27=$E41,Y$5:Y$27))</f>
        <v>21.83607635829194</v>
      </c>
      <c r="Z42" s="74">
        <f t="array" ref="Z42">_xlfn.STDEV.P(IF($E$5:$E$27=$E41,Z$5:Z$27))</f>
        <v>24.063358808406086</v>
      </c>
      <c r="AA42" s="74">
        <f t="array" ref="AA42">_xlfn.STDEV.P(IF($E$5:$E$27=$E41,AA$5:AA$27))</f>
        <v>42.108384597241255</v>
      </c>
      <c r="AB42" s="74">
        <f t="array" ref="AB42">_xlfn.STDEV.P(IF($E$5:$E$27=$E41,AB$5:AB$27))</f>
        <v>43.561475975569728</v>
      </c>
      <c r="AC42" s="74">
        <f t="array" ref="AC42">_xlfn.STDEV.P(IF($E$5:$E$27=$E41,AC$5:AC$27))</f>
        <v>67.48109634335006</v>
      </c>
      <c r="AD42" s="74">
        <f t="array" ref="AD42">_xlfn.STDEV.P(IF($E$5:$E$27=$E41,AD$5:AD$27))</f>
        <v>51.819963181905962</v>
      </c>
      <c r="AE42" s="74">
        <f t="array" ref="AE42">_xlfn.STDEV.P(IF($E$5:$E$27=$E41,AE$5:AE$27))</f>
        <v>110.21761351864026</v>
      </c>
      <c r="AF42" s="74">
        <f t="array" ref="AF42">_xlfn.STDEV.P(IF($E$5:$E$27=$E41,AF$5:AF$27))</f>
        <v>147.52500170614363</v>
      </c>
      <c r="AG42" s="74">
        <f t="array" ref="AG42">_xlfn.STDEV.P(IF($E$5:$E$27=$E41,AG$5:AG$27))</f>
        <v>160.81675436884169</v>
      </c>
      <c r="AH42" s="74">
        <f t="array" ref="AH42">_xlfn.STDEV.P(IF($E$5:$E$27=$E41,AH$5:AH$27))</f>
        <v>139.84523316049342</v>
      </c>
      <c r="AI42" s="74">
        <f t="array" ref="AI42">_xlfn.STDEV.P(IF($E$5:$E$27=$E41,AI$5:AI$27))</f>
        <v>210.00465196109764</v>
      </c>
      <c r="AJ42" s="74">
        <f t="array" ref="AJ42">_xlfn.STDEV.P(IF($E$5:$E$27=$E41,AJ$5:AJ$27))</f>
        <v>202.31153870112925</v>
      </c>
      <c r="AK42" s="74">
        <f t="array" ref="AK42">_xlfn.STDEV.P(IF($E$5:$E$27=$E41,AK$5:AK$27))</f>
        <v>193.91146631505205</v>
      </c>
      <c r="AL42" s="74">
        <f t="array" ref="AL42">_xlfn.STDEV.P(IF($E$5:$E$27=$E41,AL$5:AL$27))</f>
        <v>297.05821010660156</v>
      </c>
      <c r="AM42" s="74">
        <f t="array" ref="AM42">_xlfn.STDEV.P(IF($E$5:$E$27=$E41,AM$5:AM$27))</f>
        <v>337.50638805315401</v>
      </c>
      <c r="AN42" s="74">
        <f t="array" ref="AN42">_xlfn.STDEV.P(IF($E$5:$E$27=$E41,AN$5:AN$27))</f>
        <v>444.41752204663948</v>
      </c>
      <c r="AO42" s="74">
        <f t="array" ref="AO42">_xlfn.STDEV.P(IF($E$5:$E$27=$E41,AO$5:AO$27))</f>
        <v>509.71363997306793</v>
      </c>
      <c r="AP42" s="74">
        <f t="array" ref="AP42">_xlfn.STDEV.P(IF($E$5:$E$27=$E41,AP$5:AP$27))</f>
        <v>625.26762948152123</v>
      </c>
      <c r="AQ42" s="74">
        <f t="array" ref="AQ42">_xlfn.STDEV.P(IF($E$5:$E$27=$E41,AQ$5:AQ$27))</f>
        <v>241.90788499919523</v>
      </c>
      <c r="AR42" s="74">
        <f t="array" ref="AR42">_xlfn.STDEV.P(IF($E$5:$E$27=$E41,AR$5:AR$27))</f>
        <v>325.23754796322027</v>
      </c>
      <c r="AS42" s="74">
        <f t="array" ref="AS42">_xlfn.STDEV.P(IF($E$5:$E$27=$E41,AS$5:AS$27))</f>
        <v>363.04610190940076</v>
      </c>
      <c r="AT42" s="74">
        <f t="array" ref="AT42">_xlfn.STDEV.P(IF($E$5:$E$27=$E41,AT$5:AT$27))</f>
        <v>467.68970838532891</v>
      </c>
      <c r="AU42" s="74">
        <f t="array" ref="AU42">_xlfn.STDEV.P(IF($E$5:$E$27=$E41,AU$5:AU$27))</f>
        <v>585.71096332501929</v>
      </c>
      <c r="AV42" s="74">
        <f t="array" ref="AV42">_xlfn.STDEV.P(IF($E$5:$E$27=$E41,AV$5:AV$27))</f>
        <v>758.25328462988602</v>
      </c>
      <c r="AW42" s="74">
        <f t="array" ref="AW42">_xlfn.STDEV.P(IF($E$5:$E$27=$E41,AW$5:AW$27))</f>
        <v>271.2219885090289</v>
      </c>
      <c r="AX42" s="74">
        <f t="array" ref="AX42">_xlfn.STDEV.P(IF($E$5:$E$27=$E41,AX$5:AX$27))</f>
        <v>245.56359029555148</v>
      </c>
      <c r="AY42" s="74">
        <f t="array" ref="AY42">_xlfn.STDEV.P(IF($E$5:$E$27=$E41,AY$5:AY$27))</f>
        <v>353.39894494720596</v>
      </c>
      <c r="AZ42" s="74">
        <f t="array" ref="AZ42">_xlfn.STDEV.P(IF($E$5:$E$27=$E41,AZ$5:AZ$27))</f>
        <v>240.99386875034608</v>
      </c>
      <c r="BA42" s="74">
        <f t="array" ref="BA42">_xlfn.STDEV.P(IF($E$5:$E$27=$E41,BA$5:BA$27))</f>
        <v>213.20626363598441</v>
      </c>
      <c r="BB42" s="74">
        <f t="array" ref="BB42">_xlfn.STDEV.P(IF($E$5:$E$27=$E41,BB$5:BB$27))</f>
        <v>284.37478048050548</v>
      </c>
      <c r="BC42" s="74">
        <f t="array" ref="BC42">_xlfn.STDEV.P(IF($E$5:$E$27=$E41,BC$5:BC$27))</f>
        <v>330.689316132709</v>
      </c>
      <c r="BD42" s="74">
        <f t="array" ref="BD42">_xlfn.STDEV.P(IF($E$5:$E$27=$E41,BD$5:BD$27))</f>
        <v>351.30928319368633</v>
      </c>
      <c r="BE42" s="74">
        <f t="array" ref="BE42">_xlfn.STDEV.P(IF($E$5:$E$27=$E41,BE$5:BE$27))</f>
        <v>293.83238147761693</v>
      </c>
      <c r="BF42" s="74">
        <f t="array" ref="BF42">_xlfn.STDEV.P(IF($E$5:$E$27=$E41,BF$5:BF$27))</f>
        <v>479.65193363729577</v>
      </c>
      <c r="BG42" s="74">
        <f t="array" ref="BG42">_xlfn.STDEV.P(IF($E$5:$E$27=$E41,BG$5:BG$27))</f>
        <v>431.91847367598666</v>
      </c>
      <c r="BH42" s="74">
        <f t="array" ref="BH42">_xlfn.STDEV.P(IF($E$5:$E$27=$E41,BH$5:BH$27))</f>
        <v>488.42564023520674</v>
      </c>
      <c r="BI42" s="74">
        <f t="array" ref="BI42">_xlfn.STDEV.P(IF($E$5:$E$27=$E41,BI$5:BI$27))</f>
        <v>580.83770001193682</v>
      </c>
      <c r="BJ42" s="74">
        <f t="array" ref="BJ42">_xlfn.STDEV.P(IF($E$5:$E$27=$E41,BJ$5:BJ$27))</f>
        <v>629.68258137225541</v>
      </c>
      <c r="BK42" s="74">
        <f t="array" ref="BK42">_xlfn.STDEV.P(IF($E$5:$E$27=$E41,BK$5:BK$27))</f>
        <v>194.90610421391693</v>
      </c>
      <c r="BL42" s="74">
        <f t="array" ref="BL42">_xlfn.STDEV.P(IF($E$5:$E$27=$E41,BL$5:BL$27))</f>
        <v>143.96405923504659</v>
      </c>
      <c r="BM42" s="74">
        <f t="array" ref="BM42">_xlfn.STDEV.P(IF($E$5:$E$27=$E41,BM$5:BM$27))</f>
        <v>135.05176266829579</v>
      </c>
      <c r="BN42" s="74">
        <f t="array" ref="BN42">_xlfn.STDEV.P(IF($E$5:$E$27=$E41,BN$5:BN$27))</f>
        <v>67.402710286557138</v>
      </c>
      <c r="BO42" s="74">
        <f t="array" ref="BO42">_xlfn.STDEV.P(IF($E$5:$E$27=$E41,BO$5:BO$27))</f>
        <v>0</v>
      </c>
      <c r="BP42" s="74">
        <f t="array" ref="BP42">_xlfn.STDEV.P(IF($E$5:$E$27=$E41,BP$5:BP$27))</f>
        <v>0</v>
      </c>
      <c r="BQ42" s="94" t="s">
        <v>11</v>
      </c>
      <c r="BR42" s="67">
        <f t="array" ref="BR42">_xlfn.STDEV.P(IF($E$5:$E$27=$E41,BR$5:BR$27))</f>
        <v>0.19913857878090668</v>
      </c>
      <c r="BS42" s="67">
        <f t="array" ref="BS42">_xlfn.STDEV.P(IF($E$5:$E$27=$E41,BS$5:BS$27))</f>
        <v>0.14590795521574454</v>
      </c>
      <c r="BT42" s="67">
        <f t="array" ref="BT42">_xlfn.STDEV.P(IF($E$5:$E$27=$E41,BT$5:BT$27))</f>
        <v>0</v>
      </c>
      <c r="BU42" s="67">
        <f t="array" ref="BU42">_xlfn.STDEV.P(IF($E$5:$E$27=$E41,BU$5:BU$27))</f>
        <v>0.30754205901691217</v>
      </c>
      <c r="BV42" s="67">
        <f t="array" ref="BV42">_xlfn.STDEV.P(IF($E$5:$E$27=$E41,BV$5:BV$27))</f>
        <v>0.59359254468578426</v>
      </c>
      <c r="BW42" s="67">
        <f t="array" ref="BW42">_xlfn.STDEV.P(IF($E$5:$E$27=$E41,BW$5:BW$27))</f>
        <v>0.63149044362251638</v>
      </c>
      <c r="BX42" s="67">
        <f t="array" ref="BX42">_xlfn.STDEV.P(IF($E$5:$E$27=$E41,BX$5:BX$27))</f>
        <v>0.83894970585037265</v>
      </c>
      <c r="BY42" s="67">
        <f t="array" ref="BY42">_xlfn.STDEV.P(IF($E$5:$E$27=$E41,BY$5:BY$27))</f>
        <v>0.77151342975108972</v>
      </c>
      <c r="BZ42" s="67">
        <f t="array" ref="BZ42">_xlfn.STDEV.P(IF($E$5:$E$27=$E41,BZ$5:BZ$27))</f>
        <v>1.4343502075407792</v>
      </c>
      <c r="CA42" s="67">
        <f t="array" ref="CA42">_xlfn.STDEV.P(IF($E$5:$E$27=$E41,CA$5:CA$27))</f>
        <v>1.8500062516466151</v>
      </c>
      <c r="CB42" s="67">
        <f t="array" ref="CB42">_xlfn.STDEV.P(IF($E$5:$E$27=$E41,CB$5:CB$27))</f>
        <v>1.8875844846032084</v>
      </c>
      <c r="CC42" s="67">
        <f t="array" ref="CC42">_xlfn.STDEV.P(IF($E$5:$E$27=$E41,CC$5:CC$27))</f>
        <v>1.7700008478507385</v>
      </c>
      <c r="CD42" s="67">
        <f t="array" ref="CD42">_xlfn.STDEV.P(IF($E$5:$E$27=$E41,CD$5:CD$27))</f>
        <v>2.6442700471827356</v>
      </c>
      <c r="CE42" s="67">
        <f t="array" ref="CE42">_xlfn.STDEV.P(IF($E$5:$E$27=$E41,CE$5:CE$27))</f>
        <v>2.5028793955897983</v>
      </c>
      <c r="CF42" s="67">
        <f t="array" ref="CF42">_xlfn.STDEV.P(IF($E$5:$E$27=$E41,CF$5:CF$27))</f>
        <v>2.3814924398635946</v>
      </c>
      <c r="CG42" s="67">
        <f t="array" ref="CG42">_xlfn.STDEV.P(IF($E$5:$E$27=$E41,CG$5:CG$27))</f>
        <v>3.6369087607071342</v>
      </c>
      <c r="CH42" s="67">
        <f t="array" ref="CH42">_xlfn.STDEV.P(IF($E$5:$E$27=$E41,CH$5:CH$27))</f>
        <v>4.1686171079247032</v>
      </c>
      <c r="CI42" s="67">
        <f t="array" ref="CI42">_xlfn.STDEV.P(IF($E$5:$E$27=$E41,CI$5:CI$27))</f>
        <v>5.4728961237938005</v>
      </c>
      <c r="CJ42" s="67">
        <f t="array" ref="CJ42">_xlfn.STDEV.P(IF($E$5:$E$27=$E41,CJ$5:CJ$27))</f>
        <v>6.3048794306533962</v>
      </c>
      <c r="CK42" s="67">
        <f t="array" ref="CK42">_xlfn.STDEV.P(IF($E$5:$E$27=$E41,CK$5:CK$27))</f>
        <v>7.7100652575929907</v>
      </c>
      <c r="CL42" s="67">
        <f t="array" ref="CL42">_xlfn.STDEV.P(IF($E$5:$E$27=$E41,CL$5:CL$27))</f>
        <v>2.132650144826076</v>
      </c>
      <c r="CM42" s="67">
        <f t="array" ref="CM42">_xlfn.STDEV.P(IF($E$5:$E$27=$E41,CM$5:CM$27))</f>
        <v>2.868885261278622</v>
      </c>
      <c r="CN42" s="67">
        <f t="array" ref="CN42">_xlfn.STDEV.P(IF($E$5:$E$27=$E41,CN$5:CN$27))</f>
        <v>3.2065005619262341</v>
      </c>
      <c r="CO42" s="67">
        <f t="array" ref="CO42">_xlfn.STDEV.P(IF($E$5:$E$27=$E41,CO$5:CO$27))</f>
        <v>4.0901550036174772</v>
      </c>
      <c r="CP42" s="67">
        <f t="array" ref="CP42">_xlfn.STDEV.P(IF($E$5:$E$27=$E41,CP$5:CP$27))</f>
        <v>5.1664189031131524</v>
      </c>
      <c r="CQ42" s="67">
        <f t="array" ref="CQ42">_xlfn.STDEV.P(IF($E$5:$E$27=$E41,CQ$5:CQ$27))</f>
        <v>6.6976371183902002</v>
      </c>
      <c r="CR42" s="67">
        <f t="array" ref="CR42">_xlfn.STDEV.P(IF($E$5:$E$27=$E41,CR$5:CR$27))</f>
        <v>2.4461238935094785</v>
      </c>
      <c r="CS42" s="67">
        <f t="array" ref="CS42">_xlfn.STDEV.P(IF($E$5:$E$27=$E41,CS$5:CS$27))</f>
        <v>2.2124707599331641</v>
      </c>
      <c r="CT42" s="67">
        <f t="array" ref="CT42">_xlfn.STDEV.P(IF($E$5:$E$27=$E41,CT$5:CT$27))</f>
        <v>3.1778686858909437</v>
      </c>
      <c r="CU42" s="67">
        <f t="array" ref="CU42">_xlfn.STDEV.P(IF($E$5:$E$27=$E41,CU$5:CU$27))</f>
        <v>2.0418558824613084</v>
      </c>
      <c r="CV42" s="67">
        <f t="array" ref="CV42">_xlfn.STDEV.P(IF($E$5:$E$27=$E41,CV$5:CV$27))</f>
        <v>1.9059098076380327</v>
      </c>
      <c r="CW42" s="67">
        <f t="array" ref="CW42">_xlfn.STDEV.P(IF($E$5:$E$27=$E41,CW$5:CW$27))</f>
        <v>2.385352561741616</v>
      </c>
      <c r="CX42" s="67">
        <f t="array" ref="CX42">_xlfn.STDEV.P(IF($E$5:$E$27=$E41,CX$5:CX$27))</f>
        <v>2.6702923221708623</v>
      </c>
      <c r="CY42" s="67">
        <f t="array" ref="CY42">_xlfn.STDEV.P(IF($E$5:$E$27=$E41,CY$5:CY$27))</f>
        <v>2.8152906401376323</v>
      </c>
      <c r="CZ42" s="67">
        <f t="array" ref="CZ42">_xlfn.STDEV.P(IF($E$5:$E$27=$E41,CZ$5:CZ$27))</f>
        <v>2.2979385562562902</v>
      </c>
      <c r="DA42" s="67">
        <f t="array" ref="DA42">_xlfn.STDEV.P(IF($E$5:$E$27=$E41,DA$5:DA$27))</f>
        <v>3.721115808079932</v>
      </c>
      <c r="DB42" s="67">
        <f t="array" ref="DB42">_xlfn.STDEV.P(IF($E$5:$E$27=$E41,DB$5:DB$27))</f>
        <v>3.3589810369439497</v>
      </c>
      <c r="DC42" s="67">
        <f t="array" ref="DC42">_xlfn.STDEV.P(IF($E$5:$E$27=$E41,DC$5:DC$27))</f>
        <v>3.7862005006078316</v>
      </c>
      <c r="DD42" s="67">
        <f t="array" ref="DD42">_xlfn.STDEV.P(IF($E$5:$E$27=$E41,DD$5:DD$27))</f>
        <v>4.546616473690535</v>
      </c>
      <c r="DE42" s="67">
        <f t="array" ref="DE42">_xlfn.STDEV.P(IF($E$5:$E$27=$E41,DE$5:DE$27))</f>
        <v>4.9426026266860417</v>
      </c>
      <c r="DF42" s="67">
        <f t="array" ref="DF42">_xlfn.STDEV.P(IF($E$5:$E$27=$E41,DF$5:DF$27))</f>
        <v>1.9843549177546949</v>
      </c>
      <c r="DG42" s="67">
        <f t="array" ref="DG42">_xlfn.STDEV.P(IF($E$5:$E$27=$E41,DG$5:DG$27))</f>
        <v>1.4643297804479876</v>
      </c>
      <c r="DH42" s="67">
        <f t="array" ref="DH42">_xlfn.STDEV.P(IF($E$5:$E$27=$E41,DH$5:DH$27))</f>
        <v>1.3797226298034324</v>
      </c>
      <c r="DI42" s="67">
        <f t="array" ref="DI42">_xlfn.STDEV.P(IF($E$5:$E$27=$E41,DI$5:DI$27))</f>
        <v>0.68418476871413469</v>
      </c>
      <c r="DJ42" s="67" t="e">
        <f t="array" ref="DJ42">_xlfn.STDEV.P(IF($E$5:$E$27=$E41,DJ$5:DJ$27))</f>
        <v>#DIV/0!</v>
      </c>
      <c r="DK42" s="67" t="e">
        <f t="array" ref="DK42">_xlfn.STDEV.P(IF($E$5:$E$27=$E41,DK$5:DK$27))</f>
        <v>#DIV/0!</v>
      </c>
      <c r="DL42" s="165"/>
      <c r="DM42" s="165"/>
      <c r="DN42" s="165"/>
      <c r="DO42" s="165"/>
    </row>
    <row r="43" spans="1:120" s="150" customFormat="1" ht="14.25" customHeight="1">
      <c r="A43" s="146"/>
      <c r="B43" s="147"/>
      <c r="C43" s="148"/>
      <c r="D43" s="169"/>
      <c r="E43" s="149"/>
      <c r="G43" s="147"/>
      <c r="H43" s="147"/>
      <c r="I43" s="151"/>
      <c r="J43" s="152"/>
      <c r="K43" s="152"/>
      <c r="L43" s="152"/>
      <c r="M43" s="152"/>
      <c r="N43" s="152"/>
      <c r="O43" s="152"/>
      <c r="P43" s="152"/>
      <c r="Q43" s="152"/>
      <c r="R43" s="152"/>
      <c r="S43" s="228"/>
      <c r="T43" s="228"/>
      <c r="U43" s="152"/>
      <c r="V43" s="153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144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H43" s="145"/>
      <c r="DI43" s="145"/>
      <c r="DJ43" s="145"/>
      <c r="DK43" s="145"/>
      <c r="DL43" s="165"/>
      <c r="DM43" s="165"/>
      <c r="DN43" s="165"/>
      <c r="DO43" s="165"/>
    </row>
    <row r="44" spans="1:120" s="159" customFormat="1" ht="14.25" customHeight="1">
      <c r="A44" s="155"/>
      <c r="B44" s="156"/>
      <c r="C44" s="157"/>
      <c r="D44" s="170"/>
      <c r="E44" s="158"/>
      <c r="G44" s="156"/>
      <c r="H44" s="156"/>
      <c r="I44" s="160"/>
      <c r="J44" s="161"/>
      <c r="K44" s="161"/>
      <c r="L44" s="161"/>
      <c r="M44" s="161"/>
      <c r="N44" s="161"/>
      <c r="O44" s="161"/>
      <c r="P44" s="161"/>
      <c r="Q44" s="161"/>
      <c r="R44" s="161"/>
      <c r="S44" s="228"/>
      <c r="T44" s="228"/>
      <c r="U44" s="161"/>
      <c r="V44" s="162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163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65"/>
      <c r="DM44" s="165"/>
      <c r="DN44" s="165"/>
      <c r="DO44" s="165"/>
    </row>
    <row r="45" spans="1:120" ht="15">
      <c r="A45" s="103"/>
      <c r="E45" s="108"/>
      <c r="I45" s="45"/>
      <c r="K45" s="50"/>
      <c r="L45" s="50"/>
      <c r="P45" s="50"/>
      <c r="Q45" s="50"/>
      <c r="R45" s="50"/>
      <c r="S45" s="227"/>
      <c r="T45" s="227"/>
      <c r="U45" s="50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DF45" s="37"/>
      <c r="DG45" s="37"/>
      <c r="DH45" s="37"/>
      <c r="DI45" s="37"/>
      <c r="DJ45" s="37"/>
      <c r="DK45" s="37"/>
      <c r="DL45" s="165"/>
      <c r="DM45" s="165"/>
      <c r="DN45" s="165"/>
      <c r="DO45" s="165"/>
    </row>
    <row r="46" spans="1:120" ht="14.25" customHeight="1">
      <c r="A46" s="103"/>
      <c r="E46" s="108" t="str">
        <f>'NAB_PTX Groups'!C10</f>
        <v>Group 5</v>
      </c>
      <c r="I46" s="108" t="str">
        <f>E46</f>
        <v>Group 5</v>
      </c>
      <c r="J46" s="97" t="e">
        <f>AVERAGEIF($E$5:$E$27,$E46,J$5:J$27)</f>
        <v>#DIV/0!</v>
      </c>
      <c r="K46" s="97"/>
      <c r="L46" s="97"/>
      <c r="M46" s="97" t="e">
        <f t="shared" ref="M46:R46" si="83">AVERAGEIF($E$5:$E$27,$E46,M$5:M$27)</f>
        <v>#DIV/0!</v>
      </c>
      <c r="N46" s="97" t="e">
        <f t="shared" si="83"/>
        <v>#DIV/0!</v>
      </c>
      <c r="O46" s="97" t="e">
        <f t="shared" si="83"/>
        <v>#DIV/0!</v>
      </c>
      <c r="P46" s="97" t="e">
        <f t="shared" si="83"/>
        <v>#DIV/0!</v>
      </c>
      <c r="Q46" s="97" t="e">
        <f t="shared" si="83"/>
        <v>#DIV/0!</v>
      </c>
      <c r="R46" s="97" t="e">
        <f t="shared" si="83"/>
        <v>#DIV/0!</v>
      </c>
      <c r="S46" s="228"/>
      <c r="T46" s="228" t="e">
        <f>AVERAGEIF($E$5:$E$27,$E46,T$5:T$27)</f>
        <v>#DIV/0!</v>
      </c>
      <c r="U46" s="97" t="e">
        <f>AVERAGEIF($E$5:$E$27,$E46,U$5:U$27)</f>
        <v>#DIV/0!</v>
      </c>
      <c r="V46" s="65" t="s">
        <v>9</v>
      </c>
      <c r="W46" s="71" t="e">
        <f t="shared" ref="W46:BP46" si="84">AVERAGEIF($E$5:$E$27,$E46,W$5:W$27)</f>
        <v>#DIV/0!</v>
      </c>
      <c r="X46" s="71" t="e">
        <f t="shared" si="84"/>
        <v>#DIV/0!</v>
      </c>
      <c r="Y46" s="71" t="e">
        <f t="shared" si="84"/>
        <v>#DIV/0!</v>
      </c>
      <c r="Z46" s="71" t="e">
        <f t="shared" si="84"/>
        <v>#DIV/0!</v>
      </c>
      <c r="AA46" s="71" t="e">
        <f t="shared" si="84"/>
        <v>#DIV/0!</v>
      </c>
      <c r="AB46" s="71" t="e">
        <f t="shared" si="84"/>
        <v>#DIV/0!</v>
      </c>
      <c r="AC46" s="71" t="e">
        <f t="shared" si="84"/>
        <v>#DIV/0!</v>
      </c>
      <c r="AD46" s="71" t="e">
        <f t="shared" si="84"/>
        <v>#DIV/0!</v>
      </c>
      <c r="AE46" s="71" t="e">
        <f t="shared" si="84"/>
        <v>#DIV/0!</v>
      </c>
      <c r="AF46" s="71" t="e">
        <f t="shared" si="84"/>
        <v>#DIV/0!</v>
      </c>
      <c r="AG46" s="71" t="e">
        <f t="shared" si="84"/>
        <v>#DIV/0!</v>
      </c>
      <c r="AH46" s="71" t="e">
        <f t="shared" si="84"/>
        <v>#DIV/0!</v>
      </c>
      <c r="AI46" s="71" t="e">
        <f t="shared" si="84"/>
        <v>#DIV/0!</v>
      </c>
      <c r="AJ46" s="71" t="e">
        <f t="shared" si="84"/>
        <v>#DIV/0!</v>
      </c>
      <c r="AK46" s="71" t="e">
        <f t="shared" si="84"/>
        <v>#DIV/0!</v>
      </c>
      <c r="AL46" s="71" t="e">
        <f t="shared" si="84"/>
        <v>#DIV/0!</v>
      </c>
      <c r="AM46" s="71" t="e">
        <f t="shared" si="84"/>
        <v>#DIV/0!</v>
      </c>
      <c r="AN46" s="71" t="e">
        <f t="shared" si="84"/>
        <v>#DIV/0!</v>
      </c>
      <c r="AO46" s="71" t="e">
        <f t="shared" si="84"/>
        <v>#DIV/0!</v>
      </c>
      <c r="AP46" s="71" t="e">
        <f t="shared" si="84"/>
        <v>#DIV/0!</v>
      </c>
      <c r="AQ46" s="71" t="e">
        <f t="shared" si="84"/>
        <v>#DIV/0!</v>
      </c>
      <c r="AR46" s="71" t="e">
        <f t="shared" si="84"/>
        <v>#DIV/0!</v>
      </c>
      <c r="AS46" s="71" t="e">
        <f t="shared" si="84"/>
        <v>#DIV/0!</v>
      </c>
      <c r="AT46" s="71" t="e">
        <f t="shared" si="84"/>
        <v>#DIV/0!</v>
      </c>
      <c r="AU46" s="71" t="e">
        <f t="shared" si="84"/>
        <v>#DIV/0!</v>
      </c>
      <c r="AV46" s="71" t="e">
        <f t="shared" si="84"/>
        <v>#DIV/0!</v>
      </c>
      <c r="AW46" s="71" t="e">
        <f t="shared" si="84"/>
        <v>#DIV/0!</v>
      </c>
      <c r="AX46" s="71" t="e">
        <f t="shared" si="84"/>
        <v>#DIV/0!</v>
      </c>
      <c r="AY46" s="71" t="e">
        <f t="shared" si="84"/>
        <v>#DIV/0!</v>
      </c>
      <c r="AZ46" s="71" t="e">
        <f t="shared" si="84"/>
        <v>#DIV/0!</v>
      </c>
      <c r="BA46" s="71" t="e">
        <f t="shared" si="84"/>
        <v>#DIV/0!</v>
      </c>
      <c r="BB46" s="71" t="e">
        <f t="shared" si="84"/>
        <v>#DIV/0!</v>
      </c>
      <c r="BC46" s="71" t="e">
        <f t="shared" si="84"/>
        <v>#DIV/0!</v>
      </c>
      <c r="BD46" s="71" t="e">
        <f t="shared" si="84"/>
        <v>#DIV/0!</v>
      </c>
      <c r="BE46" s="71" t="e">
        <f t="shared" si="84"/>
        <v>#DIV/0!</v>
      </c>
      <c r="BF46" s="71" t="e">
        <f t="shared" si="84"/>
        <v>#DIV/0!</v>
      </c>
      <c r="BG46" s="71" t="e">
        <f t="shared" si="84"/>
        <v>#DIV/0!</v>
      </c>
      <c r="BH46" s="71" t="e">
        <f t="shared" si="84"/>
        <v>#DIV/0!</v>
      </c>
      <c r="BI46" s="71" t="e">
        <f t="shared" si="84"/>
        <v>#DIV/0!</v>
      </c>
      <c r="BJ46" s="71" t="e">
        <f t="shared" si="84"/>
        <v>#DIV/0!</v>
      </c>
      <c r="BK46" s="71" t="e">
        <f t="shared" si="84"/>
        <v>#DIV/0!</v>
      </c>
      <c r="BL46" s="71" t="e">
        <f t="shared" si="84"/>
        <v>#DIV/0!</v>
      </c>
      <c r="BM46" s="71" t="e">
        <f t="shared" si="84"/>
        <v>#DIV/0!</v>
      </c>
      <c r="BN46" s="71" t="e">
        <f t="shared" si="84"/>
        <v>#DIV/0!</v>
      </c>
      <c r="BO46" s="71" t="e">
        <f t="shared" si="84"/>
        <v>#DIV/0!</v>
      </c>
      <c r="BP46" s="71" t="e">
        <f t="shared" si="84"/>
        <v>#DIV/0!</v>
      </c>
      <c r="BQ46" s="93" t="s">
        <v>9</v>
      </c>
      <c r="BR46" s="66" t="e">
        <f t="shared" ref="BR46:DK46" si="85">AVERAGEIF($E$5:$E$27,$E46,BR$5:BR$27)</f>
        <v>#DIV/0!</v>
      </c>
      <c r="BS46" s="66" t="e">
        <f t="shared" si="85"/>
        <v>#DIV/0!</v>
      </c>
      <c r="BT46" s="66" t="e">
        <f t="shared" si="85"/>
        <v>#DIV/0!</v>
      </c>
      <c r="BU46" s="66" t="e">
        <f t="shared" si="85"/>
        <v>#DIV/0!</v>
      </c>
      <c r="BV46" s="66" t="e">
        <f t="shared" si="85"/>
        <v>#DIV/0!</v>
      </c>
      <c r="BW46" s="66" t="e">
        <f t="shared" si="85"/>
        <v>#DIV/0!</v>
      </c>
      <c r="BX46" s="66" t="e">
        <f t="shared" si="85"/>
        <v>#DIV/0!</v>
      </c>
      <c r="BY46" s="66" t="e">
        <f t="shared" si="85"/>
        <v>#DIV/0!</v>
      </c>
      <c r="BZ46" s="66" t="e">
        <f t="shared" si="85"/>
        <v>#DIV/0!</v>
      </c>
      <c r="CA46" s="66" t="e">
        <f t="shared" si="85"/>
        <v>#DIV/0!</v>
      </c>
      <c r="CB46" s="66" t="e">
        <f t="shared" si="85"/>
        <v>#DIV/0!</v>
      </c>
      <c r="CC46" s="66" t="e">
        <f t="shared" si="85"/>
        <v>#DIV/0!</v>
      </c>
      <c r="CD46" s="66" t="e">
        <f t="shared" si="85"/>
        <v>#DIV/0!</v>
      </c>
      <c r="CE46" s="66" t="e">
        <f t="shared" si="85"/>
        <v>#DIV/0!</v>
      </c>
      <c r="CF46" s="66" t="e">
        <f t="shared" si="85"/>
        <v>#DIV/0!</v>
      </c>
      <c r="CG46" s="66" t="e">
        <f t="shared" si="85"/>
        <v>#DIV/0!</v>
      </c>
      <c r="CH46" s="66" t="e">
        <f t="shared" si="85"/>
        <v>#DIV/0!</v>
      </c>
      <c r="CI46" s="66" t="e">
        <f t="shared" si="85"/>
        <v>#DIV/0!</v>
      </c>
      <c r="CJ46" s="66" t="e">
        <f t="shared" si="85"/>
        <v>#DIV/0!</v>
      </c>
      <c r="CK46" s="66" t="e">
        <f t="shared" si="85"/>
        <v>#DIV/0!</v>
      </c>
      <c r="CL46" s="66" t="e">
        <f t="shared" si="85"/>
        <v>#DIV/0!</v>
      </c>
      <c r="CM46" s="66" t="e">
        <f t="shared" si="85"/>
        <v>#DIV/0!</v>
      </c>
      <c r="CN46" s="66" t="e">
        <f t="shared" si="85"/>
        <v>#DIV/0!</v>
      </c>
      <c r="CO46" s="66" t="e">
        <f t="shared" si="85"/>
        <v>#DIV/0!</v>
      </c>
      <c r="CP46" s="66" t="e">
        <f t="shared" si="85"/>
        <v>#DIV/0!</v>
      </c>
      <c r="CQ46" s="66" t="e">
        <f t="shared" si="85"/>
        <v>#DIV/0!</v>
      </c>
      <c r="CR46" s="66" t="e">
        <f t="shared" si="85"/>
        <v>#DIV/0!</v>
      </c>
      <c r="CS46" s="66" t="e">
        <f t="shared" si="85"/>
        <v>#DIV/0!</v>
      </c>
      <c r="CT46" s="66" t="e">
        <f t="shared" si="85"/>
        <v>#DIV/0!</v>
      </c>
      <c r="CU46" s="66" t="e">
        <f t="shared" si="85"/>
        <v>#DIV/0!</v>
      </c>
      <c r="CV46" s="66" t="e">
        <f t="shared" si="85"/>
        <v>#DIV/0!</v>
      </c>
      <c r="CW46" s="66" t="e">
        <f t="shared" si="85"/>
        <v>#DIV/0!</v>
      </c>
      <c r="CX46" s="66" t="e">
        <f t="shared" si="85"/>
        <v>#DIV/0!</v>
      </c>
      <c r="CY46" s="66" t="e">
        <f t="shared" si="85"/>
        <v>#DIV/0!</v>
      </c>
      <c r="CZ46" s="66" t="e">
        <f t="shared" si="85"/>
        <v>#DIV/0!</v>
      </c>
      <c r="DA46" s="66" t="e">
        <f t="shared" si="85"/>
        <v>#DIV/0!</v>
      </c>
      <c r="DB46" s="66" t="e">
        <f t="shared" si="85"/>
        <v>#DIV/0!</v>
      </c>
      <c r="DC46" s="66" t="e">
        <f t="shared" si="85"/>
        <v>#DIV/0!</v>
      </c>
      <c r="DD46" s="66" t="e">
        <f t="shared" si="85"/>
        <v>#DIV/0!</v>
      </c>
      <c r="DE46" s="66" t="e">
        <f t="shared" si="85"/>
        <v>#DIV/0!</v>
      </c>
      <c r="DF46" s="66" t="e">
        <f t="shared" si="85"/>
        <v>#DIV/0!</v>
      </c>
      <c r="DG46" s="66" t="e">
        <f t="shared" si="85"/>
        <v>#DIV/0!</v>
      </c>
      <c r="DH46" s="66" t="e">
        <f t="shared" si="85"/>
        <v>#DIV/0!</v>
      </c>
      <c r="DI46" s="66" t="e">
        <f t="shared" si="85"/>
        <v>#DIV/0!</v>
      </c>
      <c r="DJ46" s="66" t="e">
        <f t="shared" si="85"/>
        <v>#DIV/0!</v>
      </c>
      <c r="DK46" s="66" t="e">
        <f t="shared" si="85"/>
        <v>#DIV/0!</v>
      </c>
      <c r="DL46" s="165" t="e">
        <f>#REF!</f>
        <v>#REF!</v>
      </c>
      <c r="DM46" s="165" t="e">
        <f>#REF!</f>
        <v>#REF!</v>
      </c>
      <c r="DN46" s="165" t="e">
        <f>#REF!</f>
        <v>#REF!</v>
      </c>
      <c r="DO46" s="165" t="e">
        <f>#REF!</f>
        <v>#REF!</v>
      </c>
      <c r="DP46" s="150" t="e">
        <f>#REF!</f>
        <v>#REF!</v>
      </c>
    </row>
    <row r="47" spans="1:120" ht="14.25" customHeight="1">
      <c r="A47" s="103"/>
      <c r="E47" s="108"/>
      <c r="I47" s="83"/>
      <c r="J47" s="97" t="e">
        <f t="array" ref="J47">_xlfn.STDEV.P(IF($E$5:$E$27=$E46,J$5:J$27))</f>
        <v>#DIV/0!</v>
      </c>
      <c r="K47" s="97"/>
      <c r="L47" s="97"/>
      <c r="M47" s="97" t="e">
        <f t="array" ref="M47">_xlfn.STDEV.P(IF($E$5:$E$27=$E46,M$5:M$27))</f>
        <v>#DIV/0!</v>
      </c>
      <c r="N47" s="97" t="e">
        <f t="array" ref="N47">_xlfn.STDEV.P(IF($E$5:$E$27=$E46,N$5:N$27))</f>
        <v>#DIV/0!</v>
      </c>
      <c r="O47" s="97" t="e">
        <f t="array" ref="O47">_xlfn.STDEV.P(IF($E$5:$E$27=$E46,O$5:O$27))</f>
        <v>#DIV/0!</v>
      </c>
      <c r="P47" s="97" t="e">
        <f t="array" ref="P47">_xlfn.STDEV.P(IF($E$5:$E$27=$E46,P$5:P$27))</f>
        <v>#DIV/0!</v>
      </c>
      <c r="Q47" s="97" t="e">
        <f t="array" ref="Q47">_xlfn.STDEV.P(IF($E$5:$E$27=$E46,Q$5:Q$27))</f>
        <v>#DIV/0!</v>
      </c>
      <c r="R47" s="97" t="e">
        <f t="array" ref="R47">_xlfn.STDEV.P(IF($E$5:$E$27=$E46,R$5:R$27))</f>
        <v>#DIV/0!</v>
      </c>
      <c r="S47" s="228"/>
      <c r="T47" s="228" t="e">
        <f t="array" ref="T47">_xlfn.STDEV.P(IF($E$5:$E$27=$E46,T$5:T$27))</f>
        <v>#DIV/0!</v>
      </c>
      <c r="U47" s="97" t="e">
        <f t="array" ref="U47">_xlfn.STDEV.P(IF($E$5:$E$27=$E46,U$5:U$27))</f>
        <v>#DIV/0!</v>
      </c>
      <c r="V47" s="65" t="s">
        <v>11</v>
      </c>
      <c r="W47" s="74" t="e">
        <f t="array" ref="W47">_xlfn.STDEV.P(IF($E$5:$E$27=$E46,W$5:W$27))</f>
        <v>#DIV/0!</v>
      </c>
      <c r="X47" s="74" t="e">
        <f t="array" ref="X47">_xlfn.STDEV.P(IF($E$5:$E$27=$E46,X$5:X$27))</f>
        <v>#DIV/0!</v>
      </c>
      <c r="Y47" s="74" t="e">
        <f t="array" ref="Y47">_xlfn.STDEV.P(IF($E$5:$E$27=$E46,Y$5:Y$27))</f>
        <v>#DIV/0!</v>
      </c>
      <c r="Z47" s="74" t="e">
        <f t="array" ref="Z47">_xlfn.STDEV.P(IF($E$5:$E$27=$E46,Z$5:Z$27))</f>
        <v>#DIV/0!</v>
      </c>
      <c r="AA47" s="74" t="e">
        <f t="array" ref="AA47">_xlfn.STDEV.P(IF($E$5:$E$27=$E46,AA$5:AA$27))</f>
        <v>#DIV/0!</v>
      </c>
      <c r="AB47" s="74" t="e">
        <f t="array" ref="AB47">_xlfn.STDEV.P(IF($E$5:$E$27=$E46,AB$5:AB$27))</f>
        <v>#DIV/0!</v>
      </c>
      <c r="AC47" s="74" t="e">
        <f t="array" ref="AC47">_xlfn.STDEV.P(IF($E$5:$E$27=$E46,AC$5:AC$27))</f>
        <v>#DIV/0!</v>
      </c>
      <c r="AD47" s="74" t="e">
        <f t="array" ref="AD47">_xlfn.STDEV.P(IF($E$5:$E$27=$E46,AD$5:AD$27))</f>
        <v>#DIV/0!</v>
      </c>
      <c r="AE47" s="74" t="e">
        <f t="array" ref="AE47">_xlfn.STDEV.P(IF($E$5:$E$27=$E46,AE$5:AE$27))</f>
        <v>#DIV/0!</v>
      </c>
      <c r="AF47" s="74" t="e">
        <f t="array" ref="AF47">_xlfn.STDEV.P(IF($E$5:$E$27=$E46,AF$5:AF$27))</f>
        <v>#DIV/0!</v>
      </c>
      <c r="AG47" s="74" t="e">
        <f t="array" ref="AG47">_xlfn.STDEV.P(IF($E$5:$E$27=$E46,AG$5:AG$27))</f>
        <v>#DIV/0!</v>
      </c>
      <c r="AH47" s="74" t="e">
        <f t="array" ref="AH47">_xlfn.STDEV.P(IF($E$5:$E$27=$E46,AH$5:AH$27))</f>
        <v>#DIV/0!</v>
      </c>
      <c r="AI47" s="74" t="e">
        <f t="array" ref="AI47">_xlfn.STDEV.P(IF($E$5:$E$27=$E46,AI$5:AI$27))</f>
        <v>#DIV/0!</v>
      </c>
      <c r="AJ47" s="74" t="e">
        <f t="array" ref="AJ47">_xlfn.STDEV.P(IF($E$5:$E$27=$E46,AJ$5:AJ$27))</f>
        <v>#DIV/0!</v>
      </c>
      <c r="AK47" s="74" t="e">
        <f t="array" ref="AK47">_xlfn.STDEV.P(IF($E$5:$E$27=$E46,AK$5:AK$27))</f>
        <v>#DIV/0!</v>
      </c>
      <c r="AL47" s="74" t="e">
        <f t="array" ref="AL47">_xlfn.STDEV.P(IF($E$5:$E$27=$E46,AL$5:AL$27))</f>
        <v>#DIV/0!</v>
      </c>
      <c r="AM47" s="74" t="e">
        <f t="array" ref="AM47">_xlfn.STDEV.P(IF($E$5:$E$27=$E46,AM$5:AM$27))</f>
        <v>#DIV/0!</v>
      </c>
      <c r="AN47" s="74" t="e">
        <f t="array" ref="AN47">_xlfn.STDEV.P(IF($E$5:$E$27=$E46,AN$5:AN$27))</f>
        <v>#DIV/0!</v>
      </c>
      <c r="AO47" s="74" t="e">
        <f t="array" ref="AO47">_xlfn.STDEV.P(IF($E$5:$E$27=$E46,AO$5:AO$27))</f>
        <v>#DIV/0!</v>
      </c>
      <c r="AP47" s="74" t="e">
        <f t="array" ref="AP47">_xlfn.STDEV.P(IF($E$5:$E$27=$E46,AP$5:AP$27))</f>
        <v>#DIV/0!</v>
      </c>
      <c r="AQ47" s="74" t="e">
        <f t="array" ref="AQ47">_xlfn.STDEV.P(IF($E$5:$E$27=$E46,AQ$5:AQ$27))</f>
        <v>#DIV/0!</v>
      </c>
      <c r="AR47" s="74" t="e">
        <f t="array" ref="AR47">_xlfn.STDEV.P(IF($E$5:$E$27=$E46,AR$5:AR$27))</f>
        <v>#DIV/0!</v>
      </c>
      <c r="AS47" s="74" t="e">
        <f t="array" ref="AS47">_xlfn.STDEV.P(IF($E$5:$E$27=$E46,AS$5:AS$27))</f>
        <v>#DIV/0!</v>
      </c>
      <c r="AT47" s="74" t="e">
        <f t="array" ref="AT47">_xlfn.STDEV.P(IF($E$5:$E$27=$E46,AT$5:AT$27))</f>
        <v>#DIV/0!</v>
      </c>
      <c r="AU47" s="74" t="e">
        <f t="array" ref="AU47">_xlfn.STDEV.P(IF($E$5:$E$27=$E46,AU$5:AU$27))</f>
        <v>#DIV/0!</v>
      </c>
      <c r="AV47" s="74" t="e">
        <f t="array" ref="AV47">_xlfn.STDEV.P(IF($E$5:$E$27=$E46,AV$5:AV$27))</f>
        <v>#DIV/0!</v>
      </c>
      <c r="AW47" s="74" t="e">
        <f t="array" ref="AW47">_xlfn.STDEV.P(IF($E$5:$E$27=$E46,AW$5:AW$27))</f>
        <v>#DIV/0!</v>
      </c>
      <c r="AX47" s="74" t="e">
        <f t="array" ref="AX47">_xlfn.STDEV.P(IF($E$5:$E$27=$E46,AX$5:AX$27))</f>
        <v>#DIV/0!</v>
      </c>
      <c r="AY47" s="74" t="e">
        <f t="array" ref="AY47">_xlfn.STDEV.P(IF($E$5:$E$27=$E46,AY$5:AY$27))</f>
        <v>#DIV/0!</v>
      </c>
      <c r="AZ47" s="74" t="e">
        <f t="array" ref="AZ47">_xlfn.STDEV.P(IF($E$5:$E$27=$E46,AZ$5:AZ$27))</f>
        <v>#DIV/0!</v>
      </c>
      <c r="BA47" s="74" t="e">
        <f t="array" ref="BA47">_xlfn.STDEV.P(IF($E$5:$E$27=$E46,BA$5:BA$27))</f>
        <v>#DIV/0!</v>
      </c>
      <c r="BB47" s="74" t="e">
        <f t="array" ref="BB47">_xlfn.STDEV.P(IF($E$5:$E$27=$E46,BB$5:BB$27))</f>
        <v>#DIV/0!</v>
      </c>
      <c r="BC47" s="74" t="e">
        <f t="array" ref="BC47">_xlfn.STDEV.P(IF($E$5:$E$27=$E46,BC$5:BC$27))</f>
        <v>#DIV/0!</v>
      </c>
      <c r="BD47" s="74" t="e">
        <f t="array" ref="BD47">_xlfn.STDEV.P(IF($E$5:$E$27=$E46,BD$5:BD$27))</f>
        <v>#DIV/0!</v>
      </c>
      <c r="BE47" s="74" t="e">
        <f t="array" ref="BE47">_xlfn.STDEV.P(IF($E$5:$E$27=$E46,BE$5:BE$27))</f>
        <v>#DIV/0!</v>
      </c>
      <c r="BF47" s="74" t="e">
        <f t="array" ref="BF47">_xlfn.STDEV.P(IF($E$5:$E$27=$E46,BF$5:BF$27))</f>
        <v>#DIV/0!</v>
      </c>
      <c r="BG47" s="74" t="e">
        <f t="array" ref="BG47">_xlfn.STDEV.P(IF($E$5:$E$27=$E46,BG$5:BG$27))</f>
        <v>#DIV/0!</v>
      </c>
      <c r="BH47" s="74" t="e">
        <f t="array" ref="BH47">_xlfn.STDEV.P(IF($E$5:$E$27=$E46,BH$5:BH$27))</f>
        <v>#DIV/0!</v>
      </c>
      <c r="BI47" s="74" t="e">
        <f t="array" ref="BI47">_xlfn.STDEV.P(IF($E$5:$E$27=$E46,BI$5:BI$27))</f>
        <v>#DIV/0!</v>
      </c>
      <c r="BJ47" s="74" t="e">
        <f t="array" ref="BJ47">_xlfn.STDEV.P(IF($E$5:$E$27=$E46,BJ$5:BJ$27))</f>
        <v>#DIV/0!</v>
      </c>
      <c r="BK47" s="74" t="e">
        <f t="array" ref="BK47">_xlfn.STDEV.P(IF($E$5:$E$27=$E46,BK$5:BK$27))</f>
        <v>#DIV/0!</v>
      </c>
      <c r="BL47" s="74" t="e">
        <f t="array" ref="BL47">_xlfn.STDEV.P(IF($E$5:$E$27=$E46,BL$5:BL$27))</f>
        <v>#DIV/0!</v>
      </c>
      <c r="BM47" s="74" t="e">
        <f t="array" ref="BM47">_xlfn.STDEV.P(IF($E$5:$E$27=$E46,BM$5:BM$27))</f>
        <v>#DIV/0!</v>
      </c>
      <c r="BN47" s="74" t="e">
        <f t="array" ref="BN47">_xlfn.STDEV.P(IF($E$5:$E$27=$E46,BN$5:BN$27))</f>
        <v>#DIV/0!</v>
      </c>
      <c r="BO47" s="74" t="e">
        <f t="array" ref="BO47">_xlfn.STDEV.P(IF($E$5:$E$27=$E46,BO$5:BO$27))</f>
        <v>#DIV/0!</v>
      </c>
      <c r="BP47" s="74" t="e">
        <f t="array" ref="BP47">_xlfn.STDEV.P(IF($E$5:$E$27=$E46,BP$5:BP$27))</f>
        <v>#DIV/0!</v>
      </c>
      <c r="BQ47" s="94" t="s">
        <v>11</v>
      </c>
      <c r="BR47" s="67" t="e">
        <f t="array" ref="BR47">_xlfn.STDEV.P(IF($E$5:$E$27=$E46,BR$5:BR$27))</f>
        <v>#DIV/0!</v>
      </c>
      <c r="BS47" s="67" t="e">
        <f t="array" ref="BS47">_xlfn.STDEV.P(IF($E$5:$E$27=$E46,BS$5:BS$27))</f>
        <v>#DIV/0!</v>
      </c>
      <c r="BT47" s="67" t="e">
        <f t="array" ref="BT47">_xlfn.STDEV.P(IF($E$5:$E$27=$E46,BT$5:BT$27))</f>
        <v>#DIV/0!</v>
      </c>
      <c r="BU47" s="67" t="e">
        <f t="array" ref="BU47">_xlfn.STDEV.P(IF($E$5:$E$27=$E46,BU$5:BU$27))</f>
        <v>#DIV/0!</v>
      </c>
      <c r="BV47" s="67" t="e">
        <f t="array" ref="BV47">_xlfn.STDEV.P(IF($E$5:$E$27=$E46,BV$5:BV$27))</f>
        <v>#DIV/0!</v>
      </c>
      <c r="BW47" s="67" t="e">
        <f t="array" ref="BW47">_xlfn.STDEV.P(IF($E$5:$E$27=$E46,BW$5:BW$27))</f>
        <v>#DIV/0!</v>
      </c>
      <c r="BX47" s="67" t="e">
        <f t="array" ref="BX47">_xlfn.STDEV.P(IF($E$5:$E$27=$E46,BX$5:BX$27))</f>
        <v>#DIV/0!</v>
      </c>
      <c r="BY47" s="67" t="e">
        <f t="array" ref="BY47">_xlfn.STDEV.P(IF($E$5:$E$27=$E46,BY$5:BY$27))</f>
        <v>#DIV/0!</v>
      </c>
      <c r="BZ47" s="67" t="e">
        <f t="array" ref="BZ47">_xlfn.STDEV.P(IF($E$5:$E$27=$E46,BZ$5:BZ$27))</f>
        <v>#DIV/0!</v>
      </c>
      <c r="CA47" s="67" t="e">
        <f t="array" ref="CA47">_xlfn.STDEV.P(IF($E$5:$E$27=$E46,CA$5:CA$27))</f>
        <v>#DIV/0!</v>
      </c>
      <c r="CB47" s="67" t="e">
        <f t="array" ref="CB47">_xlfn.STDEV.P(IF($E$5:$E$27=$E46,CB$5:CB$27))</f>
        <v>#DIV/0!</v>
      </c>
      <c r="CC47" s="67" t="e">
        <f t="array" ref="CC47">_xlfn.STDEV.P(IF($E$5:$E$27=$E46,CC$5:CC$27))</f>
        <v>#DIV/0!</v>
      </c>
      <c r="CD47" s="67" t="e">
        <f t="array" ref="CD47">_xlfn.STDEV.P(IF($E$5:$E$27=$E46,CD$5:CD$27))</f>
        <v>#DIV/0!</v>
      </c>
      <c r="CE47" s="67" t="e">
        <f t="array" ref="CE47">_xlfn.STDEV.P(IF($E$5:$E$27=$E46,CE$5:CE$27))</f>
        <v>#DIV/0!</v>
      </c>
      <c r="CF47" s="67" t="e">
        <f t="array" ref="CF47">_xlfn.STDEV.P(IF($E$5:$E$27=$E46,CF$5:CF$27))</f>
        <v>#DIV/0!</v>
      </c>
      <c r="CG47" s="67" t="e">
        <f t="array" ref="CG47">_xlfn.STDEV.P(IF($E$5:$E$27=$E46,CG$5:CG$27))</f>
        <v>#DIV/0!</v>
      </c>
      <c r="CH47" s="67" t="e">
        <f t="array" ref="CH47">_xlfn.STDEV.P(IF($E$5:$E$27=$E46,CH$5:CH$27))</f>
        <v>#DIV/0!</v>
      </c>
      <c r="CI47" s="67" t="e">
        <f t="array" ref="CI47">_xlfn.STDEV.P(IF($E$5:$E$27=$E46,CI$5:CI$27))</f>
        <v>#DIV/0!</v>
      </c>
      <c r="CJ47" s="67" t="e">
        <f t="array" ref="CJ47">_xlfn.STDEV.P(IF($E$5:$E$27=$E46,CJ$5:CJ$27))</f>
        <v>#DIV/0!</v>
      </c>
      <c r="CK47" s="67" t="e">
        <f t="array" ref="CK47">_xlfn.STDEV.P(IF($E$5:$E$27=$E46,CK$5:CK$27))</f>
        <v>#DIV/0!</v>
      </c>
      <c r="CL47" s="67" t="e">
        <f t="array" ref="CL47">_xlfn.STDEV.P(IF($E$5:$E$27=$E46,CL$5:CL$27))</f>
        <v>#DIV/0!</v>
      </c>
      <c r="CM47" s="67" t="e">
        <f t="array" ref="CM47">_xlfn.STDEV.P(IF($E$5:$E$27=$E46,CM$5:CM$27))</f>
        <v>#DIV/0!</v>
      </c>
      <c r="CN47" s="67" t="e">
        <f t="array" ref="CN47">_xlfn.STDEV.P(IF($E$5:$E$27=$E46,CN$5:CN$27))</f>
        <v>#DIV/0!</v>
      </c>
      <c r="CO47" s="67" t="e">
        <f t="array" ref="CO47">_xlfn.STDEV.P(IF($E$5:$E$27=$E46,CO$5:CO$27))</f>
        <v>#DIV/0!</v>
      </c>
      <c r="CP47" s="67" t="e">
        <f t="array" ref="CP47">_xlfn.STDEV.P(IF($E$5:$E$27=$E46,CP$5:CP$27))</f>
        <v>#DIV/0!</v>
      </c>
      <c r="CQ47" s="67" t="e">
        <f t="array" ref="CQ47">_xlfn.STDEV.P(IF($E$5:$E$27=$E46,CQ$5:CQ$27))</f>
        <v>#DIV/0!</v>
      </c>
      <c r="CR47" s="67" t="e">
        <f t="array" ref="CR47">_xlfn.STDEV.P(IF($E$5:$E$27=$E46,CR$5:CR$27))</f>
        <v>#DIV/0!</v>
      </c>
      <c r="CS47" s="67" t="e">
        <f t="array" ref="CS47">_xlfn.STDEV.P(IF($E$5:$E$27=$E46,CS$5:CS$27))</f>
        <v>#DIV/0!</v>
      </c>
      <c r="CT47" s="67" t="e">
        <f t="array" ref="CT47">_xlfn.STDEV.P(IF($E$5:$E$27=$E46,CT$5:CT$27))</f>
        <v>#DIV/0!</v>
      </c>
      <c r="CU47" s="67" t="e">
        <f t="array" ref="CU47">_xlfn.STDEV.P(IF($E$5:$E$27=$E46,CU$5:CU$27))</f>
        <v>#DIV/0!</v>
      </c>
      <c r="CV47" s="67" t="e">
        <f t="array" ref="CV47">_xlfn.STDEV.P(IF($E$5:$E$27=$E46,CV$5:CV$27))</f>
        <v>#DIV/0!</v>
      </c>
      <c r="CW47" s="67" t="e">
        <f t="array" ref="CW47">_xlfn.STDEV.P(IF($E$5:$E$27=$E46,CW$5:CW$27))</f>
        <v>#DIV/0!</v>
      </c>
      <c r="CX47" s="67" t="e">
        <f t="array" ref="CX47">_xlfn.STDEV.P(IF($E$5:$E$27=$E46,CX$5:CX$27))</f>
        <v>#DIV/0!</v>
      </c>
      <c r="CY47" s="67" t="e">
        <f t="array" ref="CY47">_xlfn.STDEV.P(IF($E$5:$E$27=$E46,CY$5:CY$27))</f>
        <v>#DIV/0!</v>
      </c>
      <c r="CZ47" s="67" t="e">
        <f t="array" ref="CZ47">_xlfn.STDEV.P(IF($E$5:$E$27=$E46,CZ$5:CZ$27))</f>
        <v>#DIV/0!</v>
      </c>
      <c r="DA47" s="67" t="e">
        <f t="array" ref="DA47">_xlfn.STDEV.P(IF($E$5:$E$27=$E46,DA$5:DA$27))</f>
        <v>#DIV/0!</v>
      </c>
      <c r="DB47" s="67" t="e">
        <f t="array" ref="DB47">_xlfn.STDEV.P(IF($E$5:$E$27=$E46,DB$5:DB$27))</f>
        <v>#DIV/0!</v>
      </c>
      <c r="DC47" s="67" t="e">
        <f t="array" ref="DC47">_xlfn.STDEV.P(IF($E$5:$E$27=$E46,DC$5:DC$27))</f>
        <v>#DIV/0!</v>
      </c>
      <c r="DD47" s="67" t="e">
        <f t="array" ref="DD47">_xlfn.STDEV.P(IF($E$5:$E$27=$E46,DD$5:DD$27))</f>
        <v>#DIV/0!</v>
      </c>
      <c r="DE47" s="67" t="e">
        <f t="array" ref="DE47">_xlfn.STDEV.P(IF($E$5:$E$27=$E46,DE$5:DE$27))</f>
        <v>#DIV/0!</v>
      </c>
      <c r="DF47" s="67" t="e">
        <f t="array" ref="DF47">_xlfn.STDEV.P(IF($E$5:$E$27=$E46,DF$5:DF$27))</f>
        <v>#DIV/0!</v>
      </c>
      <c r="DG47" s="67" t="e">
        <f t="array" ref="DG47">_xlfn.STDEV.P(IF($E$5:$E$27=$E46,DG$5:DG$27))</f>
        <v>#DIV/0!</v>
      </c>
      <c r="DH47" s="67" t="e">
        <f t="array" ref="DH47">_xlfn.STDEV.P(IF($E$5:$E$27=$E46,DH$5:DH$27))</f>
        <v>#DIV/0!</v>
      </c>
      <c r="DI47" s="67" t="e">
        <f t="array" ref="DI47">_xlfn.STDEV.P(IF($E$5:$E$27=$E46,DI$5:DI$27))</f>
        <v>#DIV/0!</v>
      </c>
      <c r="DJ47" s="67" t="e">
        <f t="array" ref="DJ47">_xlfn.STDEV.P(IF($E$5:$E$27=$E46,DJ$5:DJ$27))</f>
        <v>#DIV/0!</v>
      </c>
      <c r="DK47" s="67" t="e">
        <f t="array" ref="DK47">_xlfn.STDEV.P(IF($E$5:$E$27=$E46,DK$5:DK$27))</f>
        <v>#DIV/0!</v>
      </c>
      <c r="DL47" s="165" t="e">
        <f>#REF!</f>
        <v>#REF!</v>
      </c>
      <c r="DM47" s="165" t="e">
        <f>#REF!</f>
        <v>#REF!</v>
      </c>
      <c r="DN47" s="165" t="e">
        <f>#REF!</f>
        <v>#REF!</v>
      </c>
      <c r="DO47" s="165" t="e">
        <f>#REF!</f>
        <v>#REF!</v>
      </c>
      <c r="DP47" s="150" t="e">
        <f>#REF!</f>
        <v>#REF!</v>
      </c>
    </row>
    <row r="48" spans="1:120" ht="15">
      <c r="A48" s="103"/>
      <c r="E48" s="108"/>
      <c r="I48" s="45"/>
      <c r="K48" s="50"/>
      <c r="L48" s="50"/>
      <c r="P48" s="50"/>
      <c r="Q48" s="50"/>
      <c r="R48" s="50"/>
      <c r="S48" s="227"/>
      <c r="T48" s="227"/>
      <c r="U48" s="50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DF48" s="37"/>
      <c r="DG48" s="37"/>
      <c r="DH48" s="37"/>
      <c r="DI48" s="37"/>
      <c r="DJ48" s="37"/>
      <c r="DK48" s="37"/>
      <c r="DL48" s="165"/>
      <c r="DM48" s="165"/>
      <c r="DN48" s="165"/>
      <c r="DO48" s="165"/>
    </row>
    <row r="49" spans="1:120" ht="14.25" customHeight="1">
      <c r="A49" s="103"/>
      <c r="E49" s="108" t="str">
        <f>'NAB_PTX Groups'!C11</f>
        <v>Group 6</v>
      </c>
      <c r="I49" s="108" t="str">
        <f>E49</f>
        <v>Group 6</v>
      </c>
      <c r="J49" s="97" t="e">
        <f>AVERAGEIF($E$5:$E$27,$E49,J$5:J$27)</f>
        <v>#DIV/0!</v>
      </c>
      <c r="K49" s="97"/>
      <c r="L49" s="97"/>
      <c r="M49" s="97" t="e">
        <f t="shared" ref="M49:R49" si="86">AVERAGEIF($E$5:$E$27,$E49,M$5:M$27)</f>
        <v>#DIV/0!</v>
      </c>
      <c r="N49" s="97" t="e">
        <f t="shared" si="86"/>
        <v>#DIV/0!</v>
      </c>
      <c r="O49" s="97" t="e">
        <f t="shared" si="86"/>
        <v>#DIV/0!</v>
      </c>
      <c r="P49" s="97" t="e">
        <f t="shared" si="86"/>
        <v>#DIV/0!</v>
      </c>
      <c r="Q49" s="97" t="e">
        <f t="shared" si="86"/>
        <v>#DIV/0!</v>
      </c>
      <c r="R49" s="97" t="e">
        <f t="shared" si="86"/>
        <v>#DIV/0!</v>
      </c>
      <c r="S49" s="228"/>
      <c r="T49" s="228" t="e">
        <f>AVERAGEIF($E$5:$E$27,$E49,T$5:T$27)</f>
        <v>#DIV/0!</v>
      </c>
      <c r="U49" s="97" t="e">
        <f>AVERAGEIF($E$5:$E$27,$E49,U$5:U$27)</f>
        <v>#DIV/0!</v>
      </c>
      <c r="V49" s="65" t="s">
        <v>9</v>
      </c>
      <c r="W49" s="71" t="e">
        <f t="shared" ref="W49:BP49" si="87">AVERAGEIF($E$5:$E$27,$E49,W$5:W$27)</f>
        <v>#DIV/0!</v>
      </c>
      <c r="X49" s="71" t="e">
        <f t="shared" si="87"/>
        <v>#DIV/0!</v>
      </c>
      <c r="Y49" s="71" t="e">
        <f t="shared" si="87"/>
        <v>#DIV/0!</v>
      </c>
      <c r="Z49" s="71" t="e">
        <f t="shared" si="87"/>
        <v>#DIV/0!</v>
      </c>
      <c r="AA49" s="71" t="e">
        <f t="shared" si="87"/>
        <v>#DIV/0!</v>
      </c>
      <c r="AB49" s="71" t="e">
        <f t="shared" si="87"/>
        <v>#DIV/0!</v>
      </c>
      <c r="AC49" s="71" t="e">
        <f t="shared" si="87"/>
        <v>#DIV/0!</v>
      </c>
      <c r="AD49" s="71" t="e">
        <f t="shared" si="87"/>
        <v>#DIV/0!</v>
      </c>
      <c r="AE49" s="71" t="e">
        <f t="shared" si="87"/>
        <v>#DIV/0!</v>
      </c>
      <c r="AF49" s="71" t="e">
        <f t="shared" si="87"/>
        <v>#DIV/0!</v>
      </c>
      <c r="AG49" s="71" t="e">
        <f t="shared" si="87"/>
        <v>#DIV/0!</v>
      </c>
      <c r="AH49" s="71" t="e">
        <f t="shared" si="87"/>
        <v>#DIV/0!</v>
      </c>
      <c r="AI49" s="71" t="e">
        <f t="shared" si="87"/>
        <v>#DIV/0!</v>
      </c>
      <c r="AJ49" s="71" t="e">
        <f t="shared" si="87"/>
        <v>#DIV/0!</v>
      </c>
      <c r="AK49" s="71" t="e">
        <f t="shared" si="87"/>
        <v>#DIV/0!</v>
      </c>
      <c r="AL49" s="71" t="e">
        <f t="shared" si="87"/>
        <v>#DIV/0!</v>
      </c>
      <c r="AM49" s="71" t="e">
        <f t="shared" si="87"/>
        <v>#DIV/0!</v>
      </c>
      <c r="AN49" s="71" t="e">
        <f t="shared" si="87"/>
        <v>#DIV/0!</v>
      </c>
      <c r="AO49" s="71" t="e">
        <f t="shared" si="87"/>
        <v>#DIV/0!</v>
      </c>
      <c r="AP49" s="71" t="e">
        <f t="shared" si="87"/>
        <v>#DIV/0!</v>
      </c>
      <c r="AQ49" s="71" t="e">
        <f t="shared" si="87"/>
        <v>#DIV/0!</v>
      </c>
      <c r="AR49" s="71" t="e">
        <f t="shared" si="87"/>
        <v>#DIV/0!</v>
      </c>
      <c r="AS49" s="71" t="e">
        <f t="shared" si="87"/>
        <v>#DIV/0!</v>
      </c>
      <c r="AT49" s="71" t="e">
        <f t="shared" si="87"/>
        <v>#DIV/0!</v>
      </c>
      <c r="AU49" s="71" t="e">
        <f t="shared" si="87"/>
        <v>#DIV/0!</v>
      </c>
      <c r="AV49" s="71" t="e">
        <f t="shared" si="87"/>
        <v>#DIV/0!</v>
      </c>
      <c r="AW49" s="71" t="e">
        <f t="shared" si="87"/>
        <v>#DIV/0!</v>
      </c>
      <c r="AX49" s="71" t="e">
        <f t="shared" si="87"/>
        <v>#DIV/0!</v>
      </c>
      <c r="AY49" s="71" t="e">
        <f t="shared" si="87"/>
        <v>#DIV/0!</v>
      </c>
      <c r="AZ49" s="71" t="e">
        <f t="shared" si="87"/>
        <v>#DIV/0!</v>
      </c>
      <c r="BA49" s="71" t="e">
        <f t="shared" si="87"/>
        <v>#DIV/0!</v>
      </c>
      <c r="BB49" s="71" t="e">
        <f t="shared" si="87"/>
        <v>#DIV/0!</v>
      </c>
      <c r="BC49" s="71" t="e">
        <f t="shared" si="87"/>
        <v>#DIV/0!</v>
      </c>
      <c r="BD49" s="71" t="e">
        <f t="shared" si="87"/>
        <v>#DIV/0!</v>
      </c>
      <c r="BE49" s="71" t="e">
        <f t="shared" si="87"/>
        <v>#DIV/0!</v>
      </c>
      <c r="BF49" s="71" t="e">
        <f t="shared" si="87"/>
        <v>#DIV/0!</v>
      </c>
      <c r="BG49" s="71" t="e">
        <f t="shared" si="87"/>
        <v>#DIV/0!</v>
      </c>
      <c r="BH49" s="71" t="e">
        <f t="shared" si="87"/>
        <v>#DIV/0!</v>
      </c>
      <c r="BI49" s="71" t="e">
        <f t="shared" si="87"/>
        <v>#DIV/0!</v>
      </c>
      <c r="BJ49" s="71" t="e">
        <f t="shared" si="87"/>
        <v>#DIV/0!</v>
      </c>
      <c r="BK49" s="71" t="e">
        <f t="shared" si="87"/>
        <v>#DIV/0!</v>
      </c>
      <c r="BL49" s="71" t="e">
        <f t="shared" si="87"/>
        <v>#DIV/0!</v>
      </c>
      <c r="BM49" s="71" t="e">
        <f t="shared" si="87"/>
        <v>#DIV/0!</v>
      </c>
      <c r="BN49" s="71" t="e">
        <f t="shared" si="87"/>
        <v>#DIV/0!</v>
      </c>
      <c r="BO49" s="71" t="e">
        <f t="shared" si="87"/>
        <v>#DIV/0!</v>
      </c>
      <c r="BP49" s="71" t="e">
        <f t="shared" si="87"/>
        <v>#DIV/0!</v>
      </c>
      <c r="BQ49" s="93" t="s">
        <v>9</v>
      </c>
      <c r="BR49" s="66" t="e">
        <f t="shared" ref="BR49:DK49" si="88">AVERAGEIF($E$5:$E$27,$E49,BR$5:BR$27)</f>
        <v>#DIV/0!</v>
      </c>
      <c r="BS49" s="66" t="e">
        <f t="shared" si="88"/>
        <v>#DIV/0!</v>
      </c>
      <c r="BT49" s="66" t="e">
        <f t="shared" si="88"/>
        <v>#DIV/0!</v>
      </c>
      <c r="BU49" s="66" t="e">
        <f t="shared" si="88"/>
        <v>#DIV/0!</v>
      </c>
      <c r="BV49" s="66" t="e">
        <f t="shared" si="88"/>
        <v>#DIV/0!</v>
      </c>
      <c r="BW49" s="66" t="e">
        <f t="shared" si="88"/>
        <v>#DIV/0!</v>
      </c>
      <c r="BX49" s="66" t="e">
        <f t="shared" si="88"/>
        <v>#DIV/0!</v>
      </c>
      <c r="BY49" s="66" t="e">
        <f t="shared" si="88"/>
        <v>#DIV/0!</v>
      </c>
      <c r="BZ49" s="66" t="e">
        <f t="shared" si="88"/>
        <v>#DIV/0!</v>
      </c>
      <c r="CA49" s="66" t="e">
        <f t="shared" si="88"/>
        <v>#DIV/0!</v>
      </c>
      <c r="CB49" s="66" t="e">
        <f t="shared" si="88"/>
        <v>#DIV/0!</v>
      </c>
      <c r="CC49" s="66" t="e">
        <f t="shared" si="88"/>
        <v>#DIV/0!</v>
      </c>
      <c r="CD49" s="66" t="e">
        <f t="shared" si="88"/>
        <v>#DIV/0!</v>
      </c>
      <c r="CE49" s="66" t="e">
        <f t="shared" si="88"/>
        <v>#DIV/0!</v>
      </c>
      <c r="CF49" s="66" t="e">
        <f t="shared" si="88"/>
        <v>#DIV/0!</v>
      </c>
      <c r="CG49" s="66" t="e">
        <f t="shared" si="88"/>
        <v>#DIV/0!</v>
      </c>
      <c r="CH49" s="66" t="e">
        <f t="shared" si="88"/>
        <v>#DIV/0!</v>
      </c>
      <c r="CI49" s="66" t="e">
        <f t="shared" si="88"/>
        <v>#DIV/0!</v>
      </c>
      <c r="CJ49" s="66" t="e">
        <f t="shared" si="88"/>
        <v>#DIV/0!</v>
      </c>
      <c r="CK49" s="66" t="e">
        <f t="shared" si="88"/>
        <v>#DIV/0!</v>
      </c>
      <c r="CL49" s="66" t="e">
        <f t="shared" si="88"/>
        <v>#DIV/0!</v>
      </c>
      <c r="CM49" s="66" t="e">
        <f t="shared" si="88"/>
        <v>#DIV/0!</v>
      </c>
      <c r="CN49" s="66" t="e">
        <f t="shared" si="88"/>
        <v>#DIV/0!</v>
      </c>
      <c r="CO49" s="66" t="e">
        <f t="shared" si="88"/>
        <v>#DIV/0!</v>
      </c>
      <c r="CP49" s="66" t="e">
        <f t="shared" si="88"/>
        <v>#DIV/0!</v>
      </c>
      <c r="CQ49" s="66" t="e">
        <f t="shared" si="88"/>
        <v>#DIV/0!</v>
      </c>
      <c r="CR49" s="66" t="e">
        <f t="shared" si="88"/>
        <v>#DIV/0!</v>
      </c>
      <c r="CS49" s="66" t="e">
        <f t="shared" si="88"/>
        <v>#DIV/0!</v>
      </c>
      <c r="CT49" s="66" t="e">
        <f t="shared" si="88"/>
        <v>#DIV/0!</v>
      </c>
      <c r="CU49" s="66" t="e">
        <f t="shared" si="88"/>
        <v>#DIV/0!</v>
      </c>
      <c r="CV49" s="66" t="e">
        <f t="shared" si="88"/>
        <v>#DIV/0!</v>
      </c>
      <c r="CW49" s="66" t="e">
        <f t="shared" si="88"/>
        <v>#DIV/0!</v>
      </c>
      <c r="CX49" s="66" t="e">
        <f t="shared" si="88"/>
        <v>#DIV/0!</v>
      </c>
      <c r="CY49" s="66" t="e">
        <f t="shared" si="88"/>
        <v>#DIV/0!</v>
      </c>
      <c r="CZ49" s="66" t="e">
        <f t="shared" si="88"/>
        <v>#DIV/0!</v>
      </c>
      <c r="DA49" s="66" t="e">
        <f t="shared" si="88"/>
        <v>#DIV/0!</v>
      </c>
      <c r="DB49" s="66" t="e">
        <f t="shared" si="88"/>
        <v>#DIV/0!</v>
      </c>
      <c r="DC49" s="66" t="e">
        <f t="shared" si="88"/>
        <v>#DIV/0!</v>
      </c>
      <c r="DD49" s="66" t="e">
        <f t="shared" si="88"/>
        <v>#DIV/0!</v>
      </c>
      <c r="DE49" s="66" t="e">
        <f t="shared" si="88"/>
        <v>#DIV/0!</v>
      </c>
      <c r="DF49" s="66" t="e">
        <f t="shared" si="88"/>
        <v>#DIV/0!</v>
      </c>
      <c r="DG49" s="66" t="e">
        <f t="shared" si="88"/>
        <v>#DIV/0!</v>
      </c>
      <c r="DH49" s="66" t="e">
        <f t="shared" si="88"/>
        <v>#DIV/0!</v>
      </c>
      <c r="DI49" s="66" t="e">
        <f t="shared" si="88"/>
        <v>#DIV/0!</v>
      </c>
      <c r="DJ49" s="66" t="e">
        <f t="shared" si="88"/>
        <v>#DIV/0!</v>
      </c>
      <c r="DK49" s="66" t="e">
        <f t="shared" si="88"/>
        <v>#DIV/0!</v>
      </c>
      <c r="DL49" s="166" t="e">
        <f t="shared" ref="DL49:DP49" si="89">SQRT(DL36*DL47-(DL35^2*DL46^2))</f>
        <v>#REF!</v>
      </c>
      <c r="DM49" s="166" t="e">
        <f t="shared" si="89"/>
        <v>#REF!</v>
      </c>
      <c r="DN49" s="166" t="e">
        <f t="shared" si="89"/>
        <v>#REF!</v>
      </c>
      <c r="DO49" s="166" t="e">
        <f t="shared" si="89"/>
        <v>#REF!</v>
      </c>
      <c r="DP49" s="136" t="e">
        <f t="shared" si="89"/>
        <v>#REF!</v>
      </c>
    </row>
    <row r="50" spans="1:120" ht="14.25" customHeight="1">
      <c r="A50" s="103"/>
      <c r="E50" s="108"/>
      <c r="I50" s="83"/>
      <c r="J50" s="97" t="e">
        <f t="array" ref="J50">_xlfn.STDEV.P(IF($E$5:$E$27=$E49,J$5:J$27))</f>
        <v>#DIV/0!</v>
      </c>
      <c r="K50" s="97"/>
      <c r="L50" s="97"/>
      <c r="M50" s="97" t="e">
        <f t="array" ref="M50">_xlfn.STDEV.P(IF($E$5:$E$27=$E49,M$5:M$27))</f>
        <v>#DIV/0!</v>
      </c>
      <c r="N50" s="97" t="e">
        <f t="array" ref="N50">_xlfn.STDEV.P(IF($E$5:$E$27=$E49,N$5:N$27))</f>
        <v>#DIV/0!</v>
      </c>
      <c r="O50" s="97" t="e">
        <f t="array" ref="O50">_xlfn.STDEV.P(IF($E$5:$E$27=$E49,O$5:O$27))</f>
        <v>#DIV/0!</v>
      </c>
      <c r="P50" s="97" t="e">
        <f t="array" ref="P50">_xlfn.STDEV.P(IF($E$5:$E$27=$E49,P$5:P$27))</f>
        <v>#DIV/0!</v>
      </c>
      <c r="Q50" s="97" t="e">
        <f t="array" ref="Q50">_xlfn.STDEV.P(IF($E$5:$E$27=$E49,Q$5:Q$27))</f>
        <v>#DIV/0!</v>
      </c>
      <c r="R50" s="97" t="e">
        <f t="array" ref="R50">_xlfn.STDEV.P(IF($E$5:$E$27=$E49,R$5:R$27))</f>
        <v>#DIV/0!</v>
      </c>
      <c r="S50" s="228"/>
      <c r="T50" s="228" t="e">
        <f t="array" ref="T50">_xlfn.STDEV.P(IF($E$5:$E$27=$E49,T$5:T$27))</f>
        <v>#DIV/0!</v>
      </c>
      <c r="U50" s="97" t="e">
        <f t="array" ref="U50">_xlfn.STDEV.P(IF($E$5:$E$27=$E49,U$5:U$27))</f>
        <v>#DIV/0!</v>
      </c>
      <c r="V50" s="65" t="s">
        <v>11</v>
      </c>
      <c r="W50" s="74" t="e">
        <f t="array" ref="W50">_xlfn.STDEV.P(IF($E$5:$E$27=$E49,W$5:W$27))</f>
        <v>#DIV/0!</v>
      </c>
      <c r="X50" s="74" t="e">
        <f t="array" ref="X50">_xlfn.STDEV.P(IF($E$5:$E$27=$E49,X$5:X$27))</f>
        <v>#DIV/0!</v>
      </c>
      <c r="Y50" s="74" t="e">
        <f t="array" ref="Y50">_xlfn.STDEV.P(IF($E$5:$E$27=$E49,Y$5:Y$27))</f>
        <v>#DIV/0!</v>
      </c>
      <c r="Z50" s="74" t="e">
        <f t="array" ref="Z50">_xlfn.STDEV.P(IF($E$5:$E$27=$E49,Z$5:Z$27))</f>
        <v>#DIV/0!</v>
      </c>
      <c r="AA50" s="74" t="e">
        <f t="array" ref="AA50">_xlfn.STDEV.P(IF($E$5:$E$27=$E49,AA$5:AA$27))</f>
        <v>#DIV/0!</v>
      </c>
      <c r="AB50" s="74" t="e">
        <f t="array" ref="AB50">_xlfn.STDEV.P(IF($E$5:$E$27=$E49,AB$5:AB$27))</f>
        <v>#DIV/0!</v>
      </c>
      <c r="AC50" s="74" t="e">
        <f t="array" ref="AC50">_xlfn.STDEV.P(IF($E$5:$E$27=$E49,AC$5:AC$27))</f>
        <v>#DIV/0!</v>
      </c>
      <c r="AD50" s="74" t="e">
        <f t="array" ref="AD50">_xlfn.STDEV.P(IF($E$5:$E$27=$E49,AD$5:AD$27))</f>
        <v>#DIV/0!</v>
      </c>
      <c r="AE50" s="74" t="e">
        <f t="array" ref="AE50">_xlfn.STDEV.P(IF($E$5:$E$27=$E49,AE$5:AE$27))</f>
        <v>#DIV/0!</v>
      </c>
      <c r="AF50" s="74" t="e">
        <f t="array" ref="AF50">_xlfn.STDEV.P(IF($E$5:$E$27=$E49,AF$5:AF$27))</f>
        <v>#DIV/0!</v>
      </c>
      <c r="AG50" s="74" t="e">
        <f t="array" ref="AG50">_xlfn.STDEV.P(IF($E$5:$E$27=$E49,AG$5:AG$27))</f>
        <v>#DIV/0!</v>
      </c>
      <c r="AH50" s="74" t="e">
        <f t="array" ref="AH50">_xlfn.STDEV.P(IF($E$5:$E$27=$E49,AH$5:AH$27))</f>
        <v>#DIV/0!</v>
      </c>
      <c r="AI50" s="74" t="e">
        <f t="array" ref="AI50">_xlfn.STDEV.P(IF($E$5:$E$27=$E49,AI$5:AI$27))</f>
        <v>#DIV/0!</v>
      </c>
      <c r="AJ50" s="74" t="e">
        <f t="array" ref="AJ50">_xlfn.STDEV.P(IF($E$5:$E$27=$E49,AJ$5:AJ$27))</f>
        <v>#DIV/0!</v>
      </c>
      <c r="AK50" s="74" t="e">
        <f t="array" ref="AK50">_xlfn.STDEV.P(IF($E$5:$E$27=$E49,AK$5:AK$27))</f>
        <v>#DIV/0!</v>
      </c>
      <c r="AL50" s="74" t="e">
        <f t="array" ref="AL50">_xlfn.STDEV.P(IF($E$5:$E$27=$E49,AL$5:AL$27))</f>
        <v>#DIV/0!</v>
      </c>
      <c r="AM50" s="74" t="e">
        <f t="array" ref="AM50">_xlfn.STDEV.P(IF($E$5:$E$27=$E49,AM$5:AM$27))</f>
        <v>#DIV/0!</v>
      </c>
      <c r="AN50" s="74" t="e">
        <f t="array" ref="AN50">_xlfn.STDEV.P(IF($E$5:$E$27=$E49,AN$5:AN$27))</f>
        <v>#DIV/0!</v>
      </c>
      <c r="AO50" s="74" t="e">
        <f t="array" ref="AO50">_xlfn.STDEV.P(IF($E$5:$E$27=$E49,AO$5:AO$27))</f>
        <v>#DIV/0!</v>
      </c>
      <c r="AP50" s="74" t="e">
        <f t="array" ref="AP50">_xlfn.STDEV.P(IF($E$5:$E$27=$E49,AP$5:AP$27))</f>
        <v>#DIV/0!</v>
      </c>
      <c r="AQ50" s="74" t="e">
        <f t="array" ref="AQ50">_xlfn.STDEV.P(IF($E$5:$E$27=$E49,AQ$5:AQ$27))</f>
        <v>#DIV/0!</v>
      </c>
      <c r="AR50" s="74" t="e">
        <f t="array" ref="AR50">_xlfn.STDEV.P(IF($E$5:$E$27=$E49,AR$5:AR$27))</f>
        <v>#DIV/0!</v>
      </c>
      <c r="AS50" s="74" t="e">
        <f t="array" ref="AS50">_xlfn.STDEV.P(IF($E$5:$E$27=$E49,AS$5:AS$27))</f>
        <v>#DIV/0!</v>
      </c>
      <c r="AT50" s="74" t="e">
        <f t="array" ref="AT50">_xlfn.STDEV.P(IF($E$5:$E$27=$E49,AT$5:AT$27))</f>
        <v>#DIV/0!</v>
      </c>
      <c r="AU50" s="74" t="e">
        <f t="array" ref="AU50">_xlfn.STDEV.P(IF($E$5:$E$27=$E49,AU$5:AU$27))</f>
        <v>#DIV/0!</v>
      </c>
      <c r="AV50" s="74" t="e">
        <f t="array" ref="AV50">_xlfn.STDEV.P(IF($E$5:$E$27=$E49,AV$5:AV$27))</f>
        <v>#DIV/0!</v>
      </c>
      <c r="AW50" s="74" t="e">
        <f t="array" ref="AW50">_xlfn.STDEV.P(IF($E$5:$E$27=$E49,AW$5:AW$27))</f>
        <v>#DIV/0!</v>
      </c>
      <c r="AX50" s="74" t="e">
        <f t="array" ref="AX50">_xlfn.STDEV.P(IF($E$5:$E$27=$E49,AX$5:AX$27))</f>
        <v>#DIV/0!</v>
      </c>
      <c r="AY50" s="74" t="e">
        <f t="array" ref="AY50">_xlfn.STDEV.P(IF($E$5:$E$27=$E49,AY$5:AY$27))</f>
        <v>#DIV/0!</v>
      </c>
      <c r="AZ50" s="74" t="e">
        <f t="array" ref="AZ50">_xlfn.STDEV.P(IF($E$5:$E$27=$E49,AZ$5:AZ$27))</f>
        <v>#DIV/0!</v>
      </c>
      <c r="BA50" s="74" t="e">
        <f t="array" ref="BA50">_xlfn.STDEV.P(IF($E$5:$E$27=$E49,BA$5:BA$27))</f>
        <v>#DIV/0!</v>
      </c>
      <c r="BB50" s="74" t="e">
        <f t="array" ref="BB50">_xlfn.STDEV.P(IF($E$5:$E$27=$E49,BB$5:BB$27))</f>
        <v>#DIV/0!</v>
      </c>
      <c r="BC50" s="74" t="e">
        <f t="array" ref="BC50">_xlfn.STDEV.P(IF($E$5:$E$27=$E49,BC$5:BC$27))</f>
        <v>#DIV/0!</v>
      </c>
      <c r="BD50" s="74" t="e">
        <f t="array" ref="BD50">_xlfn.STDEV.P(IF($E$5:$E$27=$E49,BD$5:BD$27))</f>
        <v>#DIV/0!</v>
      </c>
      <c r="BE50" s="74" t="e">
        <f t="array" ref="BE50">_xlfn.STDEV.P(IF($E$5:$E$27=$E49,BE$5:BE$27))</f>
        <v>#DIV/0!</v>
      </c>
      <c r="BF50" s="74" t="e">
        <f t="array" ref="BF50">_xlfn.STDEV.P(IF($E$5:$E$27=$E49,BF$5:BF$27))</f>
        <v>#DIV/0!</v>
      </c>
      <c r="BG50" s="74" t="e">
        <f t="array" ref="BG50">_xlfn.STDEV.P(IF($E$5:$E$27=$E49,BG$5:BG$27))</f>
        <v>#DIV/0!</v>
      </c>
      <c r="BH50" s="74" t="e">
        <f t="array" ref="BH50">_xlfn.STDEV.P(IF($E$5:$E$27=$E49,BH$5:BH$27))</f>
        <v>#DIV/0!</v>
      </c>
      <c r="BI50" s="74" t="e">
        <f t="array" ref="BI50">_xlfn.STDEV.P(IF($E$5:$E$27=$E49,BI$5:BI$27))</f>
        <v>#DIV/0!</v>
      </c>
      <c r="BJ50" s="74" t="e">
        <f t="array" ref="BJ50">_xlfn.STDEV.P(IF($E$5:$E$27=$E49,BJ$5:BJ$27))</f>
        <v>#DIV/0!</v>
      </c>
      <c r="BK50" s="74" t="e">
        <f t="array" ref="BK50">_xlfn.STDEV.P(IF($E$5:$E$27=$E49,BK$5:BK$27))</f>
        <v>#DIV/0!</v>
      </c>
      <c r="BL50" s="74" t="e">
        <f t="array" ref="BL50">_xlfn.STDEV.P(IF($E$5:$E$27=$E49,BL$5:BL$27))</f>
        <v>#DIV/0!</v>
      </c>
      <c r="BM50" s="74" t="e">
        <f t="array" ref="BM50">_xlfn.STDEV.P(IF($E$5:$E$27=$E49,BM$5:BM$27))</f>
        <v>#DIV/0!</v>
      </c>
      <c r="BN50" s="74" t="e">
        <f t="array" ref="BN50">_xlfn.STDEV.P(IF($E$5:$E$27=$E49,BN$5:BN$27))</f>
        <v>#DIV/0!</v>
      </c>
      <c r="BO50" s="74" t="e">
        <f t="array" ref="BO50">_xlfn.STDEV.P(IF($E$5:$E$27=$E49,BO$5:BO$27))</f>
        <v>#DIV/0!</v>
      </c>
      <c r="BP50" s="74" t="e">
        <f t="array" ref="BP50">_xlfn.STDEV.P(IF($E$5:$E$27=$E49,BP$5:BP$27))</f>
        <v>#DIV/0!</v>
      </c>
      <c r="BQ50" s="94" t="s">
        <v>11</v>
      </c>
      <c r="BR50" s="67" t="e">
        <f t="array" ref="BR50">_xlfn.STDEV.P(IF($E$5:$E$27=$E49,BR$5:BR$27))</f>
        <v>#DIV/0!</v>
      </c>
      <c r="BS50" s="67" t="e">
        <f t="array" ref="BS50">_xlfn.STDEV.P(IF($E$5:$E$27=$E49,BS$5:BS$27))</f>
        <v>#DIV/0!</v>
      </c>
      <c r="BT50" s="67" t="e">
        <f t="array" ref="BT50">_xlfn.STDEV.P(IF($E$5:$E$27=$E49,BT$5:BT$27))</f>
        <v>#DIV/0!</v>
      </c>
      <c r="BU50" s="67" t="e">
        <f t="array" ref="BU50">_xlfn.STDEV.P(IF($E$5:$E$27=$E49,BU$5:BU$27))</f>
        <v>#DIV/0!</v>
      </c>
      <c r="BV50" s="67" t="e">
        <f t="array" ref="BV50">_xlfn.STDEV.P(IF($E$5:$E$27=$E49,BV$5:BV$27))</f>
        <v>#DIV/0!</v>
      </c>
      <c r="BW50" s="67" t="e">
        <f t="array" ref="BW50">_xlfn.STDEV.P(IF($E$5:$E$27=$E49,BW$5:BW$27))</f>
        <v>#DIV/0!</v>
      </c>
      <c r="BX50" s="67" t="e">
        <f t="array" ref="BX50">_xlfn.STDEV.P(IF($E$5:$E$27=$E49,BX$5:BX$27))</f>
        <v>#DIV/0!</v>
      </c>
      <c r="BY50" s="67" t="e">
        <f t="array" ref="BY50">_xlfn.STDEV.P(IF($E$5:$E$27=$E49,BY$5:BY$27))</f>
        <v>#DIV/0!</v>
      </c>
      <c r="BZ50" s="67" t="e">
        <f t="array" ref="BZ50">_xlfn.STDEV.P(IF($E$5:$E$27=$E49,BZ$5:BZ$27))</f>
        <v>#DIV/0!</v>
      </c>
      <c r="CA50" s="67" t="e">
        <f t="array" ref="CA50">_xlfn.STDEV.P(IF($E$5:$E$27=$E49,CA$5:CA$27))</f>
        <v>#DIV/0!</v>
      </c>
      <c r="CB50" s="67" t="e">
        <f t="array" ref="CB50">_xlfn.STDEV.P(IF($E$5:$E$27=$E49,CB$5:CB$27))</f>
        <v>#DIV/0!</v>
      </c>
      <c r="CC50" s="67" t="e">
        <f t="array" ref="CC50">_xlfn.STDEV.P(IF($E$5:$E$27=$E49,CC$5:CC$27))</f>
        <v>#DIV/0!</v>
      </c>
      <c r="CD50" s="67" t="e">
        <f t="array" ref="CD50">_xlfn.STDEV.P(IF($E$5:$E$27=$E49,CD$5:CD$27))</f>
        <v>#DIV/0!</v>
      </c>
      <c r="CE50" s="67" t="e">
        <f t="array" ref="CE50">_xlfn.STDEV.P(IF($E$5:$E$27=$E49,CE$5:CE$27))</f>
        <v>#DIV/0!</v>
      </c>
      <c r="CF50" s="67" t="e">
        <f t="array" ref="CF50">_xlfn.STDEV.P(IF($E$5:$E$27=$E49,CF$5:CF$27))</f>
        <v>#DIV/0!</v>
      </c>
      <c r="CG50" s="67" t="e">
        <f t="array" ref="CG50">_xlfn.STDEV.P(IF($E$5:$E$27=$E49,CG$5:CG$27))</f>
        <v>#DIV/0!</v>
      </c>
      <c r="CH50" s="67" t="e">
        <f t="array" ref="CH50">_xlfn.STDEV.P(IF($E$5:$E$27=$E49,CH$5:CH$27))</f>
        <v>#DIV/0!</v>
      </c>
      <c r="CI50" s="67" t="e">
        <f t="array" ref="CI50">_xlfn.STDEV.P(IF($E$5:$E$27=$E49,CI$5:CI$27))</f>
        <v>#DIV/0!</v>
      </c>
      <c r="CJ50" s="67" t="e">
        <f t="array" ref="CJ50">_xlfn.STDEV.P(IF($E$5:$E$27=$E49,CJ$5:CJ$27))</f>
        <v>#DIV/0!</v>
      </c>
      <c r="CK50" s="67" t="e">
        <f t="array" ref="CK50">_xlfn.STDEV.P(IF($E$5:$E$27=$E49,CK$5:CK$27))</f>
        <v>#DIV/0!</v>
      </c>
      <c r="CL50" s="67" t="e">
        <f t="array" ref="CL50">_xlfn.STDEV.P(IF($E$5:$E$27=$E49,CL$5:CL$27))</f>
        <v>#DIV/0!</v>
      </c>
      <c r="CM50" s="67" t="e">
        <f t="array" ref="CM50">_xlfn.STDEV.P(IF($E$5:$E$27=$E49,CM$5:CM$27))</f>
        <v>#DIV/0!</v>
      </c>
      <c r="CN50" s="67" t="e">
        <f t="array" ref="CN50">_xlfn.STDEV.P(IF($E$5:$E$27=$E49,CN$5:CN$27))</f>
        <v>#DIV/0!</v>
      </c>
      <c r="CO50" s="67" t="e">
        <f t="array" ref="CO50">_xlfn.STDEV.P(IF($E$5:$E$27=$E49,CO$5:CO$27))</f>
        <v>#DIV/0!</v>
      </c>
      <c r="CP50" s="67" t="e">
        <f t="array" ref="CP50">_xlfn.STDEV.P(IF($E$5:$E$27=$E49,CP$5:CP$27))</f>
        <v>#DIV/0!</v>
      </c>
      <c r="CQ50" s="67" t="e">
        <f t="array" ref="CQ50">_xlfn.STDEV.P(IF($E$5:$E$27=$E49,CQ$5:CQ$27))</f>
        <v>#DIV/0!</v>
      </c>
      <c r="CR50" s="67" t="e">
        <f t="array" ref="CR50">_xlfn.STDEV.P(IF($E$5:$E$27=$E49,CR$5:CR$27))</f>
        <v>#DIV/0!</v>
      </c>
      <c r="CS50" s="67" t="e">
        <f t="array" ref="CS50">_xlfn.STDEV.P(IF($E$5:$E$27=$E49,CS$5:CS$27))</f>
        <v>#DIV/0!</v>
      </c>
      <c r="CT50" s="67" t="e">
        <f t="array" ref="CT50">_xlfn.STDEV.P(IF($E$5:$E$27=$E49,CT$5:CT$27))</f>
        <v>#DIV/0!</v>
      </c>
      <c r="CU50" s="67" t="e">
        <f t="array" ref="CU50">_xlfn.STDEV.P(IF($E$5:$E$27=$E49,CU$5:CU$27))</f>
        <v>#DIV/0!</v>
      </c>
      <c r="CV50" s="67" t="e">
        <f t="array" ref="CV50">_xlfn.STDEV.P(IF($E$5:$E$27=$E49,CV$5:CV$27))</f>
        <v>#DIV/0!</v>
      </c>
      <c r="CW50" s="67" t="e">
        <f t="array" ref="CW50">_xlfn.STDEV.P(IF($E$5:$E$27=$E49,CW$5:CW$27))</f>
        <v>#DIV/0!</v>
      </c>
      <c r="CX50" s="67" t="e">
        <f t="array" ref="CX50">_xlfn.STDEV.P(IF($E$5:$E$27=$E49,CX$5:CX$27))</f>
        <v>#DIV/0!</v>
      </c>
      <c r="CY50" s="67" t="e">
        <f t="array" ref="CY50">_xlfn.STDEV.P(IF($E$5:$E$27=$E49,CY$5:CY$27))</f>
        <v>#DIV/0!</v>
      </c>
      <c r="CZ50" s="67" t="e">
        <f t="array" ref="CZ50">_xlfn.STDEV.P(IF($E$5:$E$27=$E49,CZ$5:CZ$27))</f>
        <v>#DIV/0!</v>
      </c>
      <c r="DA50" s="67" t="e">
        <f t="array" ref="DA50">_xlfn.STDEV.P(IF($E$5:$E$27=$E49,DA$5:DA$27))</f>
        <v>#DIV/0!</v>
      </c>
      <c r="DB50" s="67" t="e">
        <f t="array" ref="DB50">_xlfn.STDEV.P(IF($E$5:$E$27=$E49,DB$5:DB$27))</f>
        <v>#DIV/0!</v>
      </c>
      <c r="DC50" s="67" t="e">
        <f t="array" ref="DC50">_xlfn.STDEV.P(IF($E$5:$E$27=$E49,DC$5:DC$27))</f>
        <v>#DIV/0!</v>
      </c>
      <c r="DD50" s="67" t="e">
        <f t="array" ref="DD50">_xlfn.STDEV.P(IF($E$5:$E$27=$E49,DD$5:DD$27))</f>
        <v>#DIV/0!</v>
      </c>
      <c r="DE50" s="67" t="e">
        <f t="array" ref="DE50">_xlfn.STDEV.P(IF($E$5:$E$27=$E49,DE$5:DE$27))</f>
        <v>#DIV/0!</v>
      </c>
      <c r="DF50" s="67" t="e">
        <f t="array" ref="DF50">_xlfn.STDEV.P(IF($E$5:$E$27=$E49,DF$5:DF$27))</f>
        <v>#DIV/0!</v>
      </c>
      <c r="DG50" s="67" t="e">
        <f t="array" ref="DG50">_xlfn.STDEV.P(IF($E$5:$E$27=$E49,DG$5:DG$27))</f>
        <v>#DIV/0!</v>
      </c>
      <c r="DH50" s="67" t="e">
        <f t="array" ref="DH50">_xlfn.STDEV.P(IF($E$5:$E$27=$E49,DH$5:DH$27))</f>
        <v>#DIV/0!</v>
      </c>
      <c r="DI50" s="67" t="e">
        <f t="array" ref="DI50">_xlfn.STDEV.P(IF($E$5:$E$27=$E49,DI$5:DI$27))</f>
        <v>#DIV/0!</v>
      </c>
      <c r="DJ50" s="67" t="e">
        <f t="array" ref="DJ50">_xlfn.STDEV.P(IF($E$5:$E$27=$E49,DJ$5:DJ$27))</f>
        <v>#DIV/0!</v>
      </c>
      <c r="DK50" s="67" t="e">
        <f t="array" ref="DK50">_xlfn.STDEV.P(IF($E$5:$E$27=$E49,DK$5:DK$27))</f>
        <v>#DIV/0!</v>
      </c>
      <c r="DL50" s="165"/>
      <c r="DM50" s="165"/>
      <c r="DN50" s="165"/>
      <c r="DO50" s="165"/>
    </row>
    <row r="51" spans="1:120" s="150" customFormat="1" ht="14.25" customHeight="1">
      <c r="A51" s="146"/>
      <c r="B51" s="147"/>
      <c r="C51" s="148"/>
      <c r="D51" s="169"/>
      <c r="E51" s="149"/>
      <c r="G51" s="147"/>
      <c r="H51" s="147"/>
      <c r="I51" s="151"/>
      <c r="J51" s="152"/>
      <c r="K51" s="152"/>
      <c r="L51" s="152"/>
      <c r="M51" s="152"/>
      <c r="N51" s="152"/>
      <c r="O51" s="152"/>
      <c r="P51" s="152"/>
      <c r="Q51" s="152"/>
      <c r="R51" s="152"/>
      <c r="S51" s="228"/>
      <c r="T51" s="228"/>
      <c r="U51" s="152"/>
      <c r="V51" s="153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144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5"/>
      <c r="CU51" s="145"/>
      <c r="CV51" s="145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5"/>
      <c r="DH51" s="145"/>
      <c r="DI51" s="145"/>
      <c r="DJ51" s="145"/>
      <c r="DK51" s="145"/>
      <c r="DL51" s="165"/>
      <c r="DM51" s="165"/>
      <c r="DN51" s="165"/>
      <c r="DO51" s="165"/>
    </row>
    <row r="52" spans="1:120" s="159" customFormat="1" ht="14.25" customHeight="1">
      <c r="A52" s="155"/>
      <c r="B52" s="156"/>
      <c r="C52" s="157"/>
      <c r="D52" s="170"/>
      <c r="E52" s="158"/>
      <c r="G52" s="156"/>
      <c r="H52" s="156"/>
      <c r="I52" s="160"/>
      <c r="J52" s="161"/>
      <c r="K52" s="161"/>
      <c r="L52" s="161"/>
      <c r="M52" s="161"/>
      <c r="N52" s="161"/>
      <c r="O52" s="161"/>
      <c r="P52" s="161"/>
      <c r="Q52" s="161"/>
      <c r="R52" s="161"/>
      <c r="S52" s="228"/>
      <c r="T52" s="228"/>
      <c r="U52" s="161"/>
      <c r="V52" s="162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163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  <c r="CG52" s="154"/>
      <c r="CH52" s="154"/>
      <c r="CI52" s="154"/>
      <c r="CJ52" s="154"/>
      <c r="CK52" s="154"/>
      <c r="CL52" s="154"/>
      <c r="CM52" s="154"/>
      <c r="CN52" s="154"/>
      <c r="CO52" s="154"/>
      <c r="CP52" s="154"/>
      <c r="CQ52" s="154"/>
      <c r="CR52" s="154"/>
      <c r="CS52" s="154"/>
      <c r="CT52" s="154"/>
      <c r="CU52" s="154"/>
      <c r="CV52" s="154"/>
      <c r="CW52" s="154"/>
      <c r="CX52" s="154"/>
      <c r="CY52" s="154"/>
      <c r="CZ52" s="154"/>
      <c r="DA52" s="154"/>
      <c r="DB52" s="154"/>
      <c r="DC52" s="154"/>
      <c r="DD52" s="154"/>
      <c r="DE52" s="154"/>
      <c r="DF52" s="154"/>
      <c r="DG52" s="154"/>
      <c r="DH52" s="154"/>
      <c r="DI52" s="154"/>
      <c r="DJ52" s="154"/>
      <c r="DK52" s="154"/>
      <c r="DL52" s="165"/>
      <c r="DM52" s="165"/>
      <c r="DN52" s="165"/>
      <c r="DO52" s="165"/>
    </row>
    <row r="53" spans="1:120" ht="15">
      <c r="A53" s="103"/>
      <c r="E53" s="108"/>
      <c r="I53" s="45"/>
      <c r="K53" s="50"/>
      <c r="L53" s="50"/>
      <c r="P53" s="50"/>
      <c r="Q53" s="50"/>
      <c r="R53" s="50"/>
      <c r="S53" s="227"/>
      <c r="T53" s="227"/>
      <c r="U53" s="50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DF53" s="37"/>
      <c r="DG53" s="37"/>
      <c r="DH53" s="37"/>
      <c r="DI53" s="37"/>
      <c r="DJ53" s="37"/>
      <c r="DK53" s="37"/>
      <c r="DL53" s="165"/>
      <c r="DM53" s="165"/>
      <c r="DN53" s="165"/>
      <c r="DO53" s="165"/>
    </row>
    <row r="54" spans="1:120" ht="14.25" customHeight="1">
      <c r="A54" s="103"/>
      <c r="E54" s="108" t="str">
        <f>'NAB_PTX Groups'!C12</f>
        <v>Group 7</v>
      </c>
      <c r="I54" s="108" t="str">
        <f>E54</f>
        <v>Group 7</v>
      </c>
      <c r="J54" s="97" t="e">
        <f>AVERAGEIF($E$5:$E$27,$E54,J$5:J$27)</f>
        <v>#DIV/0!</v>
      </c>
      <c r="K54" s="97"/>
      <c r="L54" s="97"/>
      <c r="M54" s="97" t="e">
        <f t="shared" ref="M54:R54" si="90">AVERAGEIF($E$5:$E$27,$E54,M$5:M$27)</f>
        <v>#DIV/0!</v>
      </c>
      <c r="N54" s="97" t="e">
        <f t="shared" si="90"/>
        <v>#DIV/0!</v>
      </c>
      <c r="O54" s="97" t="e">
        <f t="shared" si="90"/>
        <v>#DIV/0!</v>
      </c>
      <c r="P54" s="97" t="e">
        <f t="shared" si="90"/>
        <v>#DIV/0!</v>
      </c>
      <c r="Q54" s="97" t="e">
        <f t="shared" si="90"/>
        <v>#DIV/0!</v>
      </c>
      <c r="R54" s="97" t="e">
        <f t="shared" si="90"/>
        <v>#DIV/0!</v>
      </c>
      <c r="S54" s="228"/>
      <c r="T54" s="228" t="e">
        <f>AVERAGEIF($E$5:$E$27,$E54,T$5:T$27)</f>
        <v>#DIV/0!</v>
      </c>
      <c r="U54" s="97" t="e">
        <f>AVERAGEIF($E$5:$E$27,$E54,U$5:U$27)</f>
        <v>#DIV/0!</v>
      </c>
      <c r="V54" s="65" t="s">
        <v>9</v>
      </c>
      <c r="W54" s="71" t="e">
        <f t="shared" ref="W54:BP54" si="91">AVERAGEIF($E$5:$E$27,$E54,W$5:W$27)</f>
        <v>#DIV/0!</v>
      </c>
      <c r="X54" s="71" t="e">
        <f t="shared" si="91"/>
        <v>#DIV/0!</v>
      </c>
      <c r="Y54" s="71" t="e">
        <f t="shared" si="91"/>
        <v>#DIV/0!</v>
      </c>
      <c r="Z54" s="71" t="e">
        <f t="shared" si="91"/>
        <v>#DIV/0!</v>
      </c>
      <c r="AA54" s="71" t="e">
        <f t="shared" si="91"/>
        <v>#DIV/0!</v>
      </c>
      <c r="AB54" s="71" t="e">
        <f t="shared" si="91"/>
        <v>#DIV/0!</v>
      </c>
      <c r="AC54" s="71" t="e">
        <f t="shared" si="91"/>
        <v>#DIV/0!</v>
      </c>
      <c r="AD54" s="71" t="e">
        <f t="shared" si="91"/>
        <v>#DIV/0!</v>
      </c>
      <c r="AE54" s="71" t="e">
        <f t="shared" si="91"/>
        <v>#DIV/0!</v>
      </c>
      <c r="AF54" s="71" t="e">
        <f t="shared" si="91"/>
        <v>#DIV/0!</v>
      </c>
      <c r="AG54" s="71" t="e">
        <f t="shared" si="91"/>
        <v>#DIV/0!</v>
      </c>
      <c r="AH54" s="71" t="e">
        <f t="shared" si="91"/>
        <v>#DIV/0!</v>
      </c>
      <c r="AI54" s="71" t="e">
        <f t="shared" si="91"/>
        <v>#DIV/0!</v>
      </c>
      <c r="AJ54" s="71" t="e">
        <f t="shared" si="91"/>
        <v>#DIV/0!</v>
      </c>
      <c r="AK54" s="71" t="e">
        <f t="shared" si="91"/>
        <v>#DIV/0!</v>
      </c>
      <c r="AL54" s="71" t="e">
        <f t="shared" si="91"/>
        <v>#DIV/0!</v>
      </c>
      <c r="AM54" s="71" t="e">
        <f t="shared" si="91"/>
        <v>#DIV/0!</v>
      </c>
      <c r="AN54" s="71" t="e">
        <f t="shared" si="91"/>
        <v>#DIV/0!</v>
      </c>
      <c r="AO54" s="71" t="e">
        <f t="shared" si="91"/>
        <v>#DIV/0!</v>
      </c>
      <c r="AP54" s="71" t="e">
        <f t="shared" si="91"/>
        <v>#DIV/0!</v>
      </c>
      <c r="AQ54" s="71" t="e">
        <f t="shared" si="91"/>
        <v>#DIV/0!</v>
      </c>
      <c r="AR54" s="71" t="e">
        <f t="shared" si="91"/>
        <v>#DIV/0!</v>
      </c>
      <c r="AS54" s="71" t="e">
        <f t="shared" si="91"/>
        <v>#DIV/0!</v>
      </c>
      <c r="AT54" s="71" t="e">
        <f t="shared" si="91"/>
        <v>#DIV/0!</v>
      </c>
      <c r="AU54" s="71" t="e">
        <f t="shared" si="91"/>
        <v>#DIV/0!</v>
      </c>
      <c r="AV54" s="71" t="e">
        <f t="shared" si="91"/>
        <v>#DIV/0!</v>
      </c>
      <c r="AW54" s="71" t="e">
        <f t="shared" si="91"/>
        <v>#DIV/0!</v>
      </c>
      <c r="AX54" s="71" t="e">
        <f t="shared" si="91"/>
        <v>#DIV/0!</v>
      </c>
      <c r="AY54" s="71" t="e">
        <f t="shared" si="91"/>
        <v>#DIV/0!</v>
      </c>
      <c r="AZ54" s="71" t="e">
        <f t="shared" si="91"/>
        <v>#DIV/0!</v>
      </c>
      <c r="BA54" s="71" t="e">
        <f t="shared" si="91"/>
        <v>#DIV/0!</v>
      </c>
      <c r="BB54" s="71" t="e">
        <f t="shared" si="91"/>
        <v>#DIV/0!</v>
      </c>
      <c r="BC54" s="71" t="e">
        <f t="shared" si="91"/>
        <v>#DIV/0!</v>
      </c>
      <c r="BD54" s="71" t="e">
        <f t="shared" si="91"/>
        <v>#DIV/0!</v>
      </c>
      <c r="BE54" s="71" t="e">
        <f t="shared" si="91"/>
        <v>#DIV/0!</v>
      </c>
      <c r="BF54" s="71" t="e">
        <f t="shared" si="91"/>
        <v>#DIV/0!</v>
      </c>
      <c r="BG54" s="71" t="e">
        <f t="shared" si="91"/>
        <v>#DIV/0!</v>
      </c>
      <c r="BH54" s="71" t="e">
        <f t="shared" si="91"/>
        <v>#DIV/0!</v>
      </c>
      <c r="BI54" s="71" t="e">
        <f t="shared" si="91"/>
        <v>#DIV/0!</v>
      </c>
      <c r="BJ54" s="71" t="e">
        <f t="shared" si="91"/>
        <v>#DIV/0!</v>
      </c>
      <c r="BK54" s="71" t="e">
        <f t="shared" si="91"/>
        <v>#DIV/0!</v>
      </c>
      <c r="BL54" s="71" t="e">
        <f t="shared" si="91"/>
        <v>#DIV/0!</v>
      </c>
      <c r="BM54" s="71" t="e">
        <f t="shared" si="91"/>
        <v>#DIV/0!</v>
      </c>
      <c r="BN54" s="71" t="e">
        <f t="shared" si="91"/>
        <v>#DIV/0!</v>
      </c>
      <c r="BO54" s="71" t="e">
        <f t="shared" si="91"/>
        <v>#DIV/0!</v>
      </c>
      <c r="BP54" s="71" t="e">
        <f t="shared" si="91"/>
        <v>#DIV/0!</v>
      </c>
      <c r="BQ54" s="93" t="s">
        <v>9</v>
      </c>
      <c r="BR54" s="66" t="e">
        <f t="shared" ref="BR54:DK54" si="92">AVERAGEIF($E$5:$E$27,$E54,BR$5:BR$27)</f>
        <v>#DIV/0!</v>
      </c>
      <c r="BS54" s="66" t="e">
        <f t="shared" si="92"/>
        <v>#DIV/0!</v>
      </c>
      <c r="BT54" s="66" t="e">
        <f t="shared" si="92"/>
        <v>#DIV/0!</v>
      </c>
      <c r="BU54" s="66" t="e">
        <f t="shared" si="92"/>
        <v>#DIV/0!</v>
      </c>
      <c r="BV54" s="66" t="e">
        <f t="shared" si="92"/>
        <v>#DIV/0!</v>
      </c>
      <c r="BW54" s="66" t="e">
        <f t="shared" si="92"/>
        <v>#DIV/0!</v>
      </c>
      <c r="BX54" s="66" t="e">
        <f t="shared" si="92"/>
        <v>#DIV/0!</v>
      </c>
      <c r="BY54" s="66" t="e">
        <f t="shared" si="92"/>
        <v>#DIV/0!</v>
      </c>
      <c r="BZ54" s="66" t="e">
        <f t="shared" si="92"/>
        <v>#DIV/0!</v>
      </c>
      <c r="CA54" s="66" t="e">
        <f t="shared" si="92"/>
        <v>#DIV/0!</v>
      </c>
      <c r="CB54" s="66" t="e">
        <f t="shared" si="92"/>
        <v>#DIV/0!</v>
      </c>
      <c r="CC54" s="66" t="e">
        <f t="shared" si="92"/>
        <v>#DIV/0!</v>
      </c>
      <c r="CD54" s="66" t="e">
        <f t="shared" si="92"/>
        <v>#DIV/0!</v>
      </c>
      <c r="CE54" s="66" t="e">
        <f t="shared" si="92"/>
        <v>#DIV/0!</v>
      </c>
      <c r="CF54" s="66" t="e">
        <f t="shared" si="92"/>
        <v>#DIV/0!</v>
      </c>
      <c r="CG54" s="66" t="e">
        <f t="shared" si="92"/>
        <v>#DIV/0!</v>
      </c>
      <c r="CH54" s="66" t="e">
        <f t="shared" si="92"/>
        <v>#DIV/0!</v>
      </c>
      <c r="CI54" s="66" t="e">
        <f t="shared" si="92"/>
        <v>#DIV/0!</v>
      </c>
      <c r="CJ54" s="66" t="e">
        <f t="shared" si="92"/>
        <v>#DIV/0!</v>
      </c>
      <c r="CK54" s="66" t="e">
        <f t="shared" si="92"/>
        <v>#DIV/0!</v>
      </c>
      <c r="CL54" s="66" t="e">
        <f t="shared" si="92"/>
        <v>#DIV/0!</v>
      </c>
      <c r="CM54" s="66" t="e">
        <f t="shared" si="92"/>
        <v>#DIV/0!</v>
      </c>
      <c r="CN54" s="66" t="e">
        <f t="shared" si="92"/>
        <v>#DIV/0!</v>
      </c>
      <c r="CO54" s="66" t="e">
        <f t="shared" si="92"/>
        <v>#DIV/0!</v>
      </c>
      <c r="CP54" s="66" t="e">
        <f t="shared" si="92"/>
        <v>#DIV/0!</v>
      </c>
      <c r="CQ54" s="66" t="e">
        <f t="shared" si="92"/>
        <v>#DIV/0!</v>
      </c>
      <c r="CR54" s="66" t="e">
        <f t="shared" si="92"/>
        <v>#DIV/0!</v>
      </c>
      <c r="CS54" s="66" t="e">
        <f t="shared" si="92"/>
        <v>#DIV/0!</v>
      </c>
      <c r="CT54" s="66" t="e">
        <f t="shared" si="92"/>
        <v>#DIV/0!</v>
      </c>
      <c r="CU54" s="66" t="e">
        <f t="shared" si="92"/>
        <v>#DIV/0!</v>
      </c>
      <c r="CV54" s="66" t="e">
        <f t="shared" si="92"/>
        <v>#DIV/0!</v>
      </c>
      <c r="CW54" s="66" t="e">
        <f t="shared" si="92"/>
        <v>#DIV/0!</v>
      </c>
      <c r="CX54" s="66" t="e">
        <f t="shared" si="92"/>
        <v>#DIV/0!</v>
      </c>
      <c r="CY54" s="66" t="e">
        <f t="shared" si="92"/>
        <v>#DIV/0!</v>
      </c>
      <c r="CZ54" s="66" t="e">
        <f t="shared" si="92"/>
        <v>#DIV/0!</v>
      </c>
      <c r="DA54" s="66" t="e">
        <f t="shared" si="92"/>
        <v>#DIV/0!</v>
      </c>
      <c r="DB54" s="66" t="e">
        <f t="shared" si="92"/>
        <v>#DIV/0!</v>
      </c>
      <c r="DC54" s="66" t="e">
        <f t="shared" si="92"/>
        <v>#DIV/0!</v>
      </c>
      <c r="DD54" s="66" t="e">
        <f t="shared" si="92"/>
        <v>#DIV/0!</v>
      </c>
      <c r="DE54" s="66" t="e">
        <f t="shared" si="92"/>
        <v>#DIV/0!</v>
      </c>
      <c r="DF54" s="66" t="e">
        <f t="shared" si="92"/>
        <v>#DIV/0!</v>
      </c>
      <c r="DG54" s="66" t="e">
        <f t="shared" si="92"/>
        <v>#DIV/0!</v>
      </c>
      <c r="DH54" s="66" t="e">
        <f t="shared" si="92"/>
        <v>#DIV/0!</v>
      </c>
      <c r="DI54" s="66" t="e">
        <f t="shared" si="92"/>
        <v>#DIV/0!</v>
      </c>
      <c r="DJ54" s="66" t="e">
        <f t="shared" si="92"/>
        <v>#DIV/0!</v>
      </c>
      <c r="DK54" s="66" t="e">
        <f t="shared" si="92"/>
        <v>#DIV/0!</v>
      </c>
      <c r="DL54" s="165" t="e">
        <f>#REF!</f>
        <v>#REF!</v>
      </c>
      <c r="DM54" s="165" t="e">
        <f>#REF!</f>
        <v>#REF!</v>
      </c>
      <c r="DN54" s="165" t="e">
        <f>#REF!</f>
        <v>#REF!</v>
      </c>
      <c r="DO54" s="165" t="e">
        <f>#REF!</f>
        <v>#REF!</v>
      </c>
      <c r="DP54" s="150" t="e">
        <f>#REF!</f>
        <v>#REF!</v>
      </c>
    </row>
    <row r="55" spans="1:120" ht="14.25" customHeight="1">
      <c r="A55" s="103"/>
      <c r="E55" s="108"/>
      <c r="I55" s="83"/>
      <c r="J55" s="97" t="e">
        <f t="array" ref="J55">_xlfn.STDEV.P(IF($E$5:$E$27=$E54,J$5:J$27))</f>
        <v>#DIV/0!</v>
      </c>
      <c r="K55" s="97"/>
      <c r="L55" s="97"/>
      <c r="M55" s="97" t="e">
        <f t="array" ref="M55">_xlfn.STDEV.P(IF($E$5:$E$27=$E54,M$5:M$27))</f>
        <v>#DIV/0!</v>
      </c>
      <c r="N55" s="97" t="e">
        <f t="array" ref="N55">_xlfn.STDEV.P(IF($E$5:$E$27=$E54,N$5:N$27))</f>
        <v>#DIV/0!</v>
      </c>
      <c r="O55" s="97" t="e">
        <f t="array" ref="O55">_xlfn.STDEV.P(IF($E$5:$E$27=$E54,O$5:O$27))</f>
        <v>#DIV/0!</v>
      </c>
      <c r="P55" s="97" t="e">
        <f t="array" ref="P55">_xlfn.STDEV.P(IF($E$5:$E$27=$E54,P$5:P$27))</f>
        <v>#DIV/0!</v>
      </c>
      <c r="Q55" s="97" t="e">
        <f t="array" ref="Q55">_xlfn.STDEV.P(IF($E$5:$E$27=$E54,Q$5:Q$27))</f>
        <v>#DIV/0!</v>
      </c>
      <c r="R55" s="97" t="e">
        <f t="array" ref="R55">_xlfn.STDEV.P(IF($E$5:$E$27=$E54,R$5:R$27))</f>
        <v>#DIV/0!</v>
      </c>
      <c r="S55" s="228"/>
      <c r="T55" s="228" t="e">
        <f t="array" ref="T55">_xlfn.STDEV.P(IF($E$5:$E$27=$E54,T$5:T$27))</f>
        <v>#DIV/0!</v>
      </c>
      <c r="U55" s="97" t="e">
        <f t="array" ref="U55">_xlfn.STDEV.P(IF($E$5:$E$27=$E54,U$5:U$27))</f>
        <v>#DIV/0!</v>
      </c>
      <c r="V55" s="65" t="s">
        <v>11</v>
      </c>
      <c r="W55" s="74" t="e">
        <f t="array" ref="W55">_xlfn.STDEV.P(IF($E$5:$E$27=$E54,W$5:W$27))</f>
        <v>#DIV/0!</v>
      </c>
      <c r="X55" s="74" t="e">
        <f t="array" ref="X55">_xlfn.STDEV.P(IF($E$5:$E$27=$E54,X$5:X$27))</f>
        <v>#DIV/0!</v>
      </c>
      <c r="Y55" s="74" t="e">
        <f t="array" ref="Y55">_xlfn.STDEV.P(IF($E$5:$E$27=$E54,Y$5:Y$27))</f>
        <v>#DIV/0!</v>
      </c>
      <c r="Z55" s="74" t="e">
        <f t="array" ref="Z55">_xlfn.STDEV.P(IF($E$5:$E$27=$E54,Z$5:Z$27))</f>
        <v>#DIV/0!</v>
      </c>
      <c r="AA55" s="74" t="e">
        <f t="array" ref="AA55">_xlfn.STDEV.P(IF($E$5:$E$27=$E54,AA$5:AA$27))</f>
        <v>#DIV/0!</v>
      </c>
      <c r="AB55" s="74" t="e">
        <f t="array" ref="AB55">_xlfn.STDEV.P(IF($E$5:$E$27=$E54,AB$5:AB$27))</f>
        <v>#DIV/0!</v>
      </c>
      <c r="AC55" s="74" t="e">
        <f t="array" ref="AC55">_xlfn.STDEV.P(IF($E$5:$E$27=$E54,AC$5:AC$27))</f>
        <v>#DIV/0!</v>
      </c>
      <c r="AD55" s="74" t="e">
        <f t="array" ref="AD55">_xlfn.STDEV.P(IF($E$5:$E$27=$E54,AD$5:AD$27))</f>
        <v>#DIV/0!</v>
      </c>
      <c r="AE55" s="74" t="e">
        <f t="array" ref="AE55">_xlfn.STDEV.P(IF($E$5:$E$27=$E54,AE$5:AE$27))</f>
        <v>#DIV/0!</v>
      </c>
      <c r="AF55" s="74" t="e">
        <f t="array" ref="AF55">_xlfn.STDEV.P(IF($E$5:$E$27=$E54,AF$5:AF$27))</f>
        <v>#DIV/0!</v>
      </c>
      <c r="AG55" s="74" t="e">
        <f t="array" ref="AG55">_xlfn.STDEV.P(IF($E$5:$E$27=$E54,AG$5:AG$27))</f>
        <v>#DIV/0!</v>
      </c>
      <c r="AH55" s="74" t="e">
        <f t="array" ref="AH55">_xlfn.STDEV.P(IF($E$5:$E$27=$E54,AH$5:AH$27))</f>
        <v>#DIV/0!</v>
      </c>
      <c r="AI55" s="74" t="e">
        <f t="array" ref="AI55">_xlfn.STDEV.P(IF($E$5:$E$27=$E54,AI$5:AI$27))</f>
        <v>#DIV/0!</v>
      </c>
      <c r="AJ55" s="74" t="e">
        <f t="array" ref="AJ55">_xlfn.STDEV.P(IF($E$5:$E$27=$E54,AJ$5:AJ$27))</f>
        <v>#DIV/0!</v>
      </c>
      <c r="AK55" s="74" t="e">
        <f t="array" ref="AK55">_xlfn.STDEV.P(IF($E$5:$E$27=$E54,AK$5:AK$27))</f>
        <v>#DIV/0!</v>
      </c>
      <c r="AL55" s="74" t="e">
        <f t="array" ref="AL55">_xlfn.STDEV.P(IF($E$5:$E$27=$E54,AL$5:AL$27))</f>
        <v>#DIV/0!</v>
      </c>
      <c r="AM55" s="74" t="e">
        <f t="array" ref="AM55">_xlfn.STDEV.P(IF($E$5:$E$27=$E54,AM$5:AM$27))</f>
        <v>#DIV/0!</v>
      </c>
      <c r="AN55" s="74" t="e">
        <f t="array" ref="AN55">_xlfn.STDEV.P(IF($E$5:$E$27=$E54,AN$5:AN$27))</f>
        <v>#DIV/0!</v>
      </c>
      <c r="AO55" s="74" t="e">
        <f t="array" ref="AO55">_xlfn.STDEV.P(IF($E$5:$E$27=$E54,AO$5:AO$27))</f>
        <v>#DIV/0!</v>
      </c>
      <c r="AP55" s="74" t="e">
        <f t="array" ref="AP55">_xlfn.STDEV.P(IF($E$5:$E$27=$E54,AP$5:AP$27))</f>
        <v>#DIV/0!</v>
      </c>
      <c r="AQ55" s="74" t="e">
        <f t="array" ref="AQ55">_xlfn.STDEV.P(IF($E$5:$E$27=$E54,AQ$5:AQ$27))</f>
        <v>#DIV/0!</v>
      </c>
      <c r="AR55" s="74" t="e">
        <f t="array" ref="AR55">_xlfn.STDEV.P(IF($E$5:$E$27=$E54,AR$5:AR$27))</f>
        <v>#DIV/0!</v>
      </c>
      <c r="AS55" s="74" t="e">
        <f t="array" ref="AS55">_xlfn.STDEV.P(IF($E$5:$E$27=$E54,AS$5:AS$27))</f>
        <v>#DIV/0!</v>
      </c>
      <c r="AT55" s="74" t="e">
        <f t="array" ref="AT55">_xlfn.STDEV.P(IF($E$5:$E$27=$E54,AT$5:AT$27))</f>
        <v>#DIV/0!</v>
      </c>
      <c r="AU55" s="74" t="e">
        <f t="array" ref="AU55">_xlfn.STDEV.P(IF($E$5:$E$27=$E54,AU$5:AU$27))</f>
        <v>#DIV/0!</v>
      </c>
      <c r="AV55" s="74" t="e">
        <f t="array" ref="AV55">_xlfn.STDEV.P(IF($E$5:$E$27=$E54,AV$5:AV$27))</f>
        <v>#DIV/0!</v>
      </c>
      <c r="AW55" s="74" t="e">
        <f t="array" ref="AW55">_xlfn.STDEV.P(IF($E$5:$E$27=$E54,AW$5:AW$27))</f>
        <v>#DIV/0!</v>
      </c>
      <c r="AX55" s="74" t="e">
        <f t="array" ref="AX55">_xlfn.STDEV.P(IF($E$5:$E$27=$E54,AX$5:AX$27))</f>
        <v>#DIV/0!</v>
      </c>
      <c r="AY55" s="74" t="e">
        <f t="array" ref="AY55">_xlfn.STDEV.P(IF($E$5:$E$27=$E54,AY$5:AY$27))</f>
        <v>#DIV/0!</v>
      </c>
      <c r="AZ55" s="74" t="e">
        <f t="array" ref="AZ55">_xlfn.STDEV.P(IF($E$5:$E$27=$E54,AZ$5:AZ$27))</f>
        <v>#DIV/0!</v>
      </c>
      <c r="BA55" s="74" t="e">
        <f t="array" ref="BA55">_xlfn.STDEV.P(IF($E$5:$E$27=$E54,BA$5:BA$27))</f>
        <v>#DIV/0!</v>
      </c>
      <c r="BB55" s="74" t="e">
        <f t="array" ref="BB55">_xlfn.STDEV.P(IF($E$5:$E$27=$E54,BB$5:BB$27))</f>
        <v>#DIV/0!</v>
      </c>
      <c r="BC55" s="74" t="e">
        <f t="array" ref="BC55">_xlfn.STDEV.P(IF($E$5:$E$27=$E54,BC$5:BC$27))</f>
        <v>#DIV/0!</v>
      </c>
      <c r="BD55" s="74" t="e">
        <f t="array" ref="BD55">_xlfn.STDEV.P(IF($E$5:$E$27=$E54,BD$5:BD$27))</f>
        <v>#DIV/0!</v>
      </c>
      <c r="BE55" s="74" t="e">
        <f t="array" ref="BE55">_xlfn.STDEV.P(IF($E$5:$E$27=$E54,BE$5:BE$27))</f>
        <v>#DIV/0!</v>
      </c>
      <c r="BF55" s="74" t="e">
        <f t="array" ref="BF55">_xlfn.STDEV.P(IF($E$5:$E$27=$E54,BF$5:BF$27))</f>
        <v>#DIV/0!</v>
      </c>
      <c r="BG55" s="74" t="e">
        <f t="array" ref="BG55">_xlfn.STDEV.P(IF($E$5:$E$27=$E54,BG$5:BG$27))</f>
        <v>#DIV/0!</v>
      </c>
      <c r="BH55" s="74" t="e">
        <f t="array" ref="BH55">_xlfn.STDEV.P(IF($E$5:$E$27=$E54,BH$5:BH$27))</f>
        <v>#DIV/0!</v>
      </c>
      <c r="BI55" s="74" t="e">
        <f t="array" ref="BI55">_xlfn.STDEV.P(IF($E$5:$E$27=$E54,BI$5:BI$27))</f>
        <v>#DIV/0!</v>
      </c>
      <c r="BJ55" s="74" t="e">
        <f t="array" ref="BJ55">_xlfn.STDEV.P(IF($E$5:$E$27=$E54,BJ$5:BJ$27))</f>
        <v>#DIV/0!</v>
      </c>
      <c r="BK55" s="74" t="e">
        <f t="array" ref="BK55">_xlfn.STDEV.P(IF($E$5:$E$27=$E54,BK$5:BK$27))</f>
        <v>#DIV/0!</v>
      </c>
      <c r="BL55" s="74" t="e">
        <f t="array" ref="BL55">_xlfn.STDEV.P(IF($E$5:$E$27=$E54,BL$5:BL$27))</f>
        <v>#DIV/0!</v>
      </c>
      <c r="BM55" s="74" t="e">
        <f t="array" ref="BM55">_xlfn.STDEV.P(IF($E$5:$E$27=$E54,BM$5:BM$27))</f>
        <v>#DIV/0!</v>
      </c>
      <c r="BN55" s="74" t="e">
        <f t="array" ref="BN55">_xlfn.STDEV.P(IF($E$5:$E$27=$E54,BN$5:BN$27))</f>
        <v>#DIV/0!</v>
      </c>
      <c r="BO55" s="74" t="e">
        <f t="array" ref="BO55">_xlfn.STDEV.P(IF($E$5:$E$27=$E54,BO$5:BO$27))</f>
        <v>#DIV/0!</v>
      </c>
      <c r="BP55" s="74" t="e">
        <f t="array" ref="BP55">_xlfn.STDEV.P(IF($E$5:$E$27=$E54,BP$5:BP$27))</f>
        <v>#DIV/0!</v>
      </c>
      <c r="BQ55" s="94" t="s">
        <v>11</v>
      </c>
      <c r="BR55" s="67" t="e">
        <f t="array" ref="BR55">_xlfn.STDEV.P(IF($E$5:$E$27=$E54,BR$5:BR$27))</f>
        <v>#DIV/0!</v>
      </c>
      <c r="BS55" s="67" t="e">
        <f t="array" ref="BS55">_xlfn.STDEV.P(IF($E$5:$E$27=$E54,BS$5:BS$27))</f>
        <v>#DIV/0!</v>
      </c>
      <c r="BT55" s="67" t="e">
        <f t="array" ref="BT55">_xlfn.STDEV.P(IF($E$5:$E$27=$E54,BT$5:BT$27))</f>
        <v>#DIV/0!</v>
      </c>
      <c r="BU55" s="67" t="e">
        <f t="array" ref="BU55">_xlfn.STDEV.P(IF($E$5:$E$27=$E54,BU$5:BU$27))</f>
        <v>#DIV/0!</v>
      </c>
      <c r="BV55" s="67" t="e">
        <f t="array" ref="BV55">_xlfn.STDEV.P(IF($E$5:$E$27=$E54,BV$5:BV$27))</f>
        <v>#DIV/0!</v>
      </c>
      <c r="BW55" s="67" t="e">
        <f t="array" ref="BW55">_xlfn.STDEV.P(IF($E$5:$E$27=$E54,BW$5:BW$27))</f>
        <v>#DIV/0!</v>
      </c>
      <c r="BX55" s="67" t="e">
        <f t="array" ref="BX55">_xlfn.STDEV.P(IF($E$5:$E$27=$E54,BX$5:BX$27))</f>
        <v>#DIV/0!</v>
      </c>
      <c r="BY55" s="67" t="e">
        <f t="array" ref="BY55">_xlfn.STDEV.P(IF($E$5:$E$27=$E54,BY$5:BY$27))</f>
        <v>#DIV/0!</v>
      </c>
      <c r="BZ55" s="67" t="e">
        <f t="array" ref="BZ55">_xlfn.STDEV.P(IF($E$5:$E$27=$E54,BZ$5:BZ$27))</f>
        <v>#DIV/0!</v>
      </c>
      <c r="CA55" s="67" t="e">
        <f t="array" ref="CA55">_xlfn.STDEV.P(IF($E$5:$E$27=$E54,CA$5:CA$27))</f>
        <v>#DIV/0!</v>
      </c>
      <c r="CB55" s="67" t="e">
        <f t="array" ref="CB55">_xlfn.STDEV.P(IF($E$5:$E$27=$E54,CB$5:CB$27))</f>
        <v>#DIV/0!</v>
      </c>
      <c r="CC55" s="67" t="e">
        <f t="array" ref="CC55">_xlfn.STDEV.P(IF($E$5:$E$27=$E54,CC$5:CC$27))</f>
        <v>#DIV/0!</v>
      </c>
      <c r="CD55" s="67" t="e">
        <f t="array" ref="CD55">_xlfn.STDEV.P(IF($E$5:$E$27=$E54,CD$5:CD$27))</f>
        <v>#DIV/0!</v>
      </c>
      <c r="CE55" s="67" t="e">
        <f t="array" ref="CE55">_xlfn.STDEV.P(IF($E$5:$E$27=$E54,CE$5:CE$27))</f>
        <v>#DIV/0!</v>
      </c>
      <c r="CF55" s="67" t="e">
        <f t="array" ref="CF55">_xlfn.STDEV.P(IF($E$5:$E$27=$E54,CF$5:CF$27))</f>
        <v>#DIV/0!</v>
      </c>
      <c r="CG55" s="67" t="e">
        <f t="array" ref="CG55">_xlfn.STDEV.P(IF($E$5:$E$27=$E54,CG$5:CG$27))</f>
        <v>#DIV/0!</v>
      </c>
      <c r="CH55" s="67" t="e">
        <f t="array" ref="CH55">_xlfn.STDEV.P(IF($E$5:$E$27=$E54,CH$5:CH$27))</f>
        <v>#DIV/0!</v>
      </c>
      <c r="CI55" s="67" t="e">
        <f t="array" ref="CI55">_xlfn.STDEV.P(IF($E$5:$E$27=$E54,CI$5:CI$27))</f>
        <v>#DIV/0!</v>
      </c>
      <c r="CJ55" s="67" t="e">
        <f t="array" ref="CJ55">_xlfn.STDEV.P(IF($E$5:$E$27=$E54,CJ$5:CJ$27))</f>
        <v>#DIV/0!</v>
      </c>
      <c r="CK55" s="67" t="e">
        <f t="array" ref="CK55">_xlfn.STDEV.P(IF($E$5:$E$27=$E54,CK$5:CK$27))</f>
        <v>#DIV/0!</v>
      </c>
      <c r="CL55" s="67" t="e">
        <f t="array" ref="CL55">_xlfn.STDEV.P(IF($E$5:$E$27=$E54,CL$5:CL$27))</f>
        <v>#DIV/0!</v>
      </c>
      <c r="CM55" s="67" t="e">
        <f t="array" ref="CM55">_xlfn.STDEV.P(IF($E$5:$E$27=$E54,CM$5:CM$27))</f>
        <v>#DIV/0!</v>
      </c>
      <c r="CN55" s="67" t="e">
        <f t="array" ref="CN55">_xlfn.STDEV.P(IF($E$5:$E$27=$E54,CN$5:CN$27))</f>
        <v>#DIV/0!</v>
      </c>
      <c r="CO55" s="67" t="e">
        <f t="array" ref="CO55">_xlfn.STDEV.P(IF($E$5:$E$27=$E54,CO$5:CO$27))</f>
        <v>#DIV/0!</v>
      </c>
      <c r="CP55" s="67" t="e">
        <f t="array" ref="CP55">_xlfn.STDEV.P(IF($E$5:$E$27=$E54,CP$5:CP$27))</f>
        <v>#DIV/0!</v>
      </c>
      <c r="CQ55" s="67" t="e">
        <f t="array" ref="CQ55">_xlfn.STDEV.P(IF($E$5:$E$27=$E54,CQ$5:CQ$27))</f>
        <v>#DIV/0!</v>
      </c>
      <c r="CR55" s="67" t="e">
        <f t="array" ref="CR55">_xlfn.STDEV.P(IF($E$5:$E$27=$E54,CR$5:CR$27))</f>
        <v>#DIV/0!</v>
      </c>
      <c r="CS55" s="67" t="e">
        <f t="array" ref="CS55">_xlfn.STDEV.P(IF($E$5:$E$27=$E54,CS$5:CS$27))</f>
        <v>#DIV/0!</v>
      </c>
      <c r="CT55" s="67" t="e">
        <f t="array" ref="CT55">_xlfn.STDEV.P(IF($E$5:$E$27=$E54,CT$5:CT$27))</f>
        <v>#DIV/0!</v>
      </c>
      <c r="CU55" s="67" t="e">
        <f t="array" ref="CU55">_xlfn.STDEV.P(IF($E$5:$E$27=$E54,CU$5:CU$27))</f>
        <v>#DIV/0!</v>
      </c>
      <c r="CV55" s="67" t="e">
        <f t="array" ref="CV55">_xlfn.STDEV.P(IF($E$5:$E$27=$E54,CV$5:CV$27))</f>
        <v>#DIV/0!</v>
      </c>
      <c r="CW55" s="67" t="e">
        <f t="array" ref="CW55">_xlfn.STDEV.P(IF($E$5:$E$27=$E54,CW$5:CW$27))</f>
        <v>#DIV/0!</v>
      </c>
      <c r="CX55" s="67" t="e">
        <f t="array" ref="CX55">_xlfn.STDEV.P(IF($E$5:$E$27=$E54,CX$5:CX$27))</f>
        <v>#DIV/0!</v>
      </c>
      <c r="CY55" s="67" t="e">
        <f t="array" ref="CY55">_xlfn.STDEV.P(IF($E$5:$E$27=$E54,CY$5:CY$27))</f>
        <v>#DIV/0!</v>
      </c>
      <c r="CZ55" s="67" t="e">
        <f t="array" ref="CZ55">_xlfn.STDEV.P(IF($E$5:$E$27=$E54,CZ$5:CZ$27))</f>
        <v>#DIV/0!</v>
      </c>
      <c r="DA55" s="67" t="e">
        <f t="array" ref="DA55">_xlfn.STDEV.P(IF($E$5:$E$27=$E54,DA$5:DA$27))</f>
        <v>#DIV/0!</v>
      </c>
      <c r="DB55" s="67" t="e">
        <f t="array" ref="DB55">_xlfn.STDEV.P(IF($E$5:$E$27=$E54,DB$5:DB$27))</f>
        <v>#DIV/0!</v>
      </c>
      <c r="DC55" s="67" t="e">
        <f t="array" ref="DC55">_xlfn.STDEV.P(IF($E$5:$E$27=$E54,DC$5:DC$27))</f>
        <v>#DIV/0!</v>
      </c>
      <c r="DD55" s="67" t="e">
        <f t="array" ref="DD55">_xlfn.STDEV.P(IF($E$5:$E$27=$E54,DD$5:DD$27))</f>
        <v>#DIV/0!</v>
      </c>
      <c r="DE55" s="67" t="e">
        <f t="array" ref="DE55">_xlfn.STDEV.P(IF($E$5:$E$27=$E54,DE$5:DE$27))</f>
        <v>#DIV/0!</v>
      </c>
      <c r="DF55" s="67" t="e">
        <f t="array" ref="DF55">_xlfn.STDEV.P(IF($E$5:$E$27=$E54,DF$5:DF$27))</f>
        <v>#DIV/0!</v>
      </c>
      <c r="DG55" s="67" t="e">
        <f t="array" ref="DG55">_xlfn.STDEV.P(IF($E$5:$E$27=$E54,DG$5:DG$27))</f>
        <v>#DIV/0!</v>
      </c>
      <c r="DH55" s="67" t="e">
        <f t="array" ref="DH55">_xlfn.STDEV.P(IF($E$5:$E$27=$E54,DH$5:DH$27))</f>
        <v>#DIV/0!</v>
      </c>
      <c r="DI55" s="67" t="e">
        <f t="array" ref="DI55">_xlfn.STDEV.P(IF($E$5:$E$27=$E54,DI$5:DI$27))</f>
        <v>#DIV/0!</v>
      </c>
      <c r="DJ55" s="67" t="e">
        <f t="array" ref="DJ55">_xlfn.STDEV.P(IF($E$5:$E$27=$E54,DJ$5:DJ$27))</f>
        <v>#DIV/0!</v>
      </c>
      <c r="DK55" s="67" t="e">
        <f t="array" ref="DK55">_xlfn.STDEV.P(IF($E$5:$E$27=$E54,DK$5:DK$27))</f>
        <v>#DIV/0!</v>
      </c>
      <c r="DL55" s="165" t="e">
        <f>#REF!</f>
        <v>#REF!</v>
      </c>
      <c r="DM55" s="165" t="e">
        <f>#REF!</f>
        <v>#REF!</v>
      </c>
      <c r="DN55" s="165" t="e">
        <f>#REF!</f>
        <v>#REF!</v>
      </c>
      <c r="DO55" s="165" t="e">
        <f>#REF!</f>
        <v>#REF!</v>
      </c>
      <c r="DP55" s="150" t="e">
        <f>#REF!</f>
        <v>#REF!</v>
      </c>
    </row>
    <row r="56" spans="1:120" ht="15">
      <c r="A56" s="103"/>
      <c r="E56" s="108"/>
      <c r="I56" s="45"/>
      <c r="K56" s="50"/>
      <c r="L56" s="50"/>
      <c r="P56" s="50"/>
      <c r="Q56" s="50"/>
      <c r="R56" s="50"/>
      <c r="S56" s="227"/>
      <c r="T56" s="227"/>
      <c r="U56" s="50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DF56" s="37"/>
      <c r="DG56" s="37"/>
      <c r="DH56" s="37"/>
      <c r="DI56" s="37"/>
      <c r="DJ56" s="37"/>
      <c r="DK56" s="37"/>
      <c r="DL56" s="165"/>
      <c r="DM56" s="165"/>
      <c r="DN56" s="165"/>
      <c r="DO56" s="165"/>
    </row>
    <row r="57" spans="1:120" ht="14.25" customHeight="1">
      <c r="A57" s="103"/>
      <c r="E57" s="108" t="str">
        <f>'NAB_PTX Groups'!C13</f>
        <v>Group 8</v>
      </c>
      <c r="I57" s="108" t="str">
        <f>E57</f>
        <v>Group 8</v>
      </c>
      <c r="J57" s="97" t="e">
        <f>AVERAGEIF($E$5:$E$27,$E57,J$5:J$27)</f>
        <v>#DIV/0!</v>
      </c>
      <c r="K57" s="97"/>
      <c r="L57" s="97"/>
      <c r="M57" s="97" t="e">
        <f t="shared" ref="M57:R57" si="93">AVERAGEIF($E$5:$E$27,$E57,M$5:M$27)</f>
        <v>#DIV/0!</v>
      </c>
      <c r="N57" s="97" t="e">
        <f t="shared" si="93"/>
        <v>#DIV/0!</v>
      </c>
      <c r="O57" s="97" t="e">
        <f t="shared" si="93"/>
        <v>#DIV/0!</v>
      </c>
      <c r="P57" s="97" t="e">
        <f t="shared" si="93"/>
        <v>#DIV/0!</v>
      </c>
      <c r="Q57" s="97" t="e">
        <f t="shared" si="93"/>
        <v>#DIV/0!</v>
      </c>
      <c r="R57" s="97" t="e">
        <f t="shared" si="93"/>
        <v>#DIV/0!</v>
      </c>
      <c r="S57" s="228"/>
      <c r="T57" s="228" t="e">
        <f>AVERAGEIF($E$5:$E$27,$E57,T$5:T$27)</f>
        <v>#DIV/0!</v>
      </c>
      <c r="U57" s="97" t="e">
        <f>AVERAGEIF($E$5:$E$27,$E57,U$5:U$27)</f>
        <v>#DIV/0!</v>
      </c>
      <c r="V57" s="65" t="s">
        <v>9</v>
      </c>
      <c r="W57" s="71" t="e">
        <f t="shared" ref="W57:BP57" si="94">AVERAGEIF($E$5:$E$27,$E57,W$5:W$27)</f>
        <v>#DIV/0!</v>
      </c>
      <c r="X57" s="71" t="e">
        <f t="shared" si="94"/>
        <v>#DIV/0!</v>
      </c>
      <c r="Y57" s="71" t="e">
        <f t="shared" si="94"/>
        <v>#DIV/0!</v>
      </c>
      <c r="Z57" s="71" t="e">
        <f t="shared" si="94"/>
        <v>#DIV/0!</v>
      </c>
      <c r="AA57" s="71" t="e">
        <f t="shared" si="94"/>
        <v>#DIV/0!</v>
      </c>
      <c r="AB57" s="71" t="e">
        <f t="shared" si="94"/>
        <v>#DIV/0!</v>
      </c>
      <c r="AC57" s="71" t="e">
        <f t="shared" si="94"/>
        <v>#DIV/0!</v>
      </c>
      <c r="AD57" s="71" t="e">
        <f t="shared" si="94"/>
        <v>#DIV/0!</v>
      </c>
      <c r="AE57" s="71" t="e">
        <f t="shared" si="94"/>
        <v>#DIV/0!</v>
      </c>
      <c r="AF57" s="71" t="e">
        <f t="shared" si="94"/>
        <v>#DIV/0!</v>
      </c>
      <c r="AG57" s="71" t="e">
        <f t="shared" si="94"/>
        <v>#DIV/0!</v>
      </c>
      <c r="AH57" s="71" t="e">
        <f t="shared" si="94"/>
        <v>#DIV/0!</v>
      </c>
      <c r="AI57" s="71" t="e">
        <f t="shared" si="94"/>
        <v>#DIV/0!</v>
      </c>
      <c r="AJ57" s="71" t="e">
        <f t="shared" si="94"/>
        <v>#DIV/0!</v>
      </c>
      <c r="AK57" s="71" t="e">
        <f t="shared" si="94"/>
        <v>#DIV/0!</v>
      </c>
      <c r="AL57" s="71" t="e">
        <f t="shared" si="94"/>
        <v>#DIV/0!</v>
      </c>
      <c r="AM57" s="71" t="e">
        <f t="shared" si="94"/>
        <v>#DIV/0!</v>
      </c>
      <c r="AN57" s="71" t="e">
        <f t="shared" si="94"/>
        <v>#DIV/0!</v>
      </c>
      <c r="AO57" s="71" t="e">
        <f t="shared" si="94"/>
        <v>#DIV/0!</v>
      </c>
      <c r="AP57" s="71" t="e">
        <f t="shared" si="94"/>
        <v>#DIV/0!</v>
      </c>
      <c r="AQ57" s="71" t="e">
        <f t="shared" si="94"/>
        <v>#DIV/0!</v>
      </c>
      <c r="AR57" s="71" t="e">
        <f t="shared" si="94"/>
        <v>#DIV/0!</v>
      </c>
      <c r="AS57" s="71" t="e">
        <f t="shared" si="94"/>
        <v>#DIV/0!</v>
      </c>
      <c r="AT57" s="71" t="e">
        <f t="shared" si="94"/>
        <v>#DIV/0!</v>
      </c>
      <c r="AU57" s="71" t="e">
        <f t="shared" si="94"/>
        <v>#DIV/0!</v>
      </c>
      <c r="AV57" s="71" t="e">
        <f t="shared" si="94"/>
        <v>#DIV/0!</v>
      </c>
      <c r="AW57" s="71" t="e">
        <f t="shared" si="94"/>
        <v>#DIV/0!</v>
      </c>
      <c r="AX57" s="71" t="e">
        <f t="shared" si="94"/>
        <v>#DIV/0!</v>
      </c>
      <c r="AY57" s="71" t="e">
        <f t="shared" si="94"/>
        <v>#DIV/0!</v>
      </c>
      <c r="AZ57" s="71" t="e">
        <f t="shared" si="94"/>
        <v>#DIV/0!</v>
      </c>
      <c r="BA57" s="71" t="e">
        <f t="shared" si="94"/>
        <v>#DIV/0!</v>
      </c>
      <c r="BB57" s="71" t="e">
        <f t="shared" si="94"/>
        <v>#DIV/0!</v>
      </c>
      <c r="BC57" s="71" t="e">
        <f t="shared" si="94"/>
        <v>#DIV/0!</v>
      </c>
      <c r="BD57" s="71" t="e">
        <f t="shared" si="94"/>
        <v>#DIV/0!</v>
      </c>
      <c r="BE57" s="71" t="e">
        <f t="shared" si="94"/>
        <v>#DIV/0!</v>
      </c>
      <c r="BF57" s="71" t="e">
        <f t="shared" si="94"/>
        <v>#DIV/0!</v>
      </c>
      <c r="BG57" s="71" t="e">
        <f t="shared" si="94"/>
        <v>#DIV/0!</v>
      </c>
      <c r="BH57" s="71" t="e">
        <f t="shared" si="94"/>
        <v>#DIV/0!</v>
      </c>
      <c r="BI57" s="71" t="e">
        <f t="shared" si="94"/>
        <v>#DIV/0!</v>
      </c>
      <c r="BJ57" s="71" t="e">
        <f t="shared" si="94"/>
        <v>#DIV/0!</v>
      </c>
      <c r="BK57" s="71" t="e">
        <f t="shared" si="94"/>
        <v>#DIV/0!</v>
      </c>
      <c r="BL57" s="71" t="e">
        <f t="shared" si="94"/>
        <v>#DIV/0!</v>
      </c>
      <c r="BM57" s="71" t="e">
        <f t="shared" si="94"/>
        <v>#DIV/0!</v>
      </c>
      <c r="BN57" s="71" t="e">
        <f t="shared" si="94"/>
        <v>#DIV/0!</v>
      </c>
      <c r="BO57" s="71" t="e">
        <f t="shared" si="94"/>
        <v>#DIV/0!</v>
      </c>
      <c r="BP57" s="71" t="e">
        <f t="shared" si="94"/>
        <v>#DIV/0!</v>
      </c>
      <c r="BQ57" s="93" t="s">
        <v>9</v>
      </c>
      <c r="BR57" s="66" t="e">
        <f t="shared" ref="BR57:DK57" si="95">AVERAGEIF($E$5:$E$27,$E57,BR$5:BR$27)</f>
        <v>#DIV/0!</v>
      </c>
      <c r="BS57" s="66" t="e">
        <f t="shared" si="95"/>
        <v>#DIV/0!</v>
      </c>
      <c r="BT57" s="66" t="e">
        <f t="shared" si="95"/>
        <v>#DIV/0!</v>
      </c>
      <c r="BU57" s="66" t="e">
        <f t="shared" si="95"/>
        <v>#DIV/0!</v>
      </c>
      <c r="BV57" s="66" t="e">
        <f t="shared" si="95"/>
        <v>#DIV/0!</v>
      </c>
      <c r="BW57" s="66" t="e">
        <f t="shared" si="95"/>
        <v>#DIV/0!</v>
      </c>
      <c r="BX57" s="66" t="e">
        <f t="shared" si="95"/>
        <v>#DIV/0!</v>
      </c>
      <c r="BY57" s="66" t="e">
        <f t="shared" si="95"/>
        <v>#DIV/0!</v>
      </c>
      <c r="BZ57" s="66" t="e">
        <f t="shared" si="95"/>
        <v>#DIV/0!</v>
      </c>
      <c r="CA57" s="66" t="e">
        <f t="shared" si="95"/>
        <v>#DIV/0!</v>
      </c>
      <c r="CB57" s="66" t="e">
        <f t="shared" si="95"/>
        <v>#DIV/0!</v>
      </c>
      <c r="CC57" s="66" t="e">
        <f t="shared" si="95"/>
        <v>#DIV/0!</v>
      </c>
      <c r="CD57" s="66" t="e">
        <f t="shared" si="95"/>
        <v>#DIV/0!</v>
      </c>
      <c r="CE57" s="66" t="e">
        <f t="shared" si="95"/>
        <v>#DIV/0!</v>
      </c>
      <c r="CF57" s="66" t="e">
        <f t="shared" si="95"/>
        <v>#DIV/0!</v>
      </c>
      <c r="CG57" s="66" t="e">
        <f t="shared" si="95"/>
        <v>#DIV/0!</v>
      </c>
      <c r="CH57" s="66" t="e">
        <f t="shared" si="95"/>
        <v>#DIV/0!</v>
      </c>
      <c r="CI57" s="66" t="e">
        <f t="shared" si="95"/>
        <v>#DIV/0!</v>
      </c>
      <c r="CJ57" s="66" t="e">
        <f t="shared" si="95"/>
        <v>#DIV/0!</v>
      </c>
      <c r="CK57" s="66" t="e">
        <f t="shared" si="95"/>
        <v>#DIV/0!</v>
      </c>
      <c r="CL57" s="66" t="e">
        <f t="shared" si="95"/>
        <v>#DIV/0!</v>
      </c>
      <c r="CM57" s="66" t="e">
        <f t="shared" si="95"/>
        <v>#DIV/0!</v>
      </c>
      <c r="CN57" s="66" t="e">
        <f t="shared" si="95"/>
        <v>#DIV/0!</v>
      </c>
      <c r="CO57" s="66" t="e">
        <f t="shared" si="95"/>
        <v>#DIV/0!</v>
      </c>
      <c r="CP57" s="66" t="e">
        <f t="shared" si="95"/>
        <v>#DIV/0!</v>
      </c>
      <c r="CQ57" s="66" t="e">
        <f t="shared" si="95"/>
        <v>#DIV/0!</v>
      </c>
      <c r="CR57" s="66" t="e">
        <f t="shared" si="95"/>
        <v>#DIV/0!</v>
      </c>
      <c r="CS57" s="66" t="e">
        <f t="shared" si="95"/>
        <v>#DIV/0!</v>
      </c>
      <c r="CT57" s="66" t="e">
        <f t="shared" si="95"/>
        <v>#DIV/0!</v>
      </c>
      <c r="CU57" s="66" t="e">
        <f t="shared" si="95"/>
        <v>#DIV/0!</v>
      </c>
      <c r="CV57" s="66" t="e">
        <f t="shared" si="95"/>
        <v>#DIV/0!</v>
      </c>
      <c r="CW57" s="66" t="e">
        <f t="shared" si="95"/>
        <v>#DIV/0!</v>
      </c>
      <c r="CX57" s="66" t="e">
        <f t="shared" si="95"/>
        <v>#DIV/0!</v>
      </c>
      <c r="CY57" s="66" t="e">
        <f t="shared" si="95"/>
        <v>#DIV/0!</v>
      </c>
      <c r="CZ57" s="66" t="e">
        <f t="shared" si="95"/>
        <v>#DIV/0!</v>
      </c>
      <c r="DA57" s="66" t="e">
        <f t="shared" si="95"/>
        <v>#DIV/0!</v>
      </c>
      <c r="DB57" s="66" t="e">
        <f t="shared" si="95"/>
        <v>#DIV/0!</v>
      </c>
      <c r="DC57" s="66" t="e">
        <f t="shared" si="95"/>
        <v>#DIV/0!</v>
      </c>
      <c r="DD57" s="66" t="e">
        <f t="shared" si="95"/>
        <v>#DIV/0!</v>
      </c>
      <c r="DE57" s="66" t="e">
        <f t="shared" si="95"/>
        <v>#DIV/0!</v>
      </c>
      <c r="DF57" s="66" t="e">
        <f t="shared" si="95"/>
        <v>#DIV/0!</v>
      </c>
      <c r="DG57" s="66" t="e">
        <f t="shared" si="95"/>
        <v>#DIV/0!</v>
      </c>
      <c r="DH57" s="66" t="e">
        <f t="shared" si="95"/>
        <v>#DIV/0!</v>
      </c>
      <c r="DI57" s="66" t="e">
        <f t="shared" si="95"/>
        <v>#DIV/0!</v>
      </c>
      <c r="DJ57" s="66" t="e">
        <f t="shared" si="95"/>
        <v>#DIV/0!</v>
      </c>
      <c r="DK57" s="66" t="e">
        <f t="shared" si="95"/>
        <v>#DIV/0!</v>
      </c>
      <c r="DL57" s="166" t="e">
        <f t="shared" ref="DL57:DO57" si="96">SQRT(DL36*DL55-(DL35^2*DL54^2))</f>
        <v>#REF!</v>
      </c>
      <c r="DM57" s="166" t="e">
        <f t="shared" si="96"/>
        <v>#REF!</v>
      </c>
      <c r="DN57" s="166" t="e">
        <f t="shared" si="96"/>
        <v>#REF!</v>
      </c>
      <c r="DO57" s="166" t="e">
        <f t="shared" si="96"/>
        <v>#REF!</v>
      </c>
      <c r="DP57" s="136" t="e">
        <f>SQRT(DP44*DP55-(DP43^2*DP54^2))</f>
        <v>#REF!</v>
      </c>
    </row>
    <row r="58" spans="1:120" ht="14.25" customHeight="1">
      <c r="A58" s="103"/>
      <c r="E58" s="83"/>
      <c r="I58" s="83"/>
      <c r="J58" s="97" t="e">
        <f t="array" ref="J58">_xlfn.STDEV.P(IF($E$5:$E$27=$E57,J$5:J$27))</f>
        <v>#DIV/0!</v>
      </c>
      <c r="K58" s="97"/>
      <c r="L58" s="97"/>
      <c r="M58" s="97" t="e">
        <f t="array" ref="M58">_xlfn.STDEV.P(IF($E$5:$E$27=$E57,M$5:M$27))</f>
        <v>#DIV/0!</v>
      </c>
      <c r="N58" s="97" t="e">
        <f t="array" ref="N58">_xlfn.STDEV.P(IF($E$5:$E$27=$E57,N$5:N$27))</f>
        <v>#DIV/0!</v>
      </c>
      <c r="O58" s="97" t="e">
        <f t="array" ref="O58">_xlfn.STDEV.P(IF($E$5:$E$27=$E57,O$5:O$27))</f>
        <v>#DIV/0!</v>
      </c>
      <c r="P58" s="97" t="e">
        <f t="array" ref="P58">_xlfn.STDEV.P(IF($E$5:$E$27=$E57,P$5:P$27))</f>
        <v>#DIV/0!</v>
      </c>
      <c r="Q58" s="97" t="e">
        <f t="array" ref="Q58">_xlfn.STDEV.P(IF($E$5:$E$27=$E57,Q$5:Q$27))</f>
        <v>#DIV/0!</v>
      </c>
      <c r="R58" s="97" t="e">
        <f t="array" ref="R58">_xlfn.STDEV.P(IF($E$5:$E$27=$E57,R$5:R$27))</f>
        <v>#DIV/0!</v>
      </c>
      <c r="S58" s="228"/>
      <c r="T58" s="228" t="e">
        <f t="array" ref="T58">_xlfn.STDEV.P(IF($E$5:$E$27=$E57,T$5:T$27))</f>
        <v>#DIV/0!</v>
      </c>
      <c r="U58" s="97" t="e">
        <f t="array" ref="U58">_xlfn.STDEV.P(IF($E$5:$E$27=$E57,U$5:U$27))</f>
        <v>#DIV/0!</v>
      </c>
      <c r="V58" s="65" t="s">
        <v>11</v>
      </c>
      <c r="W58" s="74" t="e">
        <f t="array" ref="W58">_xlfn.STDEV.P(IF($E$5:$E$27=$E57,W$5:W$27))</f>
        <v>#DIV/0!</v>
      </c>
      <c r="X58" s="74" t="e">
        <f t="array" ref="X58">_xlfn.STDEV.P(IF($E$5:$E$27=$E57,X$5:X$27))</f>
        <v>#DIV/0!</v>
      </c>
      <c r="Y58" s="74" t="e">
        <f t="array" ref="Y58">_xlfn.STDEV.P(IF($E$5:$E$27=$E57,Y$5:Y$27))</f>
        <v>#DIV/0!</v>
      </c>
      <c r="Z58" s="74" t="e">
        <f t="array" ref="Z58">_xlfn.STDEV.P(IF($E$5:$E$27=$E57,Z$5:Z$27))</f>
        <v>#DIV/0!</v>
      </c>
      <c r="AA58" s="74" t="e">
        <f t="array" ref="AA58">_xlfn.STDEV.P(IF($E$5:$E$27=$E57,AA$5:AA$27))</f>
        <v>#DIV/0!</v>
      </c>
      <c r="AB58" s="74" t="e">
        <f t="array" ref="AB58">_xlfn.STDEV.P(IF($E$5:$E$27=$E57,AB$5:AB$27))</f>
        <v>#DIV/0!</v>
      </c>
      <c r="AC58" s="74" t="e">
        <f t="array" ref="AC58">_xlfn.STDEV.P(IF($E$5:$E$27=$E57,AC$5:AC$27))</f>
        <v>#DIV/0!</v>
      </c>
      <c r="AD58" s="74" t="e">
        <f t="array" ref="AD58">_xlfn.STDEV.P(IF($E$5:$E$27=$E57,AD$5:AD$27))</f>
        <v>#DIV/0!</v>
      </c>
      <c r="AE58" s="74" t="e">
        <f t="array" ref="AE58">_xlfn.STDEV.P(IF($E$5:$E$27=$E57,AE$5:AE$27))</f>
        <v>#DIV/0!</v>
      </c>
      <c r="AF58" s="74" t="e">
        <f t="array" ref="AF58">_xlfn.STDEV.P(IF($E$5:$E$27=$E57,AF$5:AF$27))</f>
        <v>#DIV/0!</v>
      </c>
      <c r="AG58" s="74" t="e">
        <f t="array" ref="AG58">_xlfn.STDEV.P(IF($E$5:$E$27=$E57,AG$5:AG$27))</f>
        <v>#DIV/0!</v>
      </c>
      <c r="AH58" s="74" t="e">
        <f t="array" ref="AH58">_xlfn.STDEV.P(IF($E$5:$E$27=$E57,AH$5:AH$27))</f>
        <v>#DIV/0!</v>
      </c>
      <c r="AI58" s="74" t="e">
        <f t="array" ref="AI58">_xlfn.STDEV.P(IF($E$5:$E$27=$E57,AI$5:AI$27))</f>
        <v>#DIV/0!</v>
      </c>
      <c r="AJ58" s="74" t="e">
        <f t="array" ref="AJ58">_xlfn.STDEV.P(IF($E$5:$E$27=$E57,AJ$5:AJ$27))</f>
        <v>#DIV/0!</v>
      </c>
      <c r="AK58" s="74" t="e">
        <f t="array" ref="AK58">_xlfn.STDEV.P(IF($E$5:$E$27=$E57,AK$5:AK$27))</f>
        <v>#DIV/0!</v>
      </c>
      <c r="AL58" s="74" t="e">
        <f t="array" ref="AL58">_xlfn.STDEV.P(IF($E$5:$E$27=$E57,AL$5:AL$27))</f>
        <v>#DIV/0!</v>
      </c>
      <c r="AM58" s="74" t="e">
        <f t="array" ref="AM58">_xlfn.STDEV.P(IF($E$5:$E$27=$E57,AM$5:AM$27))</f>
        <v>#DIV/0!</v>
      </c>
      <c r="AN58" s="74" t="e">
        <f t="array" ref="AN58">_xlfn.STDEV.P(IF($E$5:$E$27=$E57,AN$5:AN$27))</f>
        <v>#DIV/0!</v>
      </c>
      <c r="AO58" s="74" t="e">
        <f t="array" ref="AO58">_xlfn.STDEV.P(IF($E$5:$E$27=$E57,AO$5:AO$27))</f>
        <v>#DIV/0!</v>
      </c>
      <c r="AP58" s="74" t="e">
        <f t="array" ref="AP58">_xlfn.STDEV.P(IF($E$5:$E$27=$E57,AP$5:AP$27))</f>
        <v>#DIV/0!</v>
      </c>
      <c r="AQ58" s="74" t="e">
        <f t="array" ref="AQ58">_xlfn.STDEV.P(IF($E$5:$E$27=$E57,AQ$5:AQ$27))</f>
        <v>#DIV/0!</v>
      </c>
      <c r="AR58" s="74" t="e">
        <f t="array" ref="AR58">_xlfn.STDEV.P(IF($E$5:$E$27=$E57,AR$5:AR$27))</f>
        <v>#DIV/0!</v>
      </c>
      <c r="AS58" s="74" t="e">
        <f t="array" ref="AS58">_xlfn.STDEV.P(IF($E$5:$E$27=$E57,AS$5:AS$27))</f>
        <v>#DIV/0!</v>
      </c>
      <c r="AT58" s="74" t="e">
        <f t="array" ref="AT58">_xlfn.STDEV.P(IF($E$5:$E$27=$E57,AT$5:AT$27))</f>
        <v>#DIV/0!</v>
      </c>
      <c r="AU58" s="74" t="e">
        <f t="array" ref="AU58">_xlfn.STDEV.P(IF($E$5:$E$27=$E57,AU$5:AU$27))</f>
        <v>#DIV/0!</v>
      </c>
      <c r="AV58" s="74" t="e">
        <f t="array" ref="AV58">_xlfn.STDEV.P(IF($E$5:$E$27=$E57,AV$5:AV$27))</f>
        <v>#DIV/0!</v>
      </c>
      <c r="AW58" s="74" t="e">
        <f t="array" ref="AW58">_xlfn.STDEV.P(IF($E$5:$E$27=$E57,AW$5:AW$27))</f>
        <v>#DIV/0!</v>
      </c>
      <c r="AX58" s="74" t="e">
        <f t="array" ref="AX58">_xlfn.STDEV.P(IF($E$5:$E$27=$E57,AX$5:AX$27))</f>
        <v>#DIV/0!</v>
      </c>
      <c r="AY58" s="74" t="e">
        <f t="array" ref="AY58">_xlfn.STDEV.P(IF($E$5:$E$27=$E57,AY$5:AY$27))</f>
        <v>#DIV/0!</v>
      </c>
      <c r="AZ58" s="74" t="e">
        <f t="array" ref="AZ58">_xlfn.STDEV.P(IF($E$5:$E$27=$E57,AZ$5:AZ$27))</f>
        <v>#DIV/0!</v>
      </c>
      <c r="BA58" s="74" t="e">
        <f t="array" ref="BA58">_xlfn.STDEV.P(IF($E$5:$E$27=$E57,BA$5:BA$27))</f>
        <v>#DIV/0!</v>
      </c>
      <c r="BB58" s="74" t="e">
        <f t="array" ref="BB58">_xlfn.STDEV.P(IF($E$5:$E$27=$E57,BB$5:BB$27))</f>
        <v>#DIV/0!</v>
      </c>
      <c r="BC58" s="74" t="e">
        <f t="array" ref="BC58">_xlfn.STDEV.P(IF($E$5:$E$27=$E57,BC$5:BC$27))</f>
        <v>#DIV/0!</v>
      </c>
      <c r="BD58" s="74" t="e">
        <f t="array" ref="BD58">_xlfn.STDEV.P(IF($E$5:$E$27=$E57,BD$5:BD$27))</f>
        <v>#DIV/0!</v>
      </c>
      <c r="BE58" s="74" t="e">
        <f t="array" ref="BE58">_xlfn.STDEV.P(IF($E$5:$E$27=$E57,BE$5:BE$27))</f>
        <v>#DIV/0!</v>
      </c>
      <c r="BF58" s="74" t="e">
        <f t="array" ref="BF58">_xlfn.STDEV.P(IF($E$5:$E$27=$E57,BF$5:BF$27))</f>
        <v>#DIV/0!</v>
      </c>
      <c r="BG58" s="74" t="e">
        <f t="array" ref="BG58">_xlfn.STDEV.P(IF($E$5:$E$27=$E57,BG$5:BG$27))</f>
        <v>#DIV/0!</v>
      </c>
      <c r="BH58" s="74" t="e">
        <f t="array" ref="BH58">_xlfn.STDEV.P(IF($E$5:$E$27=$E57,BH$5:BH$27))</f>
        <v>#DIV/0!</v>
      </c>
      <c r="BI58" s="74" t="e">
        <f t="array" ref="BI58">_xlfn.STDEV.P(IF($E$5:$E$27=$E57,BI$5:BI$27))</f>
        <v>#DIV/0!</v>
      </c>
      <c r="BJ58" s="74" t="e">
        <f t="array" ref="BJ58">_xlfn.STDEV.P(IF($E$5:$E$27=$E57,BJ$5:BJ$27))</f>
        <v>#DIV/0!</v>
      </c>
      <c r="BK58" s="74" t="e">
        <f t="array" ref="BK58">_xlfn.STDEV.P(IF($E$5:$E$27=$E57,BK$5:BK$27))</f>
        <v>#DIV/0!</v>
      </c>
      <c r="BL58" s="74" t="e">
        <f t="array" ref="BL58">_xlfn.STDEV.P(IF($E$5:$E$27=$E57,BL$5:BL$27))</f>
        <v>#DIV/0!</v>
      </c>
      <c r="BM58" s="74" t="e">
        <f t="array" ref="BM58">_xlfn.STDEV.P(IF($E$5:$E$27=$E57,BM$5:BM$27))</f>
        <v>#DIV/0!</v>
      </c>
      <c r="BN58" s="74" t="e">
        <f t="array" ref="BN58">_xlfn.STDEV.P(IF($E$5:$E$27=$E57,BN$5:BN$27))</f>
        <v>#DIV/0!</v>
      </c>
      <c r="BO58" s="74" t="e">
        <f t="array" ref="BO58">_xlfn.STDEV.P(IF($E$5:$E$27=$E57,BO$5:BO$27))</f>
        <v>#DIV/0!</v>
      </c>
      <c r="BP58" s="74" t="e">
        <f t="array" ref="BP58">_xlfn.STDEV.P(IF($E$5:$E$27=$E57,BP$5:BP$27))</f>
        <v>#DIV/0!</v>
      </c>
      <c r="BQ58" s="94" t="s">
        <v>11</v>
      </c>
      <c r="BR58" s="67" t="e">
        <f t="array" ref="BR58">_xlfn.STDEV.P(IF($E$5:$E$27=$E57,BR$5:BR$27))</f>
        <v>#DIV/0!</v>
      </c>
      <c r="BS58" s="67" t="e">
        <f t="array" ref="BS58">_xlfn.STDEV.P(IF($E$5:$E$27=$E57,BS$5:BS$27))</f>
        <v>#DIV/0!</v>
      </c>
      <c r="BT58" s="67" t="e">
        <f t="array" ref="BT58">_xlfn.STDEV.P(IF($E$5:$E$27=$E57,BT$5:BT$27))</f>
        <v>#DIV/0!</v>
      </c>
      <c r="BU58" s="67" t="e">
        <f t="array" ref="BU58">_xlfn.STDEV.P(IF($E$5:$E$27=$E57,BU$5:BU$27))</f>
        <v>#DIV/0!</v>
      </c>
      <c r="BV58" s="67" t="e">
        <f t="array" ref="BV58">_xlfn.STDEV.P(IF($E$5:$E$27=$E57,BV$5:BV$27))</f>
        <v>#DIV/0!</v>
      </c>
      <c r="BW58" s="67" t="e">
        <f t="array" ref="BW58">_xlfn.STDEV.P(IF($E$5:$E$27=$E57,BW$5:BW$27))</f>
        <v>#DIV/0!</v>
      </c>
      <c r="BX58" s="67" t="e">
        <f t="array" ref="BX58">_xlfn.STDEV.P(IF($E$5:$E$27=$E57,BX$5:BX$27))</f>
        <v>#DIV/0!</v>
      </c>
      <c r="BY58" s="67" t="e">
        <f t="array" ref="BY58">_xlfn.STDEV.P(IF($E$5:$E$27=$E57,BY$5:BY$27))</f>
        <v>#DIV/0!</v>
      </c>
      <c r="BZ58" s="67" t="e">
        <f t="array" ref="BZ58">_xlfn.STDEV.P(IF($E$5:$E$27=$E57,BZ$5:BZ$27))</f>
        <v>#DIV/0!</v>
      </c>
      <c r="CA58" s="67" t="e">
        <f t="array" ref="CA58">_xlfn.STDEV.P(IF($E$5:$E$27=$E57,CA$5:CA$27))</f>
        <v>#DIV/0!</v>
      </c>
      <c r="CB58" s="67" t="e">
        <f t="array" ref="CB58">_xlfn.STDEV.P(IF($E$5:$E$27=$E57,CB$5:CB$27))</f>
        <v>#DIV/0!</v>
      </c>
      <c r="CC58" s="67" t="e">
        <f t="array" ref="CC58">_xlfn.STDEV.P(IF($E$5:$E$27=$E57,CC$5:CC$27))</f>
        <v>#DIV/0!</v>
      </c>
      <c r="CD58" s="67" t="e">
        <f t="array" ref="CD58">_xlfn.STDEV.P(IF($E$5:$E$27=$E57,CD$5:CD$27))</f>
        <v>#DIV/0!</v>
      </c>
      <c r="CE58" s="67" t="e">
        <f t="array" ref="CE58">_xlfn.STDEV.P(IF($E$5:$E$27=$E57,CE$5:CE$27))</f>
        <v>#DIV/0!</v>
      </c>
      <c r="CF58" s="67" t="e">
        <f t="array" ref="CF58">_xlfn.STDEV.P(IF($E$5:$E$27=$E57,CF$5:CF$27))</f>
        <v>#DIV/0!</v>
      </c>
      <c r="CG58" s="67" t="e">
        <f t="array" ref="CG58">_xlfn.STDEV.P(IF($E$5:$E$27=$E57,CG$5:CG$27))</f>
        <v>#DIV/0!</v>
      </c>
      <c r="CH58" s="67" t="e">
        <f t="array" ref="CH58">_xlfn.STDEV.P(IF($E$5:$E$27=$E57,CH$5:CH$27))</f>
        <v>#DIV/0!</v>
      </c>
      <c r="CI58" s="67" t="e">
        <f t="array" ref="CI58">_xlfn.STDEV.P(IF($E$5:$E$27=$E57,CI$5:CI$27))</f>
        <v>#DIV/0!</v>
      </c>
      <c r="CJ58" s="67" t="e">
        <f t="array" ref="CJ58">_xlfn.STDEV.P(IF($E$5:$E$27=$E57,CJ$5:CJ$27))</f>
        <v>#DIV/0!</v>
      </c>
      <c r="CK58" s="67" t="e">
        <f t="array" ref="CK58">_xlfn.STDEV.P(IF($E$5:$E$27=$E57,CK$5:CK$27))</f>
        <v>#DIV/0!</v>
      </c>
      <c r="CL58" s="67" t="e">
        <f t="array" ref="CL58">_xlfn.STDEV.P(IF($E$5:$E$27=$E57,CL$5:CL$27))</f>
        <v>#DIV/0!</v>
      </c>
      <c r="CM58" s="67" t="e">
        <f t="array" ref="CM58">_xlfn.STDEV.P(IF($E$5:$E$27=$E57,CM$5:CM$27))</f>
        <v>#DIV/0!</v>
      </c>
      <c r="CN58" s="67" t="e">
        <f t="array" ref="CN58">_xlfn.STDEV.P(IF($E$5:$E$27=$E57,CN$5:CN$27))</f>
        <v>#DIV/0!</v>
      </c>
      <c r="CO58" s="67" t="e">
        <f t="array" ref="CO58">_xlfn.STDEV.P(IF($E$5:$E$27=$E57,CO$5:CO$27))</f>
        <v>#DIV/0!</v>
      </c>
      <c r="CP58" s="67" t="e">
        <f t="array" ref="CP58">_xlfn.STDEV.P(IF($E$5:$E$27=$E57,CP$5:CP$27))</f>
        <v>#DIV/0!</v>
      </c>
      <c r="CQ58" s="67" t="e">
        <f t="array" ref="CQ58">_xlfn.STDEV.P(IF($E$5:$E$27=$E57,CQ$5:CQ$27))</f>
        <v>#DIV/0!</v>
      </c>
      <c r="CR58" s="67" t="e">
        <f t="array" ref="CR58">_xlfn.STDEV.P(IF($E$5:$E$27=$E57,CR$5:CR$27))</f>
        <v>#DIV/0!</v>
      </c>
      <c r="CS58" s="67" t="e">
        <f t="array" ref="CS58">_xlfn.STDEV.P(IF($E$5:$E$27=$E57,CS$5:CS$27))</f>
        <v>#DIV/0!</v>
      </c>
      <c r="CT58" s="67" t="e">
        <f t="array" ref="CT58">_xlfn.STDEV.P(IF($E$5:$E$27=$E57,CT$5:CT$27))</f>
        <v>#DIV/0!</v>
      </c>
      <c r="CU58" s="67" t="e">
        <f t="array" ref="CU58">_xlfn.STDEV.P(IF($E$5:$E$27=$E57,CU$5:CU$27))</f>
        <v>#DIV/0!</v>
      </c>
      <c r="CV58" s="67" t="e">
        <f t="array" ref="CV58">_xlfn.STDEV.P(IF($E$5:$E$27=$E57,CV$5:CV$27))</f>
        <v>#DIV/0!</v>
      </c>
      <c r="CW58" s="67" t="e">
        <f t="array" ref="CW58">_xlfn.STDEV.P(IF($E$5:$E$27=$E57,CW$5:CW$27))</f>
        <v>#DIV/0!</v>
      </c>
      <c r="CX58" s="67" t="e">
        <f t="array" ref="CX58">_xlfn.STDEV.P(IF($E$5:$E$27=$E57,CX$5:CX$27))</f>
        <v>#DIV/0!</v>
      </c>
      <c r="CY58" s="67" t="e">
        <f t="array" ref="CY58">_xlfn.STDEV.P(IF($E$5:$E$27=$E57,CY$5:CY$27))</f>
        <v>#DIV/0!</v>
      </c>
      <c r="CZ58" s="67" t="e">
        <f t="array" ref="CZ58">_xlfn.STDEV.P(IF($E$5:$E$27=$E57,CZ$5:CZ$27))</f>
        <v>#DIV/0!</v>
      </c>
      <c r="DA58" s="67" t="e">
        <f t="array" ref="DA58">_xlfn.STDEV.P(IF($E$5:$E$27=$E57,DA$5:DA$27))</f>
        <v>#DIV/0!</v>
      </c>
      <c r="DB58" s="67" t="e">
        <f t="array" ref="DB58">_xlfn.STDEV.P(IF($E$5:$E$27=$E57,DB$5:DB$27))</f>
        <v>#DIV/0!</v>
      </c>
      <c r="DC58" s="67" t="e">
        <f t="array" ref="DC58">_xlfn.STDEV.P(IF($E$5:$E$27=$E57,DC$5:DC$27))</f>
        <v>#DIV/0!</v>
      </c>
      <c r="DD58" s="67" t="e">
        <f t="array" ref="DD58">_xlfn.STDEV.P(IF($E$5:$E$27=$E57,DD$5:DD$27))</f>
        <v>#DIV/0!</v>
      </c>
      <c r="DE58" s="67" t="e">
        <f t="array" ref="DE58">_xlfn.STDEV.P(IF($E$5:$E$27=$E57,DE$5:DE$27))</f>
        <v>#DIV/0!</v>
      </c>
      <c r="DF58" s="67" t="e">
        <f t="array" ref="DF58">_xlfn.STDEV.P(IF($E$5:$E$27=$E57,DF$5:DF$27))</f>
        <v>#DIV/0!</v>
      </c>
      <c r="DG58" s="67" t="e">
        <f t="array" ref="DG58">_xlfn.STDEV.P(IF($E$5:$E$27=$E57,DG$5:DG$27))</f>
        <v>#DIV/0!</v>
      </c>
      <c r="DH58" s="67" t="e">
        <f t="array" ref="DH58">_xlfn.STDEV.P(IF($E$5:$E$27=$E57,DH$5:DH$27))</f>
        <v>#DIV/0!</v>
      </c>
      <c r="DI58" s="67" t="e">
        <f t="array" ref="DI58">_xlfn.STDEV.P(IF($E$5:$E$27=$E57,DI$5:DI$27))</f>
        <v>#DIV/0!</v>
      </c>
      <c r="DJ58" s="67" t="e">
        <f t="array" ref="DJ58">_xlfn.STDEV.P(IF($E$5:$E$27=$E57,DJ$5:DJ$27))</f>
        <v>#DIV/0!</v>
      </c>
      <c r="DK58" s="67" t="e">
        <f t="array" ref="DK58">_xlfn.STDEV.P(IF($E$5:$E$27=$E57,DK$5:DK$27))</f>
        <v>#DIV/0!</v>
      </c>
    </row>
    <row r="59" spans="1:120" s="150" customFormat="1" ht="14.25" customHeight="1">
      <c r="A59" s="146"/>
      <c r="B59" s="147"/>
      <c r="C59" s="148"/>
      <c r="D59" s="169"/>
      <c r="E59" s="149"/>
      <c r="G59" s="147"/>
      <c r="H59" s="147"/>
      <c r="I59" s="151"/>
      <c r="J59" s="152"/>
      <c r="K59" s="152"/>
      <c r="L59" s="152"/>
      <c r="M59" s="152"/>
      <c r="N59" s="152"/>
      <c r="O59" s="152"/>
      <c r="P59" s="152"/>
      <c r="Q59" s="152"/>
      <c r="R59" s="152"/>
      <c r="S59" s="228"/>
      <c r="T59" s="228"/>
      <c r="U59" s="152"/>
      <c r="V59" s="153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144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H59" s="145"/>
      <c r="DI59" s="145"/>
      <c r="DJ59" s="145"/>
      <c r="DK59" s="145"/>
    </row>
    <row r="60" spans="1:120" s="159" customFormat="1" ht="14.25" customHeight="1">
      <c r="A60" s="155"/>
      <c r="B60" s="156"/>
      <c r="C60" s="157"/>
      <c r="D60" s="170"/>
      <c r="E60" s="158"/>
      <c r="G60" s="156"/>
      <c r="H60" s="156"/>
      <c r="I60" s="160"/>
      <c r="J60" s="161"/>
      <c r="K60" s="161"/>
      <c r="L60" s="161"/>
      <c r="M60" s="161"/>
      <c r="N60" s="161"/>
      <c r="O60" s="161"/>
      <c r="P60" s="161"/>
      <c r="Q60" s="161"/>
      <c r="R60" s="161"/>
      <c r="S60" s="228"/>
      <c r="T60" s="228"/>
      <c r="U60" s="161"/>
      <c r="V60" s="162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163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154"/>
      <c r="CU60" s="154"/>
      <c r="CV60" s="154"/>
      <c r="CW60" s="154"/>
      <c r="CX60" s="154"/>
      <c r="CY60" s="154"/>
      <c r="CZ60" s="154"/>
      <c r="DA60" s="154"/>
      <c r="DB60" s="154"/>
      <c r="DC60" s="154"/>
      <c r="DD60" s="154"/>
      <c r="DE60" s="154"/>
      <c r="DF60" s="154"/>
      <c r="DG60" s="154"/>
      <c r="DH60" s="154"/>
      <c r="DI60" s="154"/>
      <c r="DJ60" s="154"/>
      <c r="DK60" s="154"/>
    </row>
    <row r="61" spans="1:120" ht="15">
      <c r="A61" s="103"/>
      <c r="E61" s="45"/>
      <c r="I61" s="45"/>
      <c r="K61" s="50"/>
      <c r="L61" s="50"/>
      <c r="P61" s="50"/>
      <c r="Q61" s="50"/>
      <c r="R61" s="50"/>
      <c r="S61" s="227"/>
      <c r="T61" s="227"/>
      <c r="U61" s="50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DF61" s="37"/>
      <c r="DG61" s="37"/>
      <c r="DH61" s="37"/>
      <c r="DI61" s="37"/>
      <c r="DJ61" s="37"/>
      <c r="DK61" s="37"/>
    </row>
    <row r="62" spans="1:120" ht="14.25" customHeight="1">
      <c r="A62" s="103"/>
      <c r="E62" s="108" t="str">
        <f>'NAB_PTX Groups'!C14</f>
        <v>Group 9</v>
      </c>
      <c r="I62" s="108" t="str">
        <f>E62</f>
        <v>Group 9</v>
      </c>
      <c r="J62" s="97" t="e">
        <f>AVERAGEIF($E$5:$E$27,$E62,J$5:J$27)</f>
        <v>#DIV/0!</v>
      </c>
      <c r="K62" s="97"/>
      <c r="L62" s="97"/>
      <c r="M62" s="97" t="e">
        <f t="shared" ref="M62:R62" si="97">AVERAGEIF($E$5:$E$27,$E62,M$5:M$27)</f>
        <v>#DIV/0!</v>
      </c>
      <c r="N62" s="97" t="e">
        <f t="shared" si="97"/>
        <v>#DIV/0!</v>
      </c>
      <c r="O62" s="97" t="e">
        <f t="shared" si="97"/>
        <v>#DIV/0!</v>
      </c>
      <c r="P62" s="97" t="e">
        <f t="shared" si="97"/>
        <v>#DIV/0!</v>
      </c>
      <c r="Q62" s="97" t="e">
        <f t="shared" si="97"/>
        <v>#DIV/0!</v>
      </c>
      <c r="R62" s="97" t="e">
        <f t="shared" si="97"/>
        <v>#DIV/0!</v>
      </c>
      <c r="S62" s="228"/>
      <c r="T62" s="228" t="e">
        <f>AVERAGEIF($E$5:$E$27,$E62,T$5:T$27)</f>
        <v>#DIV/0!</v>
      </c>
      <c r="U62" s="97" t="e">
        <f>AVERAGEIF($E$5:$E$27,$E62,U$5:U$27)</f>
        <v>#DIV/0!</v>
      </c>
      <c r="V62" s="65" t="s">
        <v>9</v>
      </c>
      <c r="W62" s="71" t="e">
        <f t="shared" ref="W62:BP62" si="98">AVERAGEIF($E$5:$E$27,$E62,W$5:W$27)</f>
        <v>#DIV/0!</v>
      </c>
      <c r="X62" s="71" t="e">
        <f t="shared" si="98"/>
        <v>#DIV/0!</v>
      </c>
      <c r="Y62" s="71" t="e">
        <f t="shared" si="98"/>
        <v>#DIV/0!</v>
      </c>
      <c r="Z62" s="71" t="e">
        <f t="shared" si="98"/>
        <v>#DIV/0!</v>
      </c>
      <c r="AA62" s="71" t="e">
        <f t="shared" si="98"/>
        <v>#DIV/0!</v>
      </c>
      <c r="AB62" s="71" t="e">
        <f t="shared" si="98"/>
        <v>#DIV/0!</v>
      </c>
      <c r="AC62" s="71" t="e">
        <f t="shared" si="98"/>
        <v>#DIV/0!</v>
      </c>
      <c r="AD62" s="71" t="e">
        <f t="shared" si="98"/>
        <v>#DIV/0!</v>
      </c>
      <c r="AE62" s="71" t="e">
        <f t="shared" si="98"/>
        <v>#DIV/0!</v>
      </c>
      <c r="AF62" s="71" t="e">
        <f t="shared" si="98"/>
        <v>#DIV/0!</v>
      </c>
      <c r="AG62" s="71" t="e">
        <f t="shared" si="98"/>
        <v>#DIV/0!</v>
      </c>
      <c r="AH62" s="71" t="e">
        <f t="shared" si="98"/>
        <v>#DIV/0!</v>
      </c>
      <c r="AI62" s="71" t="e">
        <f t="shared" si="98"/>
        <v>#DIV/0!</v>
      </c>
      <c r="AJ62" s="71" t="e">
        <f t="shared" si="98"/>
        <v>#DIV/0!</v>
      </c>
      <c r="AK62" s="71" t="e">
        <f t="shared" si="98"/>
        <v>#DIV/0!</v>
      </c>
      <c r="AL62" s="71" t="e">
        <f t="shared" si="98"/>
        <v>#DIV/0!</v>
      </c>
      <c r="AM62" s="71" t="e">
        <f t="shared" si="98"/>
        <v>#DIV/0!</v>
      </c>
      <c r="AN62" s="71" t="e">
        <f t="shared" si="98"/>
        <v>#DIV/0!</v>
      </c>
      <c r="AO62" s="71" t="e">
        <f t="shared" si="98"/>
        <v>#DIV/0!</v>
      </c>
      <c r="AP62" s="71" t="e">
        <f t="shared" si="98"/>
        <v>#DIV/0!</v>
      </c>
      <c r="AQ62" s="71" t="e">
        <f t="shared" si="98"/>
        <v>#DIV/0!</v>
      </c>
      <c r="AR62" s="71" t="e">
        <f t="shared" si="98"/>
        <v>#DIV/0!</v>
      </c>
      <c r="AS62" s="71" t="e">
        <f t="shared" si="98"/>
        <v>#DIV/0!</v>
      </c>
      <c r="AT62" s="71" t="e">
        <f t="shared" si="98"/>
        <v>#DIV/0!</v>
      </c>
      <c r="AU62" s="71" t="e">
        <f t="shared" si="98"/>
        <v>#DIV/0!</v>
      </c>
      <c r="AV62" s="71" t="e">
        <f t="shared" si="98"/>
        <v>#DIV/0!</v>
      </c>
      <c r="AW62" s="71" t="e">
        <f t="shared" si="98"/>
        <v>#DIV/0!</v>
      </c>
      <c r="AX62" s="71" t="e">
        <f t="shared" si="98"/>
        <v>#DIV/0!</v>
      </c>
      <c r="AY62" s="71" t="e">
        <f t="shared" si="98"/>
        <v>#DIV/0!</v>
      </c>
      <c r="AZ62" s="71" t="e">
        <f t="shared" si="98"/>
        <v>#DIV/0!</v>
      </c>
      <c r="BA62" s="71" t="e">
        <f t="shared" si="98"/>
        <v>#DIV/0!</v>
      </c>
      <c r="BB62" s="71" t="e">
        <f t="shared" si="98"/>
        <v>#DIV/0!</v>
      </c>
      <c r="BC62" s="71" t="e">
        <f t="shared" si="98"/>
        <v>#DIV/0!</v>
      </c>
      <c r="BD62" s="71" t="e">
        <f t="shared" si="98"/>
        <v>#DIV/0!</v>
      </c>
      <c r="BE62" s="71" t="e">
        <f t="shared" si="98"/>
        <v>#DIV/0!</v>
      </c>
      <c r="BF62" s="71" t="e">
        <f t="shared" si="98"/>
        <v>#DIV/0!</v>
      </c>
      <c r="BG62" s="71" t="e">
        <f t="shared" si="98"/>
        <v>#DIV/0!</v>
      </c>
      <c r="BH62" s="71" t="e">
        <f t="shared" si="98"/>
        <v>#DIV/0!</v>
      </c>
      <c r="BI62" s="71" t="e">
        <f t="shared" si="98"/>
        <v>#DIV/0!</v>
      </c>
      <c r="BJ62" s="71" t="e">
        <f t="shared" si="98"/>
        <v>#DIV/0!</v>
      </c>
      <c r="BK62" s="71" t="e">
        <f t="shared" si="98"/>
        <v>#DIV/0!</v>
      </c>
      <c r="BL62" s="71" t="e">
        <f t="shared" si="98"/>
        <v>#DIV/0!</v>
      </c>
      <c r="BM62" s="71" t="e">
        <f t="shared" si="98"/>
        <v>#DIV/0!</v>
      </c>
      <c r="BN62" s="71" t="e">
        <f t="shared" si="98"/>
        <v>#DIV/0!</v>
      </c>
      <c r="BO62" s="71" t="e">
        <f t="shared" si="98"/>
        <v>#DIV/0!</v>
      </c>
      <c r="BP62" s="71" t="e">
        <f t="shared" si="98"/>
        <v>#DIV/0!</v>
      </c>
      <c r="BQ62" s="93" t="s">
        <v>9</v>
      </c>
      <c r="BR62" s="66" t="e">
        <f t="shared" ref="BR62:DK62" si="99">AVERAGEIF($E$5:$E$27,$E62,BR$5:BR$27)</f>
        <v>#DIV/0!</v>
      </c>
      <c r="BS62" s="66" t="e">
        <f t="shared" si="99"/>
        <v>#DIV/0!</v>
      </c>
      <c r="BT62" s="66" t="e">
        <f t="shared" si="99"/>
        <v>#DIV/0!</v>
      </c>
      <c r="BU62" s="66" t="e">
        <f t="shared" si="99"/>
        <v>#DIV/0!</v>
      </c>
      <c r="BV62" s="66" t="e">
        <f t="shared" si="99"/>
        <v>#DIV/0!</v>
      </c>
      <c r="BW62" s="66" t="e">
        <f t="shared" si="99"/>
        <v>#DIV/0!</v>
      </c>
      <c r="BX62" s="66" t="e">
        <f t="shared" si="99"/>
        <v>#DIV/0!</v>
      </c>
      <c r="BY62" s="66" t="e">
        <f t="shared" si="99"/>
        <v>#DIV/0!</v>
      </c>
      <c r="BZ62" s="66" t="e">
        <f t="shared" si="99"/>
        <v>#DIV/0!</v>
      </c>
      <c r="CA62" s="66" t="e">
        <f t="shared" si="99"/>
        <v>#DIV/0!</v>
      </c>
      <c r="CB62" s="66" t="e">
        <f t="shared" si="99"/>
        <v>#DIV/0!</v>
      </c>
      <c r="CC62" s="66" t="e">
        <f t="shared" si="99"/>
        <v>#DIV/0!</v>
      </c>
      <c r="CD62" s="66" t="e">
        <f t="shared" si="99"/>
        <v>#DIV/0!</v>
      </c>
      <c r="CE62" s="66" t="e">
        <f t="shared" si="99"/>
        <v>#DIV/0!</v>
      </c>
      <c r="CF62" s="66" t="e">
        <f t="shared" si="99"/>
        <v>#DIV/0!</v>
      </c>
      <c r="CG62" s="66" t="e">
        <f t="shared" si="99"/>
        <v>#DIV/0!</v>
      </c>
      <c r="CH62" s="66" t="e">
        <f t="shared" si="99"/>
        <v>#DIV/0!</v>
      </c>
      <c r="CI62" s="66" t="e">
        <f t="shared" si="99"/>
        <v>#DIV/0!</v>
      </c>
      <c r="CJ62" s="66" t="e">
        <f t="shared" si="99"/>
        <v>#DIV/0!</v>
      </c>
      <c r="CK62" s="66" t="e">
        <f t="shared" si="99"/>
        <v>#DIV/0!</v>
      </c>
      <c r="CL62" s="66" t="e">
        <f t="shared" si="99"/>
        <v>#DIV/0!</v>
      </c>
      <c r="CM62" s="66" t="e">
        <f t="shared" si="99"/>
        <v>#DIV/0!</v>
      </c>
      <c r="CN62" s="66" t="e">
        <f t="shared" si="99"/>
        <v>#DIV/0!</v>
      </c>
      <c r="CO62" s="66" t="e">
        <f t="shared" si="99"/>
        <v>#DIV/0!</v>
      </c>
      <c r="CP62" s="66" t="e">
        <f t="shared" si="99"/>
        <v>#DIV/0!</v>
      </c>
      <c r="CQ62" s="66" t="e">
        <f t="shared" si="99"/>
        <v>#DIV/0!</v>
      </c>
      <c r="CR62" s="66" t="e">
        <f t="shared" si="99"/>
        <v>#DIV/0!</v>
      </c>
      <c r="CS62" s="66" t="e">
        <f t="shared" si="99"/>
        <v>#DIV/0!</v>
      </c>
      <c r="CT62" s="66" t="e">
        <f t="shared" si="99"/>
        <v>#DIV/0!</v>
      </c>
      <c r="CU62" s="66" t="e">
        <f t="shared" si="99"/>
        <v>#DIV/0!</v>
      </c>
      <c r="CV62" s="66" t="e">
        <f t="shared" si="99"/>
        <v>#DIV/0!</v>
      </c>
      <c r="CW62" s="66" t="e">
        <f t="shared" si="99"/>
        <v>#DIV/0!</v>
      </c>
      <c r="CX62" s="66" t="e">
        <f t="shared" si="99"/>
        <v>#DIV/0!</v>
      </c>
      <c r="CY62" s="66" t="e">
        <f t="shared" si="99"/>
        <v>#DIV/0!</v>
      </c>
      <c r="CZ62" s="66" t="e">
        <f t="shared" si="99"/>
        <v>#DIV/0!</v>
      </c>
      <c r="DA62" s="66" t="e">
        <f t="shared" si="99"/>
        <v>#DIV/0!</v>
      </c>
      <c r="DB62" s="66" t="e">
        <f t="shared" si="99"/>
        <v>#DIV/0!</v>
      </c>
      <c r="DC62" s="66" t="e">
        <f t="shared" si="99"/>
        <v>#DIV/0!</v>
      </c>
      <c r="DD62" s="66" t="e">
        <f t="shared" si="99"/>
        <v>#DIV/0!</v>
      </c>
      <c r="DE62" s="66" t="e">
        <f t="shared" si="99"/>
        <v>#DIV/0!</v>
      </c>
      <c r="DF62" s="66" t="e">
        <f t="shared" si="99"/>
        <v>#DIV/0!</v>
      </c>
      <c r="DG62" s="66" t="e">
        <f t="shared" si="99"/>
        <v>#DIV/0!</v>
      </c>
      <c r="DH62" s="66" t="e">
        <f t="shared" si="99"/>
        <v>#DIV/0!</v>
      </c>
      <c r="DI62" s="66" t="e">
        <f t="shared" si="99"/>
        <v>#DIV/0!</v>
      </c>
      <c r="DJ62" s="66" t="e">
        <f t="shared" si="99"/>
        <v>#DIV/0!</v>
      </c>
      <c r="DK62" s="66" t="e">
        <f t="shared" si="99"/>
        <v>#DIV/0!</v>
      </c>
    </row>
    <row r="63" spans="1:120" ht="14.25" customHeight="1">
      <c r="A63" s="103"/>
      <c r="E63" s="108"/>
      <c r="I63" s="83"/>
      <c r="J63" s="97" t="e">
        <f t="array" ref="J63">_xlfn.STDEV.P(IF($E$5:$E$27=$E62,J$5:J$27))</f>
        <v>#DIV/0!</v>
      </c>
      <c r="K63" s="97"/>
      <c r="L63" s="97"/>
      <c r="M63" s="97" t="e">
        <f t="array" ref="M63">_xlfn.STDEV.P(IF($E$5:$E$27=$E62,M$5:M$27))</f>
        <v>#DIV/0!</v>
      </c>
      <c r="N63" s="97" t="e">
        <f t="array" ref="N63">_xlfn.STDEV.P(IF($E$5:$E$27=$E62,N$5:N$27))</f>
        <v>#DIV/0!</v>
      </c>
      <c r="O63" s="97" t="e">
        <f t="array" ref="O63">_xlfn.STDEV.P(IF($E$5:$E$27=$E62,O$5:O$27))</f>
        <v>#DIV/0!</v>
      </c>
      <c r="P63" s="97" t="e">
        <f t="array" ref="P63">_xlfn.STDEV.P(IF($E$5:$E$27=$E62,P$5:P$27))</f>
        <v>#DIV/0!</v>
      </c>
      <c r="Q63" s="97" t="e">
        <f t="array" ref="Q63">_xlfn.STDEV.P(IF($E$5:$E$27=$E62,Q$5:Q$27))</f>
        <v>#DIV/0!</v>
      </c>
      <c r="R63" s="97" t="e">
        <f t="array" ref="R63">_xlfn.STDEV.P(IF($E$5:$E$27=$E62,R$5:R$27))</f>
        <v>#DIV/0!</v>
      </c>
      <c r="S63" s="228"/>
      <c r="T63" s="228" t="e">
        <f t="array" ref="T63">_xlfn.STDEV.P(IF($E$5:$E$27=$E62,T$5:T$27))</f>
        <v>#DIV/0!</v>
      </c>
      <c r="U63" s="97" t="e">
        <f t="array" ref="U63">_xlfn.STDEV.P(IF($E$5:$E$27=$E62,U$5:U$27))</f>
        <v>#DIV/0!</v>
      </c>
      <c r="V63" s="65" t="s">
        <v>11</v>
      </c>
      <c r="W63" s="74" t="e">
        <f t="array" ref="W63">_xlfn.STDEV.P(IF($E$5:$E$27=$E62,W$5:W$27))</f>
        <v>#DIV/0!</v>
      </c>
      <c r="X63" s="74" t="e">
        <f t="array" ref="X63">_xlfn.STDEV.P(IF($E$5:$E$27=$E62,X$5:X$27))</f>
        <v>#DIV/0!</v>
      </c>
      <c r="Y63" s="74" t="e">
        <f t="array" ref="Y63">_xlfn.STDEV.P(IF($E$5:$E$27=$E62,Y$5:Y$27))</f>
        <v>#DIV/0!</v>
      </c>
      <c r="Z63" s="74" t="e">
        <f t="array" ref="Z63">_xlfn.STDEV.P(IF($E$5:$E$27=$E62,Z$5:Z$27))</f>
        <v>#DIV/0!</v>
      </c>
      <c r="AA63" s="74" t="e">
        <f t="array" ref="AA63">_xlfn.STDEV.P(IF($E$5:$E$27=$E62,AA$5:AA$27))</f>
        <v>#DIV/0!</v>
      </c>
      <c r="AB63" s="74" t="e">
        <f t="array" ref="AB63">_xlfn.STDEV.P(IF($E$5:$E$27=$E62,AB$5:AB$27))</f>
        <v>#DIV/0!</v>
      </c>
      <c r="AC63" s="74" t="e">
        <f t="array" ref="AC63">_xlfn.STDEV.P(IF($E$5:$E$27=$E62,AC$5:AC$27))</f>
        <v>#DIV/0!</v>
      </c>
      <c r="AD63" s="74" t="e">
        <f t="array" ref="AD63">_xlfn.STDEV.P(IF($E$5:$E$27=$E62,AD$5:AD$27))</f>
        <v>#DIV/0!</v>
      </c>
      <c r="AE63" s="74" t="e">
        <f t="array" ref="AE63">_xlfn.STDEV.P(IF($E$5:$E$27=$E62,AE$5:AE$27))</f>
        <v>#DIV/0!</v>
      </c>
      <c r="AF63" s="74" t="e">
        <f t="array" ref="AF63">_xlfn.STDEV.P(IF($E$5:$E$27=$E62,AF$5:AF$27))</f>
        <v>#DIV/0!</v>
      </c>
      <c r="AG63" s="74" t="e">
        <f t="array" ref="AG63">_xlfn.STDEV.P(IF($E$5:$E$27=$E62,AG$5:AG$27))</f>
        <v>#DIV/0!</v>
      </c>
      <c r="AH63" s="74" t="e">
        <f t="array" ref="AH63">_xlfn.STDEV.P(IF($E$5:$E$27=$E62,AH$5:AH$27))</f>
        <v>#DIV/0!</v>
      </c>
      <c r="AI63" s="74" t="e">
        <f t="array" ref="AI63">_xlfn.STDEV.P(IF($E$5:$E$27=$E62,AI$5:AI$27))</f>
        <v>#DIV/0!</v>
      </c>
      <c r="AJ63" s="74" t="e">
        <f t="array" ref="AJ63">_xlfn.STDEV.P(IF($E$5:$E$27=$E62,AJ$5:AJ$27))</f>
        <v>#DIV/0!</v>
      </c>
      <c r="AK63" s="74" t="e">
        <f t="array" ref="AK63">_xlfn.STDEV.P(IF($E$5:$E$27=$E62,AK$5:AK$27))</f>
        <v>#DIV/0!</v>
      </c>
      <c r="AL63" s="74" t="e">
        <f t="array" ref="AL63">_xlfn.STDEV.P(IF($E$5:$E$27=$E62,AL$5:AL$27))</f>
        <v>#DIV/0!</v>
      </c>
      <c r="AM63" s="74" t="e">
        <f t="array" ref="AM63">_xlfn.STDEV.P(IF($E$5:$E$27=$E62,AM$5:AM$27))</f>
        <v>#DIV/0!</v>
      </c>
      <c r="AN63" s="74" t="e">
        <f t="array" ref="AN63">_xlfn.STDEV.P(IF($E$5:$E$27=$E62,AN$5:AN$27))</f>
        <v>#DIV/0!</v>
      </c>
      <c r="AO63" s="74" t="e">
        <f t="array" ref="AO63">_xlfn.STDEV.P(IF($E$5:$E$27=$E62,AO$5:AO$27))</f>
        <v>#DIV/0!</v>
      </c>
      <c r="AP63" s="74" t="e">
        <f t="array" ref="AP63">_xlfn.STDEV.P(IF($E$5:$E$27=$E62,AP$5:AP$27))</f>
        <v>#DIV/0!</v>
      </c>
      <c r="AQ63" s="74" t="e">
        <f t="array" ref="AQ63">_xlfn.STDEV.P(IF($E$5:$E$27=$E62,AQ$5:AQ$27))</f>
        <v>#DIV/0!</v>
      </c>
      <c r="AR63" s="74" t="e">
        <f t="array" ref="AR63">_xlfn.STDEV.P(IF($E$5:$E$27=$E62,AR$5:AR$27))</f>
        <v>#DIV/0!</v>
      </c>
      <c r="AS63" s="74" t="e">
        <f t="array" ref="AS63">_xlfn.STDEV.P(IF($E$5:$E$27=$E62,AS$5:AS$27))</f>
        <v>#DIV/0!</v>
      </c>
      <c r="AT63" s="74" t="e">
        <f t="array" ref="AT63">_xlfn.STDEV.P(IF($E$5:$E$27=$E62,AT$5:AT$27))</f>
        <v>#DIV/0!</v>
      </c>
      <c r="AU63" s="74" t="e">
        <f t="array" ref="AU63">_xlfn.STDEV.P(IF($E$5:$E$27=$E62,AU$5:AU$27))</f>
        <v>#DIV/0!</v>
      </c>
      <c r="AV63" s="74" t="e">
        <f t="array" ref="AV63">_xlfn.STDEV.P(IF($E$5:$E$27=$E62,AV$5:AV$27))</f>
        <v>#DIV/0!</v>
      </c>
      <c r="AW63" s="74" t="e">
        <f t="array" ref="AW63">_xlfn.STDEV.P(IF($E$5:$E$27=$E62,AW$5:AW$27))</f>
        <v>#DIV/0!</v>
      </c>
      <c r="AX63" s="74" t="e">
        <f t="array" ref="AX63">_xlfn.STDEV.P(IF($E$5:$E$27=$E62,AX$5:AX$27))</f>
        <v>#DIV/0!</v>
      </c>
      <c r="AY63" s="74" t="e">
        <f t="array" ref="AY63">_xlfn.STDEV.P(IF($E$5:$E$27=$E62,AY$5:AY$27))</f>
        <v>#DIV/0!</v>
      </c>
      <c r="AZ63" s="74" t="e">
        <f t="array" ref="AZ63">_xlfn.STDEV.P(IF($E$5:$E$27=$E62,AZ$5:AZ$27))</f>
        <v>#DIV/0!</v>
      </c>
      <c r="BA63" s="74" t="e">
        <f t="array" ref="BA63">_xlfn.STDEV.P(IF($E$5:$E$27=$E62,BA$5:BA$27))</f>
        <v>#DIV/0!</v>
      </c>
      <c r="BB63" s="74" t="e">
        <f t="array" ref="BB63">_xlfn.STDEV.P(IF($E$5:$E$27=$E62,BB$5:BB$27))</f>
        <v>#DIV/0!</v>
      </c>
      <c r="BC63" s="74" t="e">
        <f t="array" ref="BC63">_xlfn.STDEV.P(IF($E$5:$E$27=$E62,BC$5:BC$27))</f>
        <v>#DIV/0!</v>
      </c>
      <c r="BD63" s="74" t="e">
        <f t="array" ref="BD63">_xlfn.STDEV.P(IF($E$5:$E$27=$E62,BD$5:BD$27))</f>
        <v>#DIV/0!</v>
      </c>
      <c r="BE63" s="74" t="e">
        <f t="array" ref="BE63">_xlfn.STDEV.P(IF($E$5:$E$27=$E62,BE$5:BE$27))</f>
        <v>#DIV/0!</v>
      </c>
      <c r="BF63" s="74" t="e">
        <f t="array" ref="BF63">_xlfn.STDEV.P(IF($E$5:$E$27=$E62,BF$5:BF$27))</f>
        <v>#DIV/0!</v>
      </c>
      <c r="BG63" s="74" t="e">
        <f t="array" ref="BG63">_xlfn.STDEV.P(IF($E$5:$E$27=$E62,BG$5:BG$27))</f>
        <v>#DIV/0!</v>
      </c>
      <c r="BH63" s="74" t="e">
        <f t="array" ref="BH63">_xlfn.STDEV.P(IF($E$5:$E$27=$E62,BH$5:BH$27))</f>
        <v>#DIV/0!</v>
      </c>
      <c r="BI63" s="74" t="e">
        <f t="array" ref="BI63">_xlfn.STDEV.P(IF($E$5:$E$27=$E62,BI$5:BI$27))</f>
        <v>#DIV/0!</v>
      </c>
      <c r="BJ63" s="74" t="e">
        <f t="array" ref="BJ63">_xlfn.STDEV.P(IF($E$5:$E$27=$E62,BJ$5:BJ$27))</f>
        <v>#DIV/0!</v>
      </c>
      <c r="BK63" s="74" t="e">
        <f t="array" ref="BK63">_xlfn.STDEV.P(IF($E$5:$E$27=$E62,BK$5:BK$27))</f>
        <v>#DIV/0!</v>
      </c>
      <c r="BL63" s="74" t="e">
        <f t="array" ref="BL63">_xlfn.STDEV.P(IF($E$5:$E$27=$E62,BL$5:BL$27))</f>
        <v>#DIV/0!</v>
      </c>
      <c r="BM63" s="74" t="e">
        <f t="array" ref="BM63">_xlfn.STDEV.P(IF($E$5:$E$27=$E62,BM$5:BM$27))</f>
        <v>#DIV/0!</v>
      </c>
      <c r="BN63" s="74" t="e">
        <f t="array" ref="BN63">_xlfn.STDEV.P(IF($E$5:$E$27=$E62,BN$5:BN$27))</f>
        <v>#DIV/0!</v>
      </c>
      <c r="BO63" s="74" t="e">
        <f t="array" ref="BO63">_xlfn.STDEV.P(IF($E$5:$E$27=$E62,BO$5:BO$27))</f>
        <v>#DIV/0!</v>
      </c>
      <c r="BP63" s="74" t="e">
        <f t="array" ref="BP63">_xlfn.STDEV.P(IF($E$5:$E$27=$E62,BP$5:BP$27))</f>
        <v>#DIV/0!</v>
      </c>
      <c r="BQ63" s="94" t="s">
        <v>11</v>
      </c>
      <c r="BR63" s="67" t="e">
        <f t="array" ref="BR63">_xlfn.STDEV.P(IF($E$5:$E$27=$E62,BR$5:BR$27))</f>
        <v>#DIV/0!</v>
      </c>
      <c r="BS63" s="67" t="e">
        <f t="array" ref="BS63">_xlfn.STDEV.P(IF($E$5:$E$27=$E62,BS$5:BS$27))</f>
        <v>#DIV/0!</v>
      </c>
      <c r="BT63" s="67" t="e">
        <f t="array" ref="BT63">_xlfn.STDEV.P(IF($E$5:$E$27=$E62,BT$5:BT$27))</f>
        <v>#DIV/0!</v>
      </c>
      <c r="BU63" s="67" t="e">
        <f t="array" ref="BU63">_xlfn.STDEV.P(IF($E$5:$E$27=$E62,BU$5:BU$27))</f>
        <v>#DIV/0!</v>
      </c>
      <c r="BV63" s="67" t="e">
        <f t="array" ref="BV63">_xlfn.STDEV.P(IF($E$5:$E$27=$E62,BV$5:BV$27))</f>
        <v>#DIV/0!</v>
      </c>
      <c r="BW63" s="67" t="e">
        <f t="array" ref="BW63">_xlfn.STDEV.P(IF($E$5:$E$27=$E62,BW$5:BW$27))</f>
        <v>#DIV/0!</v>
      </c>
      <c r="BX63" s="67" t="e">
        <f t="array" ref="BX63">_xlfn.STDEV.P(IF($E$5:$E$27=$E62,BX$5:BX$27))</f>
        <v>#DIV/0!</v>
      </c>
      <c r="BY63" s="67" t="e">
        <f t="array" ref="BY63">_xlfn.STDEV.P(IF($E$5:$E$27=$E62,BY$5:BY$27))</f>
        <v>#DIV/0!</v>
      </c>
      <c r="BZ63" s="67" t="e">
        <f t="array" ref="BZ63">_xlfn.STDEV.P(IF($E$5:$E$27=$E62,BZ$5:BZ$27))</f>
        <v>#DIV/0!</v>
      </c>
      <c r="CA63" s="67" t="e">
        <f t="array" ref="CA63">_xlfn.STDEV.P(IF($E$5:$E$27=$E62,CA$5:CA$27))</f>
        <v>#DIV/0!</v>
      </c>
      <c r="CB63" s="67" t="e">
        <f t="array" ref="CB63">_xlfn.STDEV.P(IF($E$5:$E$27=$E62,CB$5:CB$27))</f>
        <v>#DIV/0!</v>
      </c>
      <c r="CC63" s="67" t="e">
        <f t="array" ref="CC63">_xlfn.STDEV.P(IF($E$5:$E$27=$E62,CC$5:CC$27))</f>
        <v>#DIV/0!</v>
      </c>
      <c r="CD63" s="67" t="e">
        <f t="array" ref="CD63">_xlfn.STDEV.P(IF($E$5:$E$27=$E62,CD$5:CD$27))</f>
        <v>#DIV/0!</v>
      </c>
      <c r="CE63" s="67" t="e">
        <f t="array" ref="CE63">_xlfn.STDEV.P(IF($E$5:$E$27=$E62,CE$5:CE$27))</f>
        <v>#DIV/0!</v>
      </c>
      <c r="CF63" s="67" t="e">
        <f t="array" ref="CF63">_xlfn.STDEV.P(IF($E$5:$E$27=$E62,CF$5:CF$27))</f>
        <v>#DIV/0!</v>
      </c>
      <c r="CG63" s="67" t="e">
        <f t="array" ref="CG63">_xlfn.STDEV.P(IF($E$5:$E$27=$E62,CG$5:CG$27))</f>
        <v>#DIV/0!</v>
      </c>
      <c r="CH63" s="67" t="e">
        <f t="array" ref="CH63">_xlfn.STDEV.P(IF($E$5:$E$27=$E62,CH$5:CH$27))</f>
        <v>#DIV/0!</v>
      </c>
      <c r="CI63" s="67" t="e">
        <f t="array" ref="CI63">_xlfn.STDEV.P(IF($E$5:$E$27=$E62,CI$5:CI$27))</f>
        <v>#DIV/0!</v>
      </c>
      <c r="CJ63" s="67" t="e">
        <f t="array" ref="CJ63">_xlfn.STDEV.P(IF($E$5:$E$27=$E62,CJ$5:CJ$27))</f>
        <v>#DIV/0!</v>
      </c>
      <c r="CK63" s="67" t="e">
        <f t="array" ref="CK63">_xlfn.STDEV.P(IF($E$5:$E$27=$E62,CK$5:CK$27))</f>
        <v>#DIV/0!</v>
      </c>
      <c r="CL63" s="67" t="e">
        <f t="array" ref="CL63">_xlfn.STDEV.P(IF($E$5:$E$27=$E62,CL$5:CL$27))</f>
        <v>#DIV/0!</v>
      </c>
      <c r="CM63" s="67" t="e">
        <f t="array" ref="CM63">_xlfn.STDEV.P(IF($E$5:$E$27=$E62,CM$5:CM$27))</f>
        <v>#DIV/0!</v>
      </c>
      <c r="CN63" s="67" t="e">
        <f t="array" ref="CN63">_xlfn.STDEV.P(IF($E$5:$E$27=$E62,CN$5:CN$27))</f>
        <v>#DIV/0!</v>
      </c>
      <c r="CO63" s="67" t="e">
        <f t="array" ref="CO63">_xlfn.STDEV.P(IF($E$5:$E$27=$E62,CO$5:CO$27))</f>
        <v>#DIV/0!</v>
      </c>
      <c r="CP63" s="67" t="e">
        <f t="array" ref="CP63">_xlfn.STDEV.P(IF($E$5:$E$27=$E62,CP$5:CP$27))</f>
        <v>#DIV/0!</v>
      </c>
      <c r="CQ63" s="67" t="e">
        <f t="array" ref="CQ63">_xlfn.STDEV.P(IF($E$5:$E$27=$E62,CQ$5:CQ$27))</f>
        <v>#DIV/0!</v>
      </c>
      <c r="CR63" s="67" t="e">
        <f t="array" ref="CR63">_xlfn.STDEV.P(IF($E$5:$E$27=$E62,CR$5:CR$27))</f>
        <v>#DIV/0!</v>
      </c>
      <c r="CS63" s="67" t="e">
        <f t="array" ref="CS63">_xlfn.STDEV.P(IF($E$5:$E$27=$E62,CS$5:CS$27))</f>
        <v>#DIV/0!</v>
      </c>
      <c r="CT63" s="67" t="e">
        <f t="array" ref="CT63">_xlfn.STDEV.P(IF($E$5:$E$27=$E62,CT$5:CT$27))</f>
        <v>#DIV/0!</v>
      </c>
      <c r="CU63" s="67" t="e">
        <f t="array" ref="CU63">_xlfn.STDEV.P(IF($E$5:$E$27=$E62,CU$5:CU$27))</f>
        <v>#DIV/0!</v>
      </c>
      <c r="CV63" s="67" t="e">
        <f t="array" ref="CV63">_xlfn.STDEV.P(IF($E$5:$E$27=$E62,CV$5:CV$27))</f>
        <v>#DIV/0!</v>
      </c>
      <c r="CW63" s="67" t="e">
        <f t="array" ref="CW63">_xlfn.STDEV.P(IF($E$5:$E$27=$E62,CW$5:CW$27))</f>
        <v>#DIV/0!</v>
      </c>
      <c r="CX63" s="67" t="e">
        <f t="array" ref="CX63">_xlfn.STDEV.P(IF($E$5:$E$27=$E62,CX$5:CX$27))</f>
        <v>#DIV/0!</v>
      </c>
      <c r="CY63" s="67" t="e">
        <f t="array" ref="CY63">_xlfn.STDEV.P(IF($E$5:$E$27=$E62,CY$5:CY$27))</f>
        <v>#DIV/0!</v>
      </c>
      <c r="CZ63" s="67" t="e">
        <f t="array" ref="CZ63">_xlfn.STDEV.P(IF($E$5:$E$27=$E62,CZ$5:CZ$27))</f>
        <v>#DIV/0!</v>
      </c>
      <c r="DA63" s="67" t="e">
        <f t="array" ref="DA63">_xlfn.STDEV.P(IF($E$5:$E$27=$E62,DA$5:DA$27))</f>
        <v>#DIV/0!</v>
      </c>
      <c r="DB63" s="67" t="e">
        <f t="array" ref="DB63">_xlfn.STDEV.P(IF($E$5:$E$27=$E62,DB$5:DB$27))</f>
        <v>#DIV/0!</v>
      </c>
      <c r="DC63" s="67" t="e">
        <f t="array" ref="DC63">_xlfn.STDEV.P(IF($E$5:$E$27=$E62,DC$5:DC$27))</f>
        <v>#DIV/0!</v>
      </c>
      <c r="DD63" s="67" t="e">
        <f t="array" ref="DD63">_xlfn.STDEV.P(IF($E$5:$E$27=$E62,DD$5:DD$27))</f>
        <v>#DIV/0!</v>
      </c>
      <c r="DE63" s="67" t="e">
        <f t="array" ref="DE63">_xlfn.STDEV.P(IF($E$5:$E$27=$E62,DE$5:DE$27))</f>
        <v>#DIV/0!</v>
      </c>
      <c r="DF63" s="67" t="e">
        <f t="array" ref="DF63">_xlfn.STDEV.P(IF($E$5:$E$27=$E62,DF$5:DF$27))</f>
        <v>#DIV/0!</v>
      </c>
      <c r="DG63" s="67" t="e">
        <f t="array" ref="DG63">_xlfn.STDEV.P(IF($E$5:$E$27=$E62,DG$5:DG$27))</f>
        <v>#DIV/0!</v>
      </c>
      <c r="DH63" s="67" t="e">
        <f t="array" ref="DH63">_xlfn.STDEV.P(IF($E$5:$E$27=$E62,DH$5:DH$27))</f>
        <v>#DIV/0!</v>
      </c>
      <c r="DI63" s="67" t="e">
        <f t="array" ref="DI63">_xlfn.STDEV.P(IF($E$5:$E$27=$E62,DI$5:DI$27))</f>
        <v>#DIV/0!</v>
      </c>
      <c r="DJ63" s="67" t="e">
        <f t="array" ref="DJ63">_xlfn.STDEV.P(IF($E$5:$E$27=$E62,DJ$5:DJ$27))</f>
        <v>#DIV/0!</v>
      </c>
      <c r="DK63" s="67" t="e">
        <f t="array" ref="DK63">_xlfn.STDEV.P(IF($E$5:$E$27=$E62,DK$5:DK$27))</f>
        <v>#DIV/0!</v>
      </c>
    </row>
    <row r="64" spans="1:120" ht="15">
      <c r="A64" s="103"/>
      <c r="E64" s="108"/>
      <c r="I64" s="45"/>
      <c r="K64" s="50"/>
      <c r="L64" s="50"/>
      <c r="P64" s="50"/>
      <c r="Q64" s="50"/>
      <c r="R64" s="50"/>
      <c r="S64" s="227"/>
      <c r="T64" s="227"/>
      <c r="U64" s="50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DF64" s="37"/>
      <c r="DG64" s="37"/>
      <c r="DH64" s="37"/>
      <c r="DI64" s="37"/>
      <c r="DJ64" s="37"/>
      <c r="DK64" s="37"/>
    </row>
    <row r="65" spans="1:115" ht="14.25" customHeight="1">
      <c r="A65" s="103"/>
      <c r="E65" s="108" t="str">
        <f>'NAB_PTX Groups'!C15</f>
        <v>Group 10</v>
      </c>
      <c r="I65" s="108" t="str">
        <f>E65</f>
        <v>Group 10</v>
      </c>
      <c r="J65" s="97" t="e">
        <f>AVERAGEIF($E$5:$E$27,$E65,J$5:J$27)</f>
        <v>#DIV/0!</v>
      </c>
      <c r="K65" s="97"/>
      <c r="L65" s="97"/>
      <c r="M65" s="97" t="e">
        <f t="shared" ref="M65:R65" si="100">AVERAGEIF($E$5:$E$27,$E65,M$5:M$27)</f>
        <v>#DIV/0!</v>
      </c>
      <c r="N65" s="97" t="e">
        <f t="shared" si="100"/>
        <v>#DIV/0!</v>
      </c>
      <c r="O65" s="97" t="e">
        <f t="shared" si="100"/>
        <v>#DIV/0!</v>
      </c>
      <c r="P65" s="97" t="e">
        <f t="shared" si="100"/>
        <v>#DIV/0!</v>
      </c>
      <c r="Q65" s="97" t="e">
        <f t="shared" si="100"/>
        <v>#DIV/0!</v>
      </c>
      <c r="R65" s="97" t="e">
        <f t="shared" si="100"/>
        <v>#DIV/0!</v>
      </c>
      <c r="S65" s="228"/>
      <c r="T65" s="228" t="e">
        <f>AVERAGEIF($E$5:$E$27,$E65,T$5:T$27)</f>
        <v>#DIV/0!</v>
      </c>
      <c r="U65" s="97" t="e">
        <f>AVERAGEIF($E$5:$E$27,$E65,U$5:U$27)</f>
        <v>#DIV/0!</v>
      </c>
      <c r="V65" s="65" t="s">
        <v>9</v>
      </c>
      <c r="W65" s="71" t="e">
        <f t="shared" ref="W65:BP65" si="101">AVERAGEIF($E$5:$E$27,$E65,W$5:W$27)</f>
        <v>#DIV/0!</v>
      </c>
      <c r="X65" s="71" t="e">
        <f t="shared" si="101"/>
        <v>#DIV/0!</v>
      </c>
      <c r="Y65" s="71" t="e">
        <f t="shared" si="101"/>
        <v>#DIV/0!</v>
      </c>
      <c r="Z65" s="71" t="e">
        <f t="shared" si="101"/>
        <v>#DIV/0!</v>
      </c>
      <c r="AA65" s="71" t="e">
        <f t="shared" si="101"/>
        <v>#DIV/0!</v>
      </c>
      <c r="AB65" s="71" t="e">
        <f t="shared" si="101"/>
        <v>#DIV/0!</v>
      </c>
      <c r="AC65" s="71" t="e">
        <f t="shared" si="101"/>
        <v>#DIV/0!</v>
      </c>
      <c r="AD65" s="71" t="e">
        <f t="shared" si="101"/>
        <v>#DIV/0!</v>
      </c>
      <c r="AE65" s="71" t="e">
        <f t="shared" si="101"/>
        <v>#DIV/0!</v>
      </c>
      <c r="AF65" s="71" t="e">
        <f t="shared" si="101"/>
        <v>#DIV/0!</v>
      </c>
      <c r="AG65" s="71" t="e">
        <f t="shared" si="101"/>
        <v>#DIV/0!</v>
      </c>
      <c r="AH65" s="71" t="e">
        <f t="shared" si="101"/>
        <v>#DIV/0!</v>
      </c>
      <c r="AI65" s="71" t="e">
        <f t="shared" si="101"/>
        <v>#DIV/0!</v>
      </c>
      <c r="AJ65" s="71" t="e">
        <f t="shared" si="101"/>
        <v>#DIV/0!</v>
      </c>
      <c r="AK65" s="71" t="e">
        <f t="shared" si="101"/>
        <v>#DIV/0!</v>
      </c>
      <c r="AL65" s="71" t="e">
        <f t="shared" si="101"/>
        <v>#DIV/0!</v>
      </c>
      <c r="AM65" s="71" t="e">
        <f t="shared" si="101"/>
        <v>#DIV/0!</v>
      </c>
      <c r="AN65" s="71" t="e">
        <f t="shared" si="101"/>
        <v>#DIV/0!</v>
      </c>
      <c r="AO65" s="71" t="e">
        <f t="shared" si="101"/>
        <v>#DIV/0!</v>
      </c>
      <c r="AP65" s="71" t="e">
        <f t="shared" si="101"/>
        <v>#DIV/0!</v>
      </c>
      <c r="AQ65" s="71" t="e">
        <f t="shared" si="101"/>
        <v>#DIV/0!</v>
      </c>
      <c r="AR65" s="71" t="e">
        <f t="shared" si="101"/>
        <v>#DIV/0!</v>
      </c>
      <c r="AS65" s="71" t="e">
        <f t="shared" si="101"/>
        <v>#DIV/0!</v>
      </c>
      <c r="AT65" s="71" t="e">
        <f t="shared" si="101"/>
        <v>#DIV/0!</v>
      </c>
      <c r="AU65" s="71" t="e">
        <f t="shared" si="101"/>
        <v>#DIV/0!</v>
      </c>
      <c r="AV65" s="71" t="e">
        <f t="shared" si="101"/>
        <v>#DIV/0!</v>
      </c>
      <c r="AW65" s="71" t="e">
        <f t="shared" si="101"/>
        <v>#DIV/0!</v>
      </c>
      <c r="AX65" s="71" t="e">
        <f t="shared" si="101"/>
        <v>#DIV/0!</v>
      </c>
      <c r="AY65" s="71" t="e">
        <f t="shared" si="101"/>
        <v>#DIV/0!</v>
      </c>
      <c r="AZ65" s="71" t="e">
        <f t="shared" si="101"/>
        <v>#DIV/0!</v>
      </c>
      <c r="BA65" s="71" t="e">
        <f t="shared" si="101"/>
        <v>#DIV/0!</v>
      </c>
      <c r="BB65" s="71" t="e">
        <f t="shared" si="101"/>
        <v>#DIV/0!</v>
      </c>
      <c r="BC65" s="71" t="e">
        <f t="shared" si="101"/>
        <v>#DIV/0!</v>
      </c>
      <c r="BD65" s="71" t="e">
        <f t="shared" si="101"/>
        <v>#DIV/0!</v>
      </c>
      <c r="BE65" s="71" t="e">
        <f t="shared" si="101"/>
        <v>#DIV/0!</v>
      </c>
      <c r="BF65" s="71" t="e">
        <f t="shared" si="101"/>
        <v>#DIV/0!</v>
      </c>
      <c r="BG65" s="71" t="e">
        <f t="shared" si="101"/>
        <v>#DIV/0!</v>
      </c>
      <c r="BH65" s="71" t="e">
        <f t="shared" si="101"/>
        <v>#DIV/0!</v>
      </c>
      <c r="BI65" s="71" t="e">
        <f t="shared" si="101"/>
        <v>#DIV/0!</v>
      </c>
      <c r="BJ65" s="71" t="e">
        <f t="shared" si="101"/>
        <v>#DIV/0!</v>
      </c>
      <c r="BK65" s="71" t="e">
        <f t="shared" si="101"/>
        <v>#DIV/0!</v>
      </c>
      <c r="BL65" s="71" t="e">
        <f t="shared" si="101"/>
        <v>#DIV/0!</v>
      </c>
      <c r="BM65" s="71" t="e">
        <f t="shared" si="101"/>
        <v>#DIV/0!</v>
      </c>
      <c r="BN65" s="71" t="e">
        <f t="shared" si="101"/>
        <v>#DIV/0!</v>
      </c>
      <c r="BO65" s="71" t="e">
        <f t="shared" si="101"/>
        <v>#DIV/0!</v>
      </c>
      <c r="BP65" s="71" t="e">
        <f t="shared" si="101"/>
        <v>#DIV/0!</v>
      </c>
      <c r="BQ65" s="93" t="s">
        <v>9</v>
      </c>
      <c r="BR65" s="66" t="e">
        <f t="shared" ref="BR65:DK65" si="102">AVERAGEIF($E$5:$E$27,$E65,BR$5:BR$27)</f>
        <v>#DIV/0!</v>
      </c>
      <c r="BS65" s="66" t="e">
        <f t="shared" si="102"/>
        <v>#DIV/0!</v>
      </c>
      <c r="BT65" s="66" t="e">
        <f t="shared" si="102"/>
        <v>#DIV/0!</v>
      </c>
      <c r="BU65" s="66" t="e">
        <f t="shared" si="102"/>
        <v>#DIV/0!</v>
      </c>
      <c r="BV65" s="66" t="e">
        <f t="shared" si="102"/>
        <v>#DIV/0!</v>
      </c>
      <c r="BW65" s="66" t="e">
        <f t="shared" si="102"/>
        <v>#DIV/0!</v>
      </c>
      <c r="BX65" s="66" t="e">
        <f t="shared" si="102"/>
        <v>#DIV/0!</v>
      </c>
      <c r="BY65" s="66" t="e">
        <f t="shared" si="102"/>
        <v>#DIV/0!</v>
      </c>
      <c r="BZ65" s="66" t="e">
        <f t="shared" si="102"/>
        <v>#DIV/0!</v>
      </c>
      <c r="CA65" s="66" t="e">
        <f t="shared" si="102"/>
        <v>#DIV/0!</v>
      </c>
      <c r="CB65" s="66" t="e">
        <f t="shared" si="102"/>
        <v>#DIV/0!</v>
      </c>
      <c r="CC65" s="66" t="e">
        <f t="shared" si="102"/>
        <v>#DIV/0!</v>
      </c>
      <c r="CD65" s="66" t="e">
        <f t="shared" si="102"/>
        <v>#DIV/0!</v>
      </c>
      <c r="CE65" s="66" t="e">
        <f t="shared" si="102"/>
        <v>#DIV/0!</v>
      </c>
      <c r="CF65" s="66" t="e">
        <f t="shared" si="102"/>
        <v>#DIV/0!</v>
      </c>
      <c r="CG65" s="66" t="e">
        <f t="shared" si="102"/>
        <v>#DIV/0!</v>
      </c>
      <c r="CH65" s="66" t="e">
        <f t="shared" si="102"/>
        <v>#DIV/0!</v>
      </c>
      <c r="CI65" s="66" t="e">
        <f t="shared" si="102"/>
        <v>#DIV/0!</v>
      </c>
      <c r="CJ65" s="66" t="e">
        <f t="shared" si="102"/>
        <v>#DIV/0!</v>
      </c>
      <c r="CK65" s="66" t="e">
        <f t="shared" si="102"/>
        <v>#DIV/0!</v>
      </c>
      <c r="CL65" s="66" t="e">
        <f t="shared" si="102"/>
        <v>#DIV/0!</v>
      </c>
      <c r="CM65" s="66" t="e">
        <f t="shared" si="102"/>
        <v>#DIV/0!</v>
      </c>
      <c r="CN65" s="66" t="e">
        <f t="shared" si="102"/>
        <v>#DIV/0!</v>
      </c>
      <c r="CO65" s="66" t="e">
        <f t="shared" si="102"/>
        <v>#DIV/0!</v>
      </c>
      <c r="CP65" s="66" t="e">
        <f t="shared" si="102"/>
        <v>#DIV/0!</v>
      </c>
      <c r="CQ65" s="66" t="e">
        <f t="shared" si="102"/>
        <v>#DIV/0!</v>
      </c>
      <c r="CR65" s="66" t="e">
        <f t="shared" si="102"/>
        <v>#DIV/0!</v>
      </c>
      <c r="CS65" s="66" t="e">
        <f t="shared" si="102"/>
        <v>#DIV/0!</v>
      </c>
      <c r="CT65" s="66" t="e">
        <f t="shared" si="102"/>
        <v>#DIV/0!</v>
      </c>
      <c r="CU65" s="66" t="e">
        <f t="shared" si="102"/>
        <v>#DIV/0!</v>
      </c>
      <c r="CV65" s="66" t="e">
        <f t="shared" si="102"/>
        <v>#DIV/0!</v>
      </c>
      <c r="CW65" s="66" t="e">
        <f t="shared" si="102"/>
        <v>#DIV/0!</v>
      </c>
      <c r="CX65" s="66" t="e">
        <f t="shared" si="102"/>
        <v>#DIV/0!</v>
      </c>
      <c r="CY65" s="66" t="e">
        <f t="shared" si="102"/>
        <v>#DIV/0!</v>
      </c>
      <c r="CZ65" s="66" t="e">
        <f t="shared" si="102"/>
        <v>#DIV/0!</v>
      </c>
      <c r="DA65" s="66" t="e">
        <f t="shared" si="102"/>
        <v>#DIV/0!</v>
      </c>
      <c r="DB65" s="66" t="e">
        <f t="shared" si="102"/>
        <v>#DIV/0!</v>
      </c>
      <c r="DC65" s="66" t="e">
        <f t="shared" si="102"/>
        <v>#DIV/0!</v>
      </c>
      <c r="DD65" s="66" t="e">
        <f t="shared" si="102"/>
        <v>#DIV/0!</v>
      </c>
      <c r="DE65" s="66" t="e">
        <f t="shared" si="102"/>
        <v>#DIV/0!</v>
      </c>
      <c r="DF65" s="66" t="e">
        <f t="shared" si="102"/>
        <v>#DIV/0!</v>
      </c>
      <c r="DG65" s="66" t="e">
        <f t="shared" si="102"/>
        <v>#DIV/0!</v>
      </c>
      <c r="DH65" s="66" t="e">
        <f t="shared" si="102"/>
        <v>#DIV/0!</v>
      </c>
      <c r="DI65" s="66" t="e">
        <f t="shared" si="102"/>
        <v>#DIV/0!</v>
      </c>
      <c r="DJ65" s="66" t="e">
        <f t="shared" si="102"/>
        <v>#DIV/0!</v>
      </c>
      <c r="DK65" s="66" t="e">
        <f t="shared" si="102"/>
        <v>#DIV/0!</v>
      </c>
    </row>
    <row r="66" spans="1:115" ht="14.25" customHeight="1">
      <c r="A66" s="103"/>
      <c r="E66" s="83"/>
      <c r="I66" s="83"/>
      <c r="J66" s="97" t="e">
        <f t="array" ref="J66">_xlfn.STDEV.P(IF($E$5:$E$27=$E65,J$5:J$27))</f>
        <v>#DIV/0!</v>
      </c>
      <c r="K66" s="97"/>
      <c r="L66" s="97"/>
      <c r="M66" s="97" t="e">
        <f t="array" ref="M66">_xlfn.STDEV.P(IF($E$5:$E$27=$E65,M$5:M$27))</f>
        <v>#DIV/0!</v>
      </c>
      <c r="N66" s="97" t="e">
        <f t="array" ref="N66">_xlfn.STDEV.P(IF($E$5:$E$27=$E65,N$5:N$27))</f>
        <v>#DIV/0!</v>
      </c>
      <c r="O66" s="97" t="e">
        <f t="array" ref="O66">_xlfn.STDEV.P(IF($E$5:$E$27=$E65,O$5:O$27))</f>
        <v>#DIV/0!</v>
      </c>
      <c r="P66" s="97" t="e">
        <f t="array" ref="P66">_xlfn.STDEV.P(IF($E$5:$E$27=$E65,P$5:P$27))</f>
        <v>#DIV/0!</v>
      </c>
      <c r="Q66" s="97" t="e">
        <f t="array" ref="Q66">_xlfn.STDEV.P(IF($E$5:$E$27=$E65,Q$5:Q$27))</f>
        <v>#DIV/0!</v>
      </c>
      <c r="R66" s="97" t="e">
        <f t="array" ref="R66">_xlfn.STDEV.P(IF($E$5:$E$27=$E65,R$5:R$27))</f>
        <v>#DIV/0!</v>
      </c>
      <c r="S66" s="228"/>
      <c r="T66" s="228" t="e">
        <f t="array" ref="T66">_xlfn.STDEV.P(IF($E$5:$E$27=$E65,T$5:T$27))</f>
        <v>#DIV/0!</v>
      </c>
      <c r="U66" s="97" t="e">
        <f t="array" ref="U66">_xlfn.STDEV.P(IF($E$5:$E$27=$E65,U$5:U$27))</f>
        <v>#DIV/0!</v>
      </c>
      <c r="V66" s="65" t="s">
        <v>11</v>
      </c>
      <c r="W66" s="74" t="e">
        <f t="array" ref="W66">_xlfn.STDEV.P(IF($E$5:$E$27=$E65,W$5:W$27))</f>
        <v>#DIV/0!</v>
      </c>
      <c r="X66" s="74" t="e">
        <f t="array" ref="X66">_xlfn.STDEV.P(IF($E$5:$E$27=$E65,X$5:X$27))</f>
        <v>#DIV/0!</v>
      </c>
      <c r="Y66" s="74" t="e">
        <f t="array" ref="Y66">_xlfn.STDEV.P(IF($E$5:$E$27=$E65,Y$5:Y$27))</f>
        <v>#DIV/0!</v>
      </c>
      <c r="Z66" s="74" t="e">
        <f t="array" ref="Z66">_xlfn.STDEV.P(IF($E$5:$E$27=$E65,Z$5:Z$27))</f>
        <v>#DIV/0!</v>
      </c>
      <c r="AA66" s="74" t="e">
        <f t="array" ref="AA66">_xlfn.STDEV.P(IF($E$5:$E$27=$E65,AA$5:AA$27))</f>
        <v>#DIV/0!</v>
      </c>
      <c r="AB66" s="74" t="e">
        <f t="array" ref="AB66">_xlfn.STDEV.P(IF($E$5:$E$27=$E65,AB$5:AB$27))</f>
        <v>#DIV/0!</v>
      </c>
      <c r="AC66" s="74" t="e">
        <f t="array" ref="AC66">_xlfn.STDEV.P(IF($E$5:$E$27=$E65,AC$5:AC$27))</f>
        <v>#DIV/0!</v>
      </c>
      <c r="AD66" s="74" t="e">
        <f t="array" ref="AD66">_xlfn.STDEV.P(IF($E$5:$E$27=$E65,AD$5:AD$27))</f>
        <v>#DIV/0!</v>
      </c>
      <c r="AE66" s="74" t="e">
        <f t="array" ref="AE66">_xlfn.STDEV.P(IF($E$5:$E$27=$E65,AE$5:AE$27))</f>
        <v>#DIV/0!</v>
      </c>
      <c r="AF66" s="74" t="e">
        <f t="array" ref="AF66">_xlfn.STDEV.P(IF($E$5:$E$27=$E65,AF$5:AF$27))</f>
        <v>#DIV/0!</v>
      </c>
      <c r="AG66" s="74" t="e">
        <f t="array" ref="AG66">_xlfn.STDEV.P(IF($E$5:$E$27=$E65,AG$5:AG$27))</f>
        <v>#DIV/0!</v>
      </c>
      <c r="AH66" s="74" t="e">
        <f t="array" ref="AH66">_xlfn.STDEV.P(IF($E$5:$E$27=$E65,AH$5:AH$27))</f>
        <v>#DIV/0!</v>
      </c>
      <c r="AI66" s="74" t="e">
        <f t="array" ref="AI66">_xlfn.STDEV.P(IF($E$5:$E$27=$E65,AI$5:AI$27))</f>
        <v>#DIV/0!</v>
      </c>
      <c r="AJ66" s="74" t="e">
        <f t="array" ref="AJ66">_xlfn.STDEV.P(IF($E$5:$E$27=$E65,AJ$5:AJ$27))</f>
        <v>#DIV/0!</v>
      </c>
      <c r="AK66" s="74" t="e">
        <f t="array" ref="AK66">_xlfn.STDEV.P(IF($E$5:$E$27=$E65,AK$5:AK$27))</f>
        <v>#DIV/0!</v>
      </c>
      <c r="AL66" s="74" t="e">
        <f t="array" ref="AL66">_xlfn.STDEV.P(IF($E$5:$E$27=$E65,AL$5:AL$27))</f>
        <v>#DIV/0!</v>
      </c>
      <c r="AM66" s="74" t="e">
        <f t="array" ref="AM66">_xlfn.STDEV.P(IF($E$5:$E$27=$E65,AM$5:AM$27))</f>
        <v>#DIV/0!</v>
      </c>
      <c r="AN66" s="74" t="e">
        <f t="array" ref="AN66">_xlfn.STDEV.P(IF($E$5:$E$27=$E65,AN$5:AN$27))</f>
        <v>#DIV/0!</v>
      </c>
      <c r="AO66" s="74" t="e">
        <f t="array" ref="AO66">_xlfn.STDEV.P(IF($E$5:$E$27=$E65,AO$5:AO$27))</f>
        <v>#DIV/0!</v>
      </c>
      <c r="AP66" s="74" t="e">
        <f t="array" ref="AP66">_xlfn.STDEV.P(IF($E$5:$E$27=$E65,AP$5:AP$27))</f>
        <v>#DIV/0!</v>
      </c>
      <c r="AQ66" s="74" t="e">
        <f t="array" ref="AQ66">_xlfn.STDEV.P(IF($E$5:$E$27=$E65,AQ$5:AQ$27))</f>
        <v>#DIV/0!</v>
      </c>
      <c r="AR66" s="74" t="e">
        <f t="array" ref="AR66">_xlfn.STDEV.P(IF($E$5:$E$27=$E65,AR$5:AR$27))</f>
        <v>#DIV/0!</v>
      </c>
      <c r="AS66" s="74" t="e">
        <f t="array" ref="AS66">_xlfn.STDEV.P(IF($E$5:$E$27=$E65,AS$5:AS$27))</f>
        <v>#DIV/0!</v>
      </c>
      <c r="AT66" s="74" t="e">
        <f t="array" ref="AT66">_xlfn.STDEV.P(IF($E$5:$E$27=$E65,AT$5:AT$27))</f>
        <v>#DIV/0!</v>
      </c>
      <c r="AU66" s="74" t="e">
        <f t="array" ref="AU66">_xlfn.STDEV.P(IF($E$5:$E$27=$E65,AU$5:AU$27))</f>
        <v>#DIV/0!</v>
      </c>
      <c r="AV66" s="74" t="e">
        <f t="array" ref="AV66">_xlfn.STDEV.P(IF($E$5:$E$27=$E65,AV$5:AV$27))</f>
        <v>#DIV/0!</v>
      </c>
      <c r="AW66" s="74" t="e">
        <f t="array" ref="AW66">_xlfn.STDEV.P(IF($E$5:$E$27=$E65,AW$5:AW$27))</f>
        <v>#DIV/0!</v>
      </c>
      <c r="AX66" s="74" t="e">
        <f t="array" ref="AX66">_xlfn.STDEV.P(IF($E$5:$E$27=$E65,AX$5:AX$27))</f>
        <v>#DIV/0!</v>
      </c>
      <c r="AY66" s="74" t="e">
        <f t="array" ref="AY66">_xlfn.STDEV.P(IF($E$5:$E$27=$E65,AY$5:AY$27))</f>
        <v>#DIV/0!</v>
      </c>
      <c r="AZ66" s="74" t="e">
        <f t="array" ref="AZ66">_xlfn.STDEV.P(IF($E$5:$E$27=$E65,AZ$5:AZ$27))</f>
        <v>#DIV/0!</v>
      </c>
      <c r="BA66" s="74" t="e">
        <f t="array" ref="BA66">_xlfn.STDEV.P(IF($E$5:$E$27=$E65,BA$5:BA$27))</f>
        <v>#DIV/0!</v>
      </c>
      <c r="BB66" s="74" t="e">
        <f t="array" ref="BB66">_xlfn.STDEV.P(IF($E$5:$E$27=$E65,BB$5:BB$27))</f>
        <v>#DIV/0!</v>
      </c>
      <c r="BC66" s="74" t="e">
        <f t="array" ref="BC66">_xlfn.STDEV.P(IF($E$5:$E$27=$E65,BC$5:BC$27))</f>
        <v>#DIV/0!</v>
      </c>
      <c r="BD66" s="74" t="e">
        <f t="array" ref="BD66">_xlfn.STDEV.P(IF($E$5:$E$27=$E65,BD$5:BD$27))</f>
        <v>#DIV/0!</v>
      </c>
      <c r="BE66" s="74" t="e">
        <f t="array" ref="BE66">_xlfn.STDEV.P(IF($E$5:$E$27=$E65,BE$5:BE$27))</f>
        <v>#DIV/0!</v>
      </c>
      <c r="BF66" s="74" t="e">
        <f t="array" ref="BF66">_xlfn.STDEV.P(IF($E$5:$E$27=$E65,BF$5:BF$27))</f>
        <v>#DIV/0!</v>
      </c>
      <c r="BG66" s="74" t="e">
        <f t="array" ref="BG66">_xlfn.STDEV.P(IF($E$5:$E$27=$E65,BG$5:BG$27))</f>
        <v>#DIV/0!</v>
      </c>
      <c r="BH66" s="74" t="e">
        <f t="array" ref="BH66">_xlfn.STDEV.P(IF($E$5:$E$27=$E65,BH$5:BH$27))</f>
        <v>#DIV/0!</v>
      </c>
      <c r="BI66" s="74" t="e">
        <f t="array" ref="BI66">_xlfn.STDEV.P(IF($E$5:$E$27=$E65,BI$5:BI$27))</f>
        <v>#DIV/0!</v>
      </c>
      <c r="BJ66" s="74" t="e">
        <f t="array" ref="BJ66">_xlfn.STDEV.P(IF($E$5:$E$27=$E65,BJ$5:BJ$27))</f>
        <v>#DIV/0!</v>
      </c>
      <c r="BK66" s="74" t="e">
        <f t="array" ref="BK66">_xlfn.STDEV.P(IF($E$5:$E$27=$E65,BK$5:BK$27))</f>
        <v>#DIV/0!</v>
      </c>
      <c r="BL66" s="74" t="e">
        <f t="array" ref="BL66">_xlfn.STDEV.P(IF($E$5:$E$27=$E65,BL$5:BL$27))</f>
        <v>#DIV/0!</v>
      </c>
      <c r="BM66" s="74" t="e">
        <f t="array" ref="BM66">_xlfn.STDEV.P(IF($E$5:$E$27=$E65,BM$5:BM$27))</f>
        <v>#DIV/0!</v>
      </c>
      <c r="BN66" s="74" t="e">
        <f t="array" ref="BN66">_xlfn.STDEV.P(IF($E$5:$E$27=$E65,BN$5:BN$27))</f>
        <v>#DIV/0!</v>
      </c>
      <c r="BO66" s="74" t="e">
        <f t="array" ref="BO66">_xlfn.STDEV.P(IF($E$5:$E$27=$E65,BO$5:BO$27))</f>
        <v>#DIV/0!</v>
      </c>
      <c r="BP66" s="74" t="e">
        <f t="array" ref="BP66">_xlfn.STDEV.P(IF($E$5:$E$27=$E65,BP$5:BP$27))</f>
        <v>#DIV/0!</v>
      </c>
      <c r="BQ66" s="94" t="s">
        <v>11</v>
      </c>
      <c r="BR66" s="67" t="e">
        <f t="array" ref="BR66">_xlfn.STDEV.P(IF($E$5:$E$27=$E65,BR$5:BR$27))</f>
        <v>#DIV/0!</v>
      </c>
      <c r="BS66" s="67" t="e">
        <f t="array" ref="BS66">_xlfn.STDEV.P(IF($E$5:$E$27=$E65,BS$5:BS$27))</f>
        <v>#DIV/0!</v>
      </c>
      <c r="BT66" s="67" t="e">
        <f t="array" ref="BT66">_xlfn.STDEV.P(IF($E$5:$E$27=$E65,BT$5:BT$27))</f>
        <v>#DIV/0!</v>
      </c>
      <c r="BU66" s="67" t="e">
        <f t="array" ref="BU66">_xlfn.STDEV.P(IF($E$5:$E$27=$E65,BU$5:BU$27))</f>
        <v>#DIV/0!</v>
      </c>
      <c r="BV66" s="67" t="e">
        <f t="array" ref="BV66">_xlfn.STDEV.P(IF($E$5:$E$27=$E65,BV$5:BV$27))</f>
        <v>#DIV/0!</v>
      </c>
      <c r="BW66" s="67" t="e">
        <f t="array" ref="BW66">_xlfn.STDEV.P(IF($E$5:$E$27=$E65,BW$5:BW$27))</f>
        <v>#DIV/0!</v>
      </c>
      <c r="BX66" s="67" t="e">
        <f t="array" ref="BX66">_xlfn.STDEV.P(IF($E$5:$E$27=$E65,BX$5:BX$27))</f>
        <v>#DIV/0!</v>
      </c>
      <c r="BY66" s="67" t="e">
        <f t="array" ref="BY66">_xlfn.STDEV.P(IF($E$5:$E$27=$E65,BY$5:BY$27))</f>
        <v>#DIV/0!</v>
      </c>
      <c r="BZ66" s="67" t="e">
        <f t="array" ref="BZ66">_xlfn.STDEV.P(IF($E$5:$E$27=$E65,BZ$5:BZ$27))</f>
        <v>#DIV/0!</v>
      </c>
      <c r="CA66" s="67" t="e">
        <f t="array" ref="CA66">_xlfn.STDEV.P(IF($E$5:$E$27=$E65,CA$5:CA$27))</f>
        <v>#DIV/0!</v>
      </c>
      <c r="CB66" s="67" t="e">
        <f t="array" ref="CB66">_xlfn.STDEV.P(IF($E$5:$E$27=$E65,CB$5:CB$27))</f>
        <v>#DIV/0!</v>
      </c>
      <c r="CC66" s="67" t="e">
        <f t="array" ref="CC66">_xlfn.STDEV.P(IF($E$5:$E$27=$E65,CC$5:CC$27))</f>
        <v>#DIV/0!</v>
      </c>
      <c r="CD66" s="67" t="e">
        <f t="array" ref="CD66">_xlfn.STDEV.P(IF($E$5:$E$27=$E65,CD$5:CD$27))</f>
        <v>#DIV/0!</v>
      </c>
      <c r="CE66" s="67" t="e">
        <f t="array" ref="CE66">_xlfn.STDEV.P(IF($E$5:$E$27=$E65,CE$5:CE$27))</f>
        <v>#DIV/0!</v>
      </c>
      <c r="CF66" s="67" t="e">
        <f t="array" ref="CF66">_xlfn.STDEV.P(IF($E$5:$E$27=$E65,CF$5:CF$27))</f>
        <v>#DIV/0!</v>
      </c>
      <c r="CG66" s="67" t="e">
        <f t="array" ref="CG66">_xlfn.STDEV.P(IF($E$5:$E$27=$E65,CG$5:CG$27))</f>
        <v>#DIV/0!</v>
      </c>
      <c r="CH66" s="67" t="e">
        <f t="array" ref="CH66">_xlfn.STDEV.P(IF($E$5:$E$27=$E65,CH$5:CH$27))</f>
        <v>#DIV/0!</v>
      </c>
      <c r="CI66" s="67" t="e">
        <f t="array" ref="CI66">_xlfn.STDEV.P(IF($E$5:$E$27=$E65,CI$5:CI$27))</f>
        <v>#DIV/0!</v>
      </c>
      <c r="CJ66" s="67" t="e">
        <f t="array" ref="CJ66">_xlfn.STDEV.P(IF($E$5:$E$27=$E65,CJ$5:CJ$27))</f>
        <v>#DIV/0!</v>
      </c>
      <c r="CK66" s="67" t="e">
        <f t="array" ref="CK66">_xlfn.STDEV.P(IF($E$5:$E$27=$E65,CK$5:CK$27))</f>
        <v>#DIV/0!</v>
      </c>
      <c r="CL66" s="67" t="e">
        <f t="array" ref="CL66">_xlfn.STDEV.P(IF($E$5:$E$27=$E65,CL$5:CL$27))</f>
        <v>#DIV/0!</v>
      </c>
      <c r="CM66" s="67" t="e">
        <f t="array" ref="CM66">_xlfn.STDEV.P(IF($E$5:$E$27=$E65,CM$5:CM$27))</f>
        <v>#DIV/0!</v>
      </c>
      <c r="CN66" s="67" t="e">
        <f t="array" ref="CN66">_xlfn.STDEV.P(IF($E$5:$E$27=$E65,CN$5:CN$27))</f>
        <v>#DIV/0!</v>
      </c>
      <c r="CO66" s="67" t="e">
        <f t="array" ref="CO66">_xlfn.STDEV.P(IF($E$5:$E$27=$E65,CO$5:CO$27))</f>
        <v>#DIV/0!</v>
      </c>
      <c r="CP66" s="67" t="e">
        <f t="array" ref="CP66">_xlfn.STDEV.P(IF($E$5:$E$27=$E65,CP$5:CP$27))</f>
        <v>#DIV/0!</v>
      </c>
      <c r="CQ66" s="67" t="e">
        <f t="array" ref="CQ66">_xlfn.STDEV.P(IF($E$5:$E$27=$E65,CQ$5:CQ$27))</f>
        <v>#DIV/0!</v>
      </c>
      <c r="CR66" s="67" t="e">
        <f t="array" ref="CR66">_xlfn.STDEV.P(IF($E$5:$E$27=$E65,CR$5:CR$27))</f>
        <v>#DIV/0!</v>
      </c>
      <c r="CS66" s="67" t="e">
        <f t="array" ref="CS66">_xlfn.STDEV.P(IF($E$5:$E$27=$E65,CS$5:CS$27))</f>
        <v>#DIV/0!</v>
      </c>
      <c r="CT66" s="67" t="e">
        <f t="array" ref="CT66">_xlfn.STDEV.P(IF($E$5:$E$27=$E65,CT$5:CT$27))</f>
        <v>#DIV/0!</v>
      </c>
      <c r="CU66" s="67" t="e">
        <f t="array" ref="CU66">_xlfn.STDEV.P(IF($E$5:$E$27=$E65,CU$5:CU$27))</f>
        <v>#DIV/0!</v>
      </c>
      <c r="CV66" s="67" t="e">
        <f t="array" ref="CV66">_xlfn.STDEV.P(IF($E$5:$E$27=$E65,CV$5:CV$27))</f>
        <v>#DIV/0!</v>
      </c>
      <c r="CW66" s="67" t="e">
        <f t="array" ref="CW66">_xlfn.STDEV.P(IF($E$5:$E$27=$E65,CW$5:CW$27))</f>
        <v>#DIV/0!</v>
      </c>
      <c r="CX66" s="67" t="e">
        <f t="array" ref="CX66">_xlfn.STDEV.P(IF($E$5:$E$27=$E65,CX$5:CX$27))</f>
        <v>#DIV/0!</v>
      </c>
      <c r="CY66" s="67" t="e">
        <f t="array" ref="CY66">_xlfn.STDEV.P(IF($E$5:$E$27=$E65,CY$5:CY$27))</f>
        <v>#DIV/0!</v>
      </c>
      <c r="CZ66" s="67" t="e">
        <f t="array" ref="CZ66">_xlfn.STDEV.P(IF($E$5:$E$27=$E65,CZ$5:CZ$27))</f>
        <v>#DIV/0!</v>
      </c>
      <c r="DA66" s="67" t="e">
        <f t="array" ref="DA66">_xlfn.STDEV.P(IF($E$5:$E$27=$E65,DA$5:DA$27))</f>
        <v>#DIV/0!</v>
      </c>
      <c r="DB66" s="67" t="e">
        <f t="array" ref="DB66">_xlfn.STDEV.P(IF($E$5:$E$27=$E65,DB$5:DB$27))</f>
        <v>#DIV/0!</v>
      </c>
      <c r="DC66" s="67" t="e">
        <f t="array" ref="DC66">_xlfn.STDEV.P(IF($E$5:$E$27=$E65,DC$5:DC$27))</f>
        <v>#DIV/0!</v>
      </c>
      <c r="DD66" s="67" t="e">
        <f t="array" ref="DD66">_xlfn.STDEV.P(IF($E$5:$E$27=$E65,DD$5:DD$27))</f>
        <v>#DIV/0!</v>
      </c>
      <c r="DE66" s="67" t="e">
        <f t="array" ref="DE66">_xlfn.STDEV.P(IF($E$5:$E$27=$E65,DE$5:DE$27))</f>
        <v>#DIV/0!</v>
      </c>
      <c r="DF66" s="67" t="e">
        <f t="array" ref="DF66">_xlfn.STDEV.P(IF($E$5:$E$27=$E65,DF$5:DF$27))</f>
        <v>#DIV/0!</v>
      </c>
      <c r="DG66" s="67" t="e">
        <f t="array" ref="DG66">_xlfn.STDEV.P(IF($E$5:$E$27=$E65,DG$5:DG$27))</f>
        <v>#DIV/0!</v>
      </c>
      <c r="DH66" s="67" t="e">
        <f t="array" ref="DH66">_xlfn.STDEV.P(IF($E$5:$E$27=$E65,DH$5:DH$27))</f>
        <v>#DIV/0!</v>
      </c>
      <c r="DI66" s="67" t="e">
        <f t="array" ref="DI66">_xlfn.STDEV.P(IF($E$5:$E$27=$E65,DI$5:DI$27))</f>
        <v>#DIV/0!</v>
      </c>
      <c r="DJ66" s="67" t="e">
        <f t="array" ref="DJ66">_xlfn.STDEV.P(IF($E$5:$E$27=$E65,DJ$5:DJ$27))</f>
        <v>#DIV/0!</v>
      </c>
      <c r="DK66" s="67" t="e">
        <f t="array" ref="DK66">_xlfn.STDEV.P(IF($E$5:$E$27=$E65,DK$5:DK$27))</f>
        <v>#DIV/0!</v>
      </c>
    </row>
    <row r="67" spans="1:115" ht="15">
      <c r="A67" s="103"/>
      <c r="E67" s="108"/>
      <c r="I67" s="45"/>
      <c r="K67" s="50"/>
      <c r="L67" s="50"/>
      <c r="P67" s="50"/>
      <c r="Q67" s="50"/>
      <c r="R67" s="50"/>
      <c r="S67" s="227"/>
      <c r="T67" s="227"/>
      <c r="U67" s="50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DF67" s="37"/>
      <c r="DG67" s="37"/>
      <c r="DH67" s="37"/>
      <c r="DI67" s="37"/>
      <c r="DJ67" s="37"/>
      <c r="DK67" s="37"/>
    </row>
    <row r="68" spans="1:115" ht="14.25" customHeight="1">
      <c r="A68" s="103"/>
      <c r="E68" s="108" t="str">
        <f>'NAB_PTX Groups'!C16</f>
        <v>Group 11</v>
      </c>
      <c r="I68" s="108" t="str">
        <f>E68</f>
        <v>Group 11</v>
      </c>
      <c r="J68" s="97" t="e">
        <f>AVERAGEIF($E$5:$E$27,$E68,J$5:J$27)</f>
        <v>#DIV/0!</v>
      </c>
      <c r="K68" s="97"/>
      <c r="L68" s="97"/>
      <c r="M68" s="97" t="e">
        <f t="shared" ref="M68:R68" si="103">AVERAGEIF($E$5:$E$27,$E68,M$5:M$27)</f>
        <v>#DIV/0!</v>
      </c>
      <c r="N68" s="97" t="e">
        <f t="shared" si="103"/>
        <v>#DIV/0!</v>
      </c>
      <c r="O68" s="97" t="e">
        <f t="shared" si="103"/>
        <v>#DIV/0!</v>
      </c>
      <c r="P68" s="97" t="e">
        <f t="shared" si="103"/>
        <v>#DIV/0!</v>
      </c>
      <c r="Q68" s="97" t="e">
        <f t="shared" si="103"/>
        <v>#DIV/0!</v>
      </c>
      <c r="R68" s="97" t="e">
        <f t="shared" si="103"/>
        <v>#DIV/0!</v>
      </c>
      <c r="S68" s="228"/>
      <c r="T68" s="228" t="e">
        <f>AVERAGEIF($E$5:$E$27,$E68,T$5:T$27)</f>
        <v>#DIV/0!</v>
      </c>
      <c r="U68" s="97" t="e">
        <f>AVERAGEIF($E$5:$E$27,$E68,U$5:U$27)</f>
        <v>#DIV/0!</v>
      </c>
      <c r="V68" s="65" t="s">
        <v>9</v>
      </c>
      <c r="W68" s="71" t="e">
        <f t="shared" ref="W68:BP68" si="104">AVERAGEIF($E$5:$E$27,$E68,W$5:W$27)</f>
        <v>#DIV/0!</v>
      </c>
      <c r="X68" s="71" t="e">
        <f t="shared" si="104"/>
        <v>#DIV/0!</v>
      </c>
      <c r="Y68" s="71" t="e">
        <f t="shared" si="104"/>
        <v>#DIV/0!</v>
      </c>
      <c r="Z68" s="71" t="e">
        <f t="shared" si="104"/>
        <v>#DIV/0!</v>
      </c>
      <c r="AA68" s="71" t="e">
        <f t="shared" si="104"/>
        <v>#DIV/0!</v>
      </c>
      <c r="AB68" s="71" t="e">
        <f t="shared" si="104"/>
        <v>#DIV/0!</v>
      </c>
      <c r="AC68" s="71" t="e">
        <f t="shared" si="104"/>
        <v>#DIV/0!</v>
      </c>
      <c r="AD68" s="71" t="e">
        <f t="shared" si="104"/>
        <v>#DIV/0!</v>
      </c>
      <c r="AE68" s="71" t="e">
        <f t="shared" si="104"/>
        <v>#DIV/0!</v>
      </c>
      <c r="AF68" s="71" t="e">
        <f t="shared" si="104"/>
        <v>#DIV/0!</v>
      </c>
      <c r="AG68" s="71" t="e">
        <f t="shared" si="104"/>
        <v>#DIV/0!</v>
      </c>
      <c r="AH68" s="71" t="e">
        <f t="shared" si="104"/>
        <v>#DIV/0!</v>
      </c>
      <c r="AI68" s="71" t="e">
        <f t="shared" si="104"/>
        <v>#DIV/0!</v>
      </c>
      <c r="AJ68" s="71" t="e">
        <f t="shared" si="104"/>
        <v>#DIV/0!</v>
      </c>
      <c r="AK68" s="71" t="e">
        <f t="shared" si="104"/>
        <v>#DIV/0!</v>
      </c>
      <c r="AL68" s="71" t="e">
        <f t="shared" si="104"/>
        <v>#DIV/0!</v>
      </c>
      <c r="AM68" s="71" t="e">
        <f t="shared" si="104"/>
        <v>#DIV/0!</v>
      </c>
      <c r="AN68" s="71" t="e">
        <f t="shared" si="104"/>
        <v>#DIV/0!</v>
      </c>
      <c r="AO68" s="71" t="e">
        <f t="shared" si="104"/>
        <v>#DIV/0!</v>
      </c>
      <c r="AP68" s="71" t="e">
        <f t="shared" si="104"/>
        <v>#DIV/0!</v>
      </c>
      <c r="AQ68" s="71" t="e">
        <f t="shared" si="104"/>
        <v>#DIV/0!</v>
      </c>
      <c r="AR68" s="71" t="e">
        <f t="shared" si="104"/>
        <v>#DIV/0!</v>
      </c>
      <c r="AS68" s="71" t="e">
        <f t="shared" si="104"/>
        <v>#DIV/0!</v>
      </c>
      <c r="AT68" s="71" t="e">
        <f t="shared" si="104"/>
        <v>#DIV/0!</v>
      </c>
      <c r="AU68" s="71" t="e">
        <f t="shared" si="104"/>
        <v>#DIV/0!</v>
      </c>
      <c r="AV68" s="71" t="e">
        <f t="shared" si="104"/>
        <v>#DIV/0!</v>
      </c>
      <c r="AW68" s="71" t="e">
        <f t="shared" si="104"/>
        <v>#DIV/0!</v>
      </c>
      <c r="AX68" s="71" t="e">
        <f t="shared" si="104"/>
        <v>#DIV/0!</v>
      </c>
      <c r="AY68" s="71" t="e">
        <f t="shared" si="104"/>
        <v>#DIV/0!</v>
      </c>
      <c r="AZ68" s="71" t="e">
        <f t="shared" si="104"/>
        <v>#DIV/0!</v>
      </c>
      <c r="BA68" s="71" t="e">
        <f t="shared" si="104"/>
        <v>#DIV/0!</v>
      </c>
      <c r="BB68" s="71" t="e">
        <f t="shared" si="104"/>
        <v>#DIV/0!</v>
      </c>
      <c r="BC68" s="71" t="e">
        <f t="shared" si="104"/>
        <v>#DIV/0!</v>
      </c>
      <c r="BD68" s="71" t="e">
        <f t="shared" si="104"/>
        <v>#DIV/0!</v>
      </c>
      <c r="BE68" s="71" t="e">
        <f t="shared" si="104"/>
        <v>#DIV/0!</v>
      </c>
      <c r="BF68" s="71" t="e">
        <f t="shared" si="104"/>
        <v>#DIV/0!</v>
      </c>
      <c r="BG68" s="71" t="e">
        <f t="shared" si="104"/>
        <v>#DIV/0!</v>
      </c>
      <c r="BH68" s="71" t="e">
        <f t="shared" si="104"/>
        <v>#DIV/0!</v>
      </c>
      <c r="BI68" s="71" t="e">
        <f t="shared" si="104"/>
        <v>#DIV/0!</v>
      </c>
      <c r="BJ68" s="71" t="e">
        <f t="shared" si="104"/>
        <v>#DIV/0!</v>
      </c>
      <c r="BK68" s="71" t="e">
        <f t="shared" si="104"/>
        <v>#DIV/0!</v>
      </c>
      <c r="BL68" s="71" t="e">
        <f t="shared" si="104"/>
        <v>#DIV/0!</v>
      </c>
      <c r="BM68" s="71" t="e">
        <f t="shared" si="104"/>
        <v>#DIV/0!</v>
      </c>
      <c r="BN68" s="71" t="e">
        <f t="shared" si="104"/>
        <v>#DIV/0!</v>
      </c>
      <c r="BO68" s="71" t="e">
        <f t="shared" si="104"/>
        <v>#DIV/0!</v>
      </c>
      <c r="BP68" s="71" t="e">
        <f t="shared" si="104"/>
        <v>#DIV/0!</v>
      </c>
      <c r="BQ68" s="93" t="s">
        <v>9</v>
      </c>
      <c r="BR68" s="66" t="e">
        <f t="shared" ref="BR68:DK68" si="105">AVERAGEIF($E$5:$E$27,$E68,BR$5:BR$27)</f>
        <v>#DIV/0!</v>
      </c>
      <c r="BS68" s="66" t="e">
        <f t="shared" si="105"/>
        <v>#DIV/0!</v>
      </c>
      <c r="BT68" s="66" t="e">
        <f t="shared" si="105"/>
        <v>#DIV/0!</v>
      </c>
      <c r="BU68" s="66" t="e">
        <f t="shared" si="105"/>
        <v>#DIV/0!</v>
      </c>
      <c r="BV68" s="66" t="e">
        <f t="shared" si="105"/>
        <v>#DIV/0!</v>
      </c>
      <c r="BW68" s="66" t="e">
        <f t="shared" si="105"/>
        <v>#DIV/0!</v>
      </c>
      <c r="BX68" s="66" t="e">
        <f t="shared" si="105"/>
        <v>#DIV/0!</v>
      </c>
      <c r="BY68" s="66" t="e">
        <f t="shared" si="105"/>
        <v>#DIV/0!</v>
      </c>
      <c r="BZ68" s="66" t="e">
        <f t="shared" si="105"/>
        <v>#DIV/0!</v>
      </c>
      <c r="CA68" s="66" t="e">
        <f t="shared" si="105"/>
        <v>#DIV/0!</v>
      </c>
      <c r="CB68" s="66" t="e">
        <f t="shared" si="105"/>
        <v>#DIV/0!</v>
      </c>
      <c r="CC68" s="66" t="e">
        <f t="shared" si="105"/>
        <v>#DIV/0!</v>
      </c>
      <c r="CD68" s="66" t="e">
        <f t="shared" si="105"/>
        <v>#DIV/0!</v>
      </c>
      <c r="CE68" s="66" t="e">
        <f t="shared" si="105"/>
        <v>#DIV/0!</v>
      </c>
      <c r="CF68" s="66" t="e">
        <f t="shared" si="105"/>
        <v>#DIV/0!</v>
      </c>
      <c r="CG68" s="66" t="e">
        <f t="shared" si="105"/>
        <v>#DIV/0!</v>
      </c>
      <c r="CH68" s="66" t="e">
        <f t="shared" si="105"/>
        <v>#DIV/0!</v>
      </c>
      <c r="CI68" s="66" t="e">
        <f t="shared" si="105"/>
        <v>#DIV/0!</v>
      </c>
      <c r="CJ68" s="66" t="e">
        <f t="shared" si="105"/>
        <v>#DIV/0!</v>
      </c>
      <c r="CK68" s="66" t="e">
        <f t="shared" si="105"/>
        <v>#DIV/0!</v>
      </c>
      <c r="CL68" s="66" t="e">
        <f t="shared" si="105"/>
        <v>#DIV/0!</v>
      </c>
      <c r="CM68" s="66" t="e">
        <f t="shared" si="105"/>
        <v>#DIV/0!</v>
      </c>
      <c r="CN68" s="66" t="e">
        <f t="shared" si="105"/>
        <v>#DIV/0!</v>
      </c>
      <c r="CO68" s="66" t="e">
        <f t="shared" si="105"/>
        <v>#DIV/0!</v>
      </c>
      <c r="CP68" s="66" t="e">
        <f t="shared" si="105"/>
        <v>#DIV/0!</v>
      </c>
      <c r="CQ68" s="66" t="e">
        <f t="shared" si="105"/>
        <v>#DIV/0!</v>
      </c>
      <c r="CR68" s="66" t="e">
        <f t="shared" si="105"/>
        <v>#DIV/0!</v>
      </c>
      <c r="CS68" s="66" t="e">
        <f t="shared" si="105"/>
        <v>#DIV/0!</v>
      </c>
      <c r="CT68" s="66" t="e">
        <f t="shared" si="105"/>
        <v>#DIV/0!</v>
      </c>
      <c r="CU68" s="66" t="e">
        <f t="shared" si="105"/>
        <v>#DIV/0!</v>
      </c>
      <c r="CV68" s="66" t="e">
        <f t="shared" si="105"/>
        <v>#DIV/0!</v>
      </c>
      <c r="CW68" s="66" t="e">
        <f t="shared" si="105"/>
        <v>#DIV/0!</v>
      </c>
      <c r="CX68" s="66" t="e">
        <f t="shared" si="105"/>
        <v>#DIV/0!</v>
      </c>
      <c r="CY68" s="66" t="e">
        <f t="shared" si="105"/>
        <v>#DIV/0!</v>
      </c>
      <c r="CZ68" s="66" t="e">
        <f t="shared" si="105"/>
        <v>#DIV/0!</v>
      </c>
      <c r="DA68" s="66" t="e">
        <f t="shared" si="105"/>
        <v>#DIV/0!</v>
      </c>
      <c r="DB68" s="66" t="e">
        <f t="shared" si="105"/>
        <v>#DIV/0!</v>
      </c>
      <c r="DC68" s="66" t="e">
        <f t="shared" si="105"/>
        <v>#DIV/0!</v>
      </c>
      <c r="DD68" s="66" t="e">
        <f t="shared" si="105"/>
        <v>#DIV/0!</v>
      </c>
      <c r="DE68" s="66" t="e">
        <f t="shared" si="105"/>
        <v>#DIV/0!</v>
      </c>
      <c r="DF68" s="66" t="e">
        <f t="shared" si="105"/>
        <v>#DIV/0!</v>
      </c>
      <c r="DG68" s="66" t="e">
        <f t="shared" si="105"/>
        <v>#DIV/0!</v>
      </c>
      <c r="DH68" s="66" t="e">
        <f t="shared" si="105"/>
        <v>#DIV/0!</v>
      </c>
      <c r="DI68" s="66" t="e">
        <f t="shared" si="105"/>
        <v>#DIV/0!</v>
      </c>
      <c r="DJ68" s="66" t="e">
        <f t="shared" si="105"/>
        <v>#DIV/0!</v>
      </c>
      <c r="DK68" s="66" t="e">
        <f t="shared" si="105"/>
        <v>#DIV/0!</v>
      </c>
    </row>
    <row r="69" spans="1:115" ht="14.25" customHeight="1">
      <c r="A69" s="103"/>
      <c r="E69" s="83"/>
      <c r="I69" s="83"/>
      <c r="J69" s="97" t="e">
        <f t="array" ref="J69">_xlfn.STDEV.P(IF($E$5:$E$27=$E68,J$5:J$27))</f>
        <v>#DIV/0!</v>
      </c>
      <c r="K69" s="97"/>
      <c r="L69" s="97"/>
      <c r="M69" s="97" t="e">
        <f t="array" ref="M69">_xlfn.STDEV.P(IF($E$5:$E$27=$E68,M$5:M$27))</f>
        <v>#DIV/0!</v>
      </c>
      <c r="N69" s="97" t="e">
        <f t="array" ref="N69">_xlfn.STDEV.P(IF($E$5:$E$27=$E68,N$5:N$27))</f>
        <v>#DIV/0!</v>
      </c>
      <c r="O69" s="97" t="e">
        <f t="array" ref="O69">_xlfn.STDEV.P(IF($E$5:$E$27=$E68,O$5:O$27))</f>
        <v>#DIV/0!</v>
      </c>
      <c r="P69" s="97" t="e">
        <f t="array" ref="P69">_xlfn.STDEV.P(IF($E$5:$E$27=$E68,P$5:P$27))</f>
        <v>#DIV/0!</v>
      </c>
      <c r="Q69" s="97" t="e">
        <f t="array" ref="Q69">_xlfn.STDEV.P(IF($E$5:$E$27=$E68,Q$5:Q$27))</f>
        <v>#DIV/0!</v>
      </c>
      <c r="R69" s="97" t="e">
        <f t="array" ref="R69">_xlfn.STDEV.P(IF($E$5:$E$27=$E68,R$5:R$27))</f>
        <v>#DIV/0!</v>
      </c>
      <c r="S69" s="228"/>
      <c r="T69" s="228" t="e">
        <f t="array" ref="T69">_xlfn.STDEV.P(IF($E$5:$E$27=$E68,T$5:T$27))</f>
        <v>#DIV/0!</v>
      </c>
      <c r="U69" s="97" t="e">
        <f t="array" ref="U69">_xlfn.STDEV.P(IF($E$5:$E$27=$E68,U$5:U$27))</f>
        <v>#DIV/0!</v>
      </c>
      <c r="V69" s="65" t="s">
        <v>11</v>
      </c>
      <c r="W69" s="74" t="e">
        <f t="array" ref="W69">_xlfn.STDEV.P(IF($E$5:$E$27=$E68,W$5:W$27))</f>
        <v>#DIV/0!</v>
      </c>
      <c r="X69" s="74" t="e">
        <f t="array" ref="X69">_xlfn.STDEV.P(IF($E$5:$E$27=$E68,X$5:X$27))</f>
        <v>#DIV/0!</v>
      </c>
      <c r="Y69" s="74" t="e">
        <f t="array" ref="Y69">_xlfn.STDEV.P(IF($E$5:$E$27=$E68,Y$5:Y$27))</f>
        <v>#DIV/0!</v>
      </c>
      <c r="Z69" s="74" t="e">
        <f t="array" ref="Z69">_xlfn.STDEV.P(IF($E$5:$E$27=$E68,Z$5:Z$27))</f>
        <v>#DIV/0!</v>
      </c>
      <c r="AA69" s="74" t="e">
        <f t="array" ref="AA69">_xlfn.STDEV.P(IF($E$5:$E$27=$E68,AA$5:AA$27))</f>
        <v>#DIV/0!</v>
      </c>
      <c r="AB69" s="74" t="e">
        <f t="array" ref="AB69">_xlfn.STDEV.P(IF($E$5:$E$27=$E68,AB$5:AB$27))</f>
        <v>#DIV/0!</v>
      </c>
      <c r="AC69" s="74" t="e">
        <f t="array" ref="AC69">_xlfn.STDEV.P(IF($E$5:$E$27=$E68,AC$5:AC$27))</f>
        <v>#DIV/0!</v>
      </c>
      <c r="AD69" s="74" t="e">
        <f t="array" ref="AD69">_xlfn.STDEV.P(IF($E$5:$E$27=$E68,AD$5:AD$27))</f>
        <v>#DIV/0!</v>
      </c>
      <c r="AE69" s="74" t="e">
        <f t="array" ref="AE69">_xlfn.STDEV.P(IF($E$5:$E$27=$E68,AE$5:AE$27))</f>
        <v>#DIV/0!</v>
      </c>
      <c r="AF69" s="74" t="e">
        <f t="array" ref="AF69">_xlfn.STDEV.P(IF($E$5:$E$27=$E68,AF$5:AF$27))</f>
        <v>#DIV/0!</v>
      </c>
      <c r="AG69" s="74" t="e">
        <f t="array" ref="AG69">_xlfn.STDEV.P(IF($E$5:$E$27=$E68,AG$5:AG$27))</f>
        <v>#DIV/0!</v>
      </c>
      <c r="AH69" s="74" t="e">
        <f t="array" ref="AH69">_xlfn.STDEV.P(IF($E$5:$E$27=$E68,AH$5:AH$27))</f>
        <v>#DIV/0!</v>
      </c>
      <c r="AI69" s="74" t="e">
        <f t="array" ref="AI69">_xlfn.STDEV.P(IF($E$5:$E$27=$E68,AI$5:AI$27))</f>
        <v>#DIV/0!</v>
      </c>
      <c r="AJ69" s="74" t="e">
        <f t="array" ref="AJ69">_xlfn.STDEV.P(IF($E$5:$E$27=$E68,AJ$5:AJ$27))</f>
        <v>#DIV/0!</v>
      </c>
      <c r="AK69" s="74" t="e">
        <f t="array" ref="AK69">_xlfn.STDEV.P(IF($E$5:$E$27=$E68,AK$5:AK$27))</f>
        <v>#DIV/0!</v>
      </c>
      <c r="AL69" s="74" t="e">
        <f t="array" ref="AL69">_xlfn.STDEV.P(IF($E$5:$E$27=$E68,AL$5:AL$27))</f>
        <v>#DIV/0!</v>
      </c>
      <c r="AM69" s="74" t="e">
        <f t="array" ref="AM69">_xlfn.STDEV.P(IF($E$5:$E$27=$E68,AM$5:AM$27))</f>
        <v>#DIV/0!</v>
      </c>
      <c r="AN69" s="74" t="e">
        <f t="array" ref="AN69">_xlfn.STDEV.P(IF($E$5:$E$27=$E68,AN$5:AN$27))</f>
        <v>#DIV/0!</v>
      </c>
      <c r="AO69" s="74" t="e">
        <f t="array" ref="AO69">_xlfn.STDEV.P(IF($E$5:$E$27=$E68,AO$5:AO$27))</f>
        <v>#DIV/0!</v>
      </c>
      <c r="AP69" s="74" t="e">
        <f t="array" ref="AP69">_xlfn.STDEV.P(IF($E$5:$E$27=$E68,AP$5:AP$27))</f>
        <v>#DIV/0!</v>
      </c>
      <c r="AQ69" s="74" t="e">
        <f t="array" ref="AQ69">_xlfn.STDEV.P(IF($E$5:$E$27=$E68,AQ$5:AQ$27))</f>
        <v>#DIV/0!</v>
      </c>
      <c r="AR69" s="74" t="e">
        <f t="array" ref="AR69">_xlfn.STDEV.P(IF($E$5:$E$27=$E68,AR$5:AR$27))</f>
        <v>#DIV/0!</v>
      </c>
      <c r="AS69" s="74" t="e">
        <f t="array" ref="AS69">_xlfn.STDEV.P(IF($E$5:$E$27=$E68,AS$5:AS$27))</f>
        <v>#DIV/0!</v>
      </c>
      <c r="AT69" s="74" t="e">
        <f t="array" ref="AT69">_xlfn.STDEV.P(IF($E$5:$E$27=$E68,AT$5:AT$27))</f>
        <v>#DIV/0!</v>
      </c>
      <c r="AU69" s="74" t="e">
        <f t="array" ref="AU69">_xlfn.STDEV.P(IF($E$5:$E$27=$E68,AU$5:AU$27))</f>
        <v>#DIV/0!</v>
      </c>
      <c r="AV69" s="74" t="e">
        <f t="array" ref="AV69">_xlfn.STDEV.P(IF($E$5:$E$27=$E68,AV$5:AV$27))</f>
        <v>#DIV/0!</v>
      </c>
      <c r="AW69" s="74" t="e">
        <f t="array" ref="AW69">_xlfn.STDEV.P(IF($E$5:$E$27=$E68,AW$5:AW$27))</f>
        <v>#DIV/0!</v>
      </c>
      <c r="AX69" s="74" t="e">
        <f t="array" ref="AX69">_xlfn.STDEV.P(IF($E$5:$E$27=$E68,AX$5:AX$27))</f>
        <v>#DIV/0!</v>
      </c>
      <c r="AY69" s="74" t="e">
        <f t="array" ref="AY69">_xlfn.STDEV.P(IF($E$5:$E$27=$E68,AY$5:AY$27))</f>
        <v>#DIV/0!</v>
      </c>
      <c r="AZ69" s="74" t="e">
        <f t="array" ref="AZ69">_xlfn.STDEV.P(IF($E$5:$E$27=$E68,AZ$5:AZ$27))</f>
        <v>#DIV/0!</v>
      </c>
      <c r="BA69" s="74" t="e">
        <f t="array" ref="BA69">_xlfn.STDEV.P(IF($E$5:$E$27=$E68,BA$5:BA$27))</f>
        <v>#DIV/0!</v>
      </c>
      <c r="BB69" s="74" t="e">
        <f t="array" ref="BB69">_xlfn.STDEV.P(IF($E$5:$E$27=$E68,BB$5:BB$27))</f>
        <v>#DIV/0!</v>
      </c>
      <c r="BC69" s="74" t="e">
        <f t="array" ref="BC69">_xlfn.STDEV.P(IF($E$5:$E$27=$E68,BC$5:BC$27))</f>
        <v>#DIV/0!</v>
      </c>
      <c r="BD69" s="74" t="e">
        <f t="array" ref="BD69">_xlfn.STDEV.P(IF($E$5:$E$27=$E68,BD$5:BD$27))</f>
        <v>#DIV/0!</v>
      </c>
      <c r="BE69" s="74" t="e">
        <f t="array" ref="BE69">_xlfn.STDEV.P(IF($E$5:$E$27=$E68,BE$5:BE$27))</f>
        <v>#DIV/0!</v>
      </c>
      <c r="BF69" s="74" t="e">
        <f t="array" ref="BF69">_xlfn.STDEV.P(IF($E$5:$E$27=$E68,BF$5:BF$27))</f>
        <v>#DIV/0!</v>
      </c>
      <c r="BG69" s="74" t="e">
        <f t="array" ref="BG69">_xlfn.STDEV.P(IF($E$5:$E$27=$E68,BG$5:BG$27))</f>
        <v>#DIV/0!</v>
      </c>
      <c r="BH69" s="74" t="e">
        <f t="array" ref="BH69">_xlfn.STDEV.P(IF($E$5:$E$27=$E68,BH$5:BH$27))</f>
        <v>#DIV/0!</v>
      </c>
      <c r="BI69" s="74" t="e">
        <f t="array" ref="BI69">_xlfn.STDEV.P(IF($E$5:$E$27=$E68,BI$5:BI$27))</f>
        <v>#DIV/0!</v>
      </c>
      <c r="BJ69" s="74" t="e">
        <f t="array" ref="BJ69">_xlfn.STDEV.P(IF($E$5:$E$27=$E68,BJ$5:BJ$27))</f>
        <v>#DIV/0!</v>
      </c>
      <c r="BK69" s="74" t="e">
        <f t="array" ref="BK69">_xlfn.STDEV.P(IF($E$5:$E$27=$E68,BK$5:BK$27))</f>
        <v>#DIV/0!</v>
      </c>
      <c r="BL69" s="74" t="e">
        <f t="array" ref="BL69">_xlfn.STDEV.P(IF($E$5:$E$27=$E68,BL$5:BL$27))</f>
        <v>#DIV/0!</v>
      </c>
      <c r="BM69" s="74" t="e">
        <f t="array" ref="BM69">_xlfn.STDEV.P(IF($E$5:$E$27=$E68,BM$5:BM$27))</f>
        <v>#DIV/0!</v>
      </c>
      <c r="BN69" s="74" t="e">
        <f t="array" ref="BN69">_xlfn.STDEV.P(IF($E$5:$E$27=$E68,BN$5:BN$27))</f>
        <v>#DIV/0!</v>
      </c>
      <c r="BO69" s="74" t="e">
        <f t="array" ref="BO69">_xlfn.STDEV.P(IF($E$5:$E$27=$E68,BO$5:BO$27))</f>
        <v>#DIV/0!</v>
      </c>
      <c r="BP69" s="74" t="e">
        <f t="array" ref="BP69">_xlfn.STDEV.P(IF($E$5:$E$27=$E68,BP$5:BP$27))</f>
        <v>#DIV/0!</v>
      </c>
      <c r="BQ69" s="94" t="s">
        <v>11</v>
      </c>
      <c r="BR69" s="67" t="e">
        <f t="array" ref="BR69">_xlfn.STDEV.P(IF($E$5:$E$27=$E68,BR$5:BR$27))</f>
        <v>#DIV/0!</v>
      </c>
      <c r="BS69" s="67" t="e">
        <f t="array" ref="BS69">_xlfn.STDEV.P(IF($E$5:$E$27=$E68,BS$5:BS$27))</f>
        <v>#DIV/0!</v>
      </c>
      <c r="BT69" s="67" t="e">
        <f t="array" ref="BT69">_xlfn.STDEV.P(IF($E$5:$E$27=$E68,BT$5:BT$27))</f>
        <v>#DIV/0!</v>
      </c>
      <c r="BU69" s="67" t="e">
        <f t="array" ref="BU69">_xlfn.STDEV.P(IF($E$5:$E$27=$E68,BU$5:BU$27))</f>
        <v>#DIV/0!</v>
      </c>
      <c r="BV69" s="67" t="e">
        <f t="array" ref="BV69">_xlfn.STDEV.P(IF($E$5:$E$27=$E68,BV$5:BV$27))</f>
        <v>#DIV/0!</v>
      </c>
      <c r="BW69" s="67" t="e">
        <f t="array" ref="BW69">_xlfn.STDEV.P(IF($E$5:$E$27=$E68,BW$5:BW$27))</f>
        <v>#DIV/0!</v>
      </c>
      <c r="BX69" s="67" t="e">
        <f t="array" ref="BX69">_xlfn.STDEV.P(IF($E$5:$E$27=$E68,BX$5:BX$27))</f>
        <v>#DIV/0!</v>
      </c>
      <c r="BY69" s="67" t="e">
        <f t="array" ref="BY69">_xlfn.STDEV.P(IF($E$5:$E$27=$E68,BY$5:BY$27))</f>
        <v>#DIV/0!</v>
      </c>
      <c r="BZ69" s="67" t="e">
        <f t="array" ref="BZ69">_xlfn.STDEV.P(IF($E$5:$E$27=$E68,BZ$5:BZ$27))</f>
        <v>#DIV/0!</v>
      </c>
      <c r="CA69" s="67" t="e">
        <f t="array" ref="CA69">_xlfn.STDEV.P(IF($E$5:$E$27=$E68,CA$5:CA$27))</f>
        <v>#DIV/0!</v>
      </c>
      <c r="CB69" s="67" t="e">
        <f t="array" ref="CB69">_xlfn.STDEV.P(IF($E$5:$E$27=$E68,CB$5:CB$27))</f>
        <v>#DIV/0!</v>
      </c>
      <c r="CC69" s="67" t="e">
        <f t="array" ref="CC69">_xlfn.STDEV.P(IF($E$5:$E$27=$E68,CC$5:CC$27))</f>
        <v>#DIV/0!</v>
      </c>
      <c r="CD69" s="67" t="e">
        <f t="array" ref="CD69">_xlfn.STDEV.P(IF($E$5:$E$27=$E68,CD$5:CD$27))</f>
        <v>#DIV/0!</v>
      </c>
      <c r="CE69" s="67" t="e">
        <f t="array" ref="CE69">_xlfn.STDEV.P(IF($E$5:$E$27=$E68,CE$5:CE$27))</f>
        <v>#DIV/0!</v>
      </c>
      <c r="CF69" s="67" t="e">
        <f t="array" ref="CF69">_xlfn.STDEV.P(IF($E$5:$E$27=$E68,CF$5:CF$27))</f>
        <v>#DIV/0!</v>
      </c>
      <c r="CG69" s="67" t="e">
        <f t="array" ref="CG69">_xlfn.STDEV.P(IF($E$5:$E$27=$E68,CG$5:CG$27))</f>
        <v>#DIV/0!</v>
      </c>
      <c r="CH69" s="67" t="e">
        <f t="array" ref="CH69">_xlfn.STDEV.P(IF($E$5:$E$27=$E68,CH$5:CH$27))</f>
        <v>#DIV/0!</v>
      </c>
      <c r="CI69" s="67" t="e">
        <f t="array" ref="CI69">_xlfn.STDEV.P(IF($E$5:$E$27=$E68,CI$5:CI$27))</f>
        <v>#DIV/0!</v>
      </c>
      <c r="CJ69" s="67" t="e">
        <f t="array" ref="CJ69">_xlfn.STDEV.P(IF($E$5:$E$27=$E68,CJ$5:CJ$27))</f>
        <v>#DIV/0!</v>
      </c>
      <c r="CK69" s="67" t="e">
        <f t="array" ref="CK69">_xlfn.STDEV.P(IF($E$5:$E$27=$E68,CK$5:CK$27))</f>
        <v>#DIV/0!</v>
      </c>
      <c r="CL69" s="67" t="e">
        <f t="array" ref="CL69">_xlfn.STDEV.P(IF($E$5:$E$27=$E68,CL$5:CL$27))</f>
        <v>#DIV/0!</v>
      </c>
      <c r="CM69" s="67" t="e">
        <f t="array" ref="CM69">_xlfn.STDEV.P(IF($E$5:$E$27=$E68,CM$5:CM$27))</f>
        <v>#DIV/0!</v>
      </c>
      <c r="CN69" s="67" t="e">
        <f t="array" ref="CN69">_xlfn.STDEV.P(IF($E$5:$E$27=$E68,CN$5:CN$27))</f>
        <v>#DIV/0!</v>
      </c>
      <c r="CO69" s="67" t="e">
        <f t="array" ref="CO69">_xlfn.STDEV.P(IF($E$5:$E$27=$E68,CO$5:CO$27))</f>
        <v>#DIV/0!</v>
      </c>
      <c r="CP69" s="67" t="e">
        <f t="array" ref="CP69">_xlfn.STDEV.P(IF($E$5:$E$27=$E68,CP$5:CP$27))</f>
        <v>#DIV/0!</v>
      </c>
      <c r="CQ69" s="67" t="e">
        <f t="array" ref="CQ69">_xlfn.STDEV.P(IF($E$5:$E$27=$E68,CQ$5:CQ$27))</f>
        <v>#DIV/0!</v>
      </c>
      <c r="CR69" s="67" t="e">
        <f t="array" ref="CR69">_xlfn.STDEV.P(IF($E$5:$E$27=$E68,CR$5:CR$27))</f>
        <v>#DIV/0!</v>
      </c>
      <c r="CS69" s="67" t="e">
        <f t="array" ref="CS69">_xlfn.STDEV.P(IF($E$5:$E$27=$E68,CS$5:CS$27))</f>
        <v>#DIV/0!</v>
      </c>
      <c r="CT69" s="67" t="e">
        <f t="array" ref="CT69">_xlfn.STDEV.P(IF($E$5:$E$27=$E68,CT$5:CT$27))</f>
        <v>#DIV/0!</v>
      </c>
      <c r="CU69" s="67" t="e">
        <f t="array" ref="CU69">_xlfn.STDEV.P(IF($E$5:$E$27=$E68,CU$5:CU$27))</f>
        <v>#DIV/0!</v>
      </c>
      <c r="CV69" s="67" t="e">
        <f t="array" ref="CV69">_xlfn.STDEV.P(IF($E$5:$E$27=$E68,CV$5:CV$27))</f>
        <v>#DIV/0!</v>
      </c>
      <c r="CW69" s="67" t="e">
        <f t="array" ref="CW69">_xlfn.STDEV.P(IF($E$5:$E$27=$E68,CW$5:CW$27))</f>
        <v>#DIV/0!</v>
      </c>
      <c r="CX69" s="67" t="e">
        <f t="array" ref="CX69">_xlfn.STDEV.P(IF($E$5:$E$27=$E68,CX$5:CX$27))</f>
        <v>#DIV/0!</v>
      </c>
      <c r="CY69" s="67" t="e">
        <f t="array" ref="CY69">_xlfn.STDEV.P(IF($E$5:$E$27=$E68,CY$5:CY$27))</f>
        <v>#DIV/0!</v>
      </c>
      <c r="CZ69" s="67" t="e">
        <f t="array" ref="CZ69">_xlfn.STDEV.P(IF($E$5:$E$27=$E68,CZ$5:CZ$27))</f>
        <v>#DIV/0!</v>
      </c>
      <c r="DA69" s="67" t="e">
        <f t="array" ref="DA69">_xlfn.STDEV.P(IF($E$5:$E$27=$E68,DA$5:DA$27))</f>
        <v>#DIV/0!</v>
      </c>
      <c r="DB69" s="67" t="e">
        <f t="array" ref="DB69">_xlfn.STDEV.P(IF($E$5:$E$27=$E68,DB$5:DB$27))</f>
        <v>#DIV/0!</v>
      </c>
      <c r="DC69" s="67" t="e">
        <f t="array" ref="DC69">_xlfn.STDEV.P(IF($E$5:$E$27=$E68,DC$5:DC$27))</f>
        <v>#DIV/0!</v>
      </c>
      <c r="DD69" s="67" t="e">
        <f t="array" ref="DD69">_xlfn.STDEV.P(IF($E$5:$E$27=$E68,DD$5:DD$27))</f>
        <v>#DIV/0!</v>
      </c>
      <c r="DE69" s="67" t="e">
        <f t="array" ref="DE69">_xlfn.STDEV.P(IF($E$5:$E$27=$E68,DE$5:DE$27))</f>
        <v>#DIV/0!</v>
      </c>
      <c r="DF69" s="67" t="e">
        <f t="array" ref="DF69">_xlfn.STDEV.P(IF($E$5:$E$27=$E68,DF$5:DF$27))</f>
        <v>#DIV/0!</v>
      </c>
      <c r="DG69" s="67" t="e">
        <f t="array" ref="DG69">_xlfn.STDEV.P(IF($E$5:$E$27=$E68,DG$5:DG$27))</f>
        <v>#DIV/0!</v>
      </c>
      <c r="DH69" s="67" t="e">
        <f t="array" ref="DH69">_xlfn.STDEV.P(IF($E$5:$E$27=$E68,DH$5:DH$27))</f>
        <v>#DIV/0!</v>
      </c>
      <c r="DI69" s="67" t="e">
        <f t="array" ref="DI69">_xlfn.STDEV.P(IF($E$5:$E$27=$E68,DI$5:DI$27))</f>
        <v>#DIV/0!</v>
      </c>
      <c r="DJ69" s="67" t="e">
        <f t="array" ref="DJ69">_xlfn.STDEV.P(IF($E$5:$E$27=$E68,DJ$5:DJ$27))</f>
        <v>#DIV/0!</v>
      </c>
      <c r="DK69" s="67" t="e">
        <f t="array" ref="DK69">_xlfn.STDEV.P(IF($E$5:$E$27=$E68,DK$5:DK$27))</f>
        <v>#DIV/0!</v>
      </c>
    </row>
    <row r="70" spans="1:115" ht="15">
      <c r="A70" s="103"/>
      <c r="E70" s="108"/>
      <c r="I70" s="45"/>
      <c r="K70" s="50"/>
      <c r="L70" s="50"/>
      <c r="P70" s="50"/>
      <c r="Q70" s="50"/>
      <c r="R70" s="50"/>
      <c r="S70" s="227"/>
      <c r="T70" s="227"/>
      <c r="U70" s="50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DF70" s="37"/>
      <c r="DG70" s="37"/>
      <c r="DH70" s="37"/>
      <c r="DI70" s="37"/>
      <c r="DJ70" s="37"/>
      <c r="DK70" s="37"/>
    </row>
    <row r="71" spans="1:115" ht="14.25" customHeight="1">
      <c r="A71" s="103"/>
      <c r="E71" s="108" t="str">
        <f>'NAB_PTX Groups'!C17</f>
        <v>Group 12</v>
      </c>
      <c r="I71" s="108" t="str">
        <f>E71</f>
        <v>Group 12</v>
      </c>
      <c r="J71" s="97" t="e">
        <f>AVERAGEIF($E$5:$E$27,$E71,J$5:J$27)</f>
        <v>#DIV/0!</v>
      </c>
      <c r="K71" s="97"/>
      <c r="L71" s="97"/>
      <c r="M71" s="97" t="e">
        <f t="shared" ref="M71:R71" si="106">AVERAGEIF($E$5:$E$27,$E71,M$5:M$27)</f>
        <v>#DIV/0!</v>
      </c>
      <c r="N71" s="97" t="e">
        <f t="shared" si="106"/>
        <v>#DIV/0!</v>
      </c>
      <c r="O71" s="97" t="e">
        <f t="shared" si="106"/>
        <v>#DIV/0!</v>
      </c>
      <c r="P71" s="97" t="e">
        <f t="shared" si="106"/>
        <v>#DIV/0!</v>
      </c>
      <c r="Q71" s="97" t="e">
        <f t="shared" si="106"/>
        <v>#DIV/0!</v>
      </c>
      <c r="R71" s="97" t="e">
        <f t="shared" si="106"/>
        <v>#DIV/0!</v>
      </c>
      <c r="S71" s="228"/>
      <c r="T71" s="228" t="e">
        <f>AVERAGEIF($E$5:$E$27,$E71,T$5:T$27)</f>
        <v>#DIV/0!</v>
      </c>
      <c r="U71" s="97" t="e">
        <f>AVERAGEIF($E$5:$E$27,$E71,U$5:U$27)</f>
        <v>#DIV/0!</v>
      </c>
      <c r="V71" s="65" t="s">
        <v>9</v>
      </c>
      <c r="W71" s="71" t="e">
        <f t="shared" ref="W71:BP71" si="107">AVERAGEIF($E$5:$E$27,$E71,W$5:W$27)</f>
        <v>#DIV/0!</v>
      </c>
      <c r="X71" s="71" t="e">
        <f t="shared" si="107"/>
        <v>#DIV/0!</v>
      </c>
      <c r="Y71" s="71" t="e">
        <f t="shared" si="107"/>
        <v>#DIV/0!</v>
      </c>
      <c r="Z71" s="71" t="e">
        <f t="shared" si="107"/>
        <v>#DIV/0!</v>
      </c>
      <c r="AA71" s="71" t="e">
        <f t="shared" si="107"/>
        <v>#DIV/0!</v>
      </c>
      <c r="AB71" s="71" t="e">
        <f t="shared" si="107"/>
        <v>#DIV/0!</v>
      </c>
      <c r="AC71" s="71" t="e">
        <f t="shared" si="107"/>
        <v>#DIV/0!</v>
      </c>
      <c r="AD71" s="71" t="e">
        <f t="shared" si="107"/>
        <v>#DIV/0!</v>
      </c>
      <c r="AE71" s="71" t="e">
        <f t="shared" si="107"/>
        <v>#DIV/0!</v>
      </c>
      <c r="AF71" s="71" t="e">
        <f t="shared" si="107"/>
        <v>#DIV/0!</v>
      </c>
      <c r="AG71" s="71" t="e">
        <f t="shared" si="107"/>
        <v>#DIV/0!</v>
      </c>
      <c r="AH71" s="71" t="e">
        <f t="shared" si="107"/>
        <v>#DIV/0!</v>
      </c>
      <c r="AI71" s="71" t="e">
        <f t="shared" si="107"/>
        <v>#DIV/0!</v>
      </c>
      <c r="AJ71" s="71" t="e">
        <f t="shared" si="107"/>
        <v>#DIV/0!</v>
      </c>
      <c r="AK71" s="71" t="e">
        <f t="shared" si="107"/>
        <v>#DIV/0!</v>
      </c>
      <c r="AL71" s="71" t="e">
        <f t="shared" si="107"/>
        <v>#DIV/0!</v>
      </c>
      <c r="AM71" s="71" t="e">
        <f t="shared" si="107"/>
        <v>#DIV/0!</v>
      </c>
      <c r="AN71" s="71" t="e">
        <f t="shared" si="107"/>
        <v>#DIV/0!</v>
      </c>
      <c r="AO71" s="71" t="e">
        <f t="shared" si="107"/>
        <v>#DIV/0!</v>
      </c>
      <c r="AP71" s="71" t="e">
        <f t="shared" si="107"/>
        <v>#DIV/0!</v>
      </c>
      <c r="AQ71" s="71" t="e">
        <f t="shared" si="107"/>
        <v>#DIV/0!</v>
      </c>
      <c r="AR71" s="71" t="e">
        <f t="shared" si="107"/>
        <v>#DIV/0!</v>
      </c>
      <c r="AS71" s="71" t="e">
        <f t="shared" si="107"/>
        <v>#DIV/0!</v>
      </c>
      <c r="AT71" s="71" t="e">
        <f t="shared" si="107"/>
        <v>#DIV/0!</v>
      </c>
      <c r="AU71" s="71" t="e">
        <f t="shared" si="107"/>
        <v>#DIV/0!</v>
      </c>
      <c r="AV71" s="71" t="e">
        <f t="shared" si="107"/>
        <v>#DIV/0!</v>
      </c>
      <c r="AW71" s="71" t="e">
        <f t="shared" si="107"/>
        <v>#DIV/0!</v>
      </c>
      <c r="AX71" s="71" t="e">
        <f t="shared" si="107"/>
        <v>#DIV/0!</v>
      </c>
      <c r="AY71" s="71" t="e">
        <f t="shared" si="107"/>
        <v>#DIV/0!</v>
      </c>
      <c r="AZ71" s="71" t="e">
        <f t="shared" si="107"/>
        <v>#DIV/0!</v>
      </c>
      <c r="BA71" s="71" t="e">
        <f t="shared" si="107"/>
        <v>#DIV/0!</v>
      </c>
      <c r="BB71" s="71" t="e">
        <f t="shared" si="107"/>
        <v>#DIV/0!</v>
      </c>
      <c r="BC71" s="71" t="e">
        <f t="shared" si="107"/>
        <v>#DIV/0!</v>
      </c>
      <c r="BD71" s="71" t="e">
        <f t="shared" si="107"/>
        <v>#DIV/0!</v>
      </c>
      <c r="BE71" s="71" t="e">
        <f t="shared" si="107"/>
        <v>#DIV/0!</v>
      </c>
      <c r="BF71" s="71" t="e">
        <f t="shared" si="107"/>
        <v>#DIV/0!</v>
      </c>
      <c r="BG71" s="71" t="e">
        <f t="shared" si="107"/>
        <v>#DIV/0!</v>
      </c>
      <c r="BH71" s="71" t="e">
        <f t="shared" si="107"/>
        <v>#DIV/0!</v>
      </c>
      <c r="BI71" s="71" t="e">
        <f t="shared" si="107"/>
        <v>#DIV/0!</v>
      </c>
      <c r="BJ71" s="71" t="e">
        <f t="shared" si="107"/>
        <v>#DIV/0!</v>
      </c>
      <c r="BK71" s="71" t="e">
        <f t="shared" si="107"/>
        <v>#DIV/0!</v>
      </c>
      <c r="BL71" s="71" t="e">
        <f t="shared" si="107"/>
        <v>#DIV/0!</v>
      </c>
      <c r="BM71" s="71" t="e">
        <f t="shared" si="107"/>
        <v>#DIV/0!</v>
      </c>
      <c r="BN71" s="71" t="e">
        <f t="shared" si="107"/>
        <v>#DIV/0!</v>
      </c>
      <c r="BO71" s="71" t="e">
        <f t="shared" si="107"/>
        <v>#DIV/0!</v>
      </c>
      <c r="BP71" s="71" t="e">
        <f t="shared" si="107"/>
        <v>#DIV/0!</v>
      </c>
      <c r="BQ71" s="93" t="s">
        <v>9</v>
      </c>
      <c r="BR71" s="66" t="e">
        <f t="shared" ref="BR71:DK71" si="108">AVERAGEIF($E$5:$E$27,$E71,BR$5:BR$27)</f>
        <v>#DIV/0!</v>
      </c>
      <c r="BS71" s="66" t="e">
        <f t="shared" si="108"/>
        <v>#DIV/0!</v>
      </c>
      <c r="BT71" s="66" t="e">
        <f t="shared" si="108"/>
        <v>#DIV/0!</v>
      </c>
      <c r="BU71" s="66" t="e">
        <f t="shared" si="108"/>
        <v>#DIV/0!</v>
      </c>
      <c r="BV71" s="66" t="e">
        <f t="shared" si="108"/>
        <v>#DIV/0!</v>
      </c>
      <c r="BW71" s="66" t="e">
        <f t="shared" si="108"/>
        <v>#DIV/0!</v>
      </c>
      <c r="BX71" s="66" t="e">
        <f t="shared" si="108"/>
        <v>#DIV/0!</v>
      </c>
      <c r="BY71" s="66" t="e">
        <f t="shared" si="108"/>
        <v>#DIV/0!</v>
      </c>
      <c r="BZ71" s="66" t="e">
        <f t="shared" si="108"/>
        <v>#DIV/0!</v>
      </c>
      <c r="CA71" s="66" t="e">
        <f t="shared" si="108"/>
        <v>#DIV/0!</v>
      </c>
      <c r="CB71" s="66" t="e">
        <f t="shared" si="108"/>
        <v>#DIV/0!</v>
      </c>
      <c r="CC71" s="66" t="e">
        <f t="shared" si="108"/>
        <v>#DIV/0!</v>
      </c>
      <c r="CD71" s="66" t="e">
        <f t="shared" si="108"/>
        <v>#DIV/0!</v>
      </c>
      <c r="CE71" s="66" t="e">
        <f t="shared" si="108"/>
        <v>#DIV/0!</v>
      </c>
      <c r="CF71" s="66" t="e">
        <f t="shared" si="108"/>
        <v>#DIV/0!</v>
      </c>
      <c r="CG71" s="66" t="e">
        <f t="shared" si="108"/>
        <v>#DIV/0!</v>
      </c>
      <c r="CH71" s="66" t="e">
        <f t="shared" si="108"/>
        <v>#DIV/0!</v>
      </c>
      <c r="CI71" s="66" t="e">
        <f t="shared" si="108"/>
        <v>#DIV/0!</v>
      </c>
      <c r="CJ71" s="66" t="e">
        <f t="shared" si="108"/>
        <v>#DIV/0!</v>
      </c>
      <c r="CK71" s="66" t="e">
        <f t="shared" si="108"/>
        <v>#DIV/0!</v>
      </c>
      <c r="CL71" s="66" t="e">
        <f t="shared" si="108"/>
        <v>#DIV/0!</v>
      </c>
      <c r="CM71" s="66" t="e">
        <f t="shared" si="108"/>
        <v>#DIV/0!</v>
      </c>
      <c r="CN71" s="66" t="e">
        <f t="shared" si="108"/>
        <v>#DIV/0!</v>
      </c>
      <c r="CO71" s="66" t="e">
        <f t="shared" si="108"/>
        <v>#DIV/0!</v>
      </c>
      <c r="CP71" s="66" t="e">
        <f t="shared" si="108"/>
        <v>#DIV/0!</v>
      </c>
      <c r="CQ71" s="66" t="e">
        <f t="shared" si="108"/>
        <v>#DIV/0!</v>
      </c>
      <c r="CR71" s="66" t="e">
        <f t="shared" si="108"/>
        <v>#DIV/0!</v>
      </c>
      <c r="CS71" s="66" t="e">
        <f t="shared" si="108"/>
        <v>#DIV/0!</v>
      </c>
      <c r="CT71" s="66" t="e">
        <f t="shared" si="108"/>
        <v>#DIV/0!</v>
      </c>
      <c r="CU71" s="66" t="e">
        <f t="shared" si="108"/>
        <v>#DIV/0!</v>
      </c>
      <c r="CV71" s="66" t="e">
        <f t="shared" si="108"/>
        <v>#DIV/0!</v>
      </c>
      <c r="CW71" s="66" t="e">
        <f t="shared" si="108"/>
        <v>#DIV/0!</v>
      </c>
      <c r="CX71" s="66" t="e">
        <f t="shared" si="108"/>
        <v>#DIV/0!</v>
      </c>
      <c r="CY71" s="66" t="e">
        <f t="shared" si="108"/>
        <v>#DIV/0!</v>
      </c>
      <c r="CZ71" s="66" t="e">
        <f t="shared" si="108"/>
        <v>#DIV/0!</v>
      </c>
      <c r="DA71" s="66" t="e">
        <f t="shared" si="108"/>
        <v>#DIV/0!</v>
      </c>
      <c r="DB71" s="66" t="e">
        <f t="shared" si="108"/>
        <v>#DIV/0!</v>
      </c>
      <c r="DC71" s="66" t="e">
        <f t="shared" si="108"/>
        <v>#DIV/0!</v>
      </c>
      <c r="DD71" s="66" t="e">
        <f t="shared" si="108"/>
        <v>#DIV/0!</v>
      </c>
      <c r="DE71" s="66" t="e">
        <f t="shared" si="108"/>
        <v>#DIV/0!</v>
      </c>
      <c r="DF71" s="66" t="e">
        <f t="shared" si="108"/>
        <v>#DIV/0!</v>
      </c>
      <c r="DG71" s="66" t="e">
        <f t="shared" si="108"/>
        <v>#DIV/0!</v>
      </c>
      <c r="DH71" s="66" t="e">
        <f t="shared" si="108"/>
        <v>#DIV/0!</v>
      </c>
      <c r="DI71" s="66" t="e">
        <f t="shared" si="108"/>
        <v>#DIV/0!</v>
      </c>
      <c r="DJ71" s="66" t="e">
        <f t="shared" si="108"/>
        <v>#DIV/0!</v>
      </c>
      <c r="DK71" s="66" t="e">
        <f t="shared" si="108"/>
        <v>#DIV/0!</v>
      </c>
    </row>
    <row r="72" spans="1:115" ht="14.25" customHeight="1">
      <c r="A72" s="103"/>
      <c r="E72" s="83"/>
      <c r="I72" s="83"/>
      <c r="J72" s="97" t="e">
        <f t="array" ref="J72">_xlfn.STDEV.P(IF($E$5:$E$27=$E71,J$5:J$27))</f>
        <v>#DIV/0!</v>
      </c>
      <c r="K72" s="97"/>
      <c r="L72" s="97"/>
      <c r="M72" s="97" t="e">
        <f t="array" ref="M72">_xlfn.STDEV.P(IF($E$5:$E$27=$E71,M$5:M$27))</f>
        <v>#DIV/0!</v>
      </c>
      <c r="N72" s="97" t="e">
        <f t="array" ref="N72">_xlfn.STDEV.P(IF($E$5:$E$27=$E71,N$5:N$27))</f>
        <v>#DIV/0!</v>
      </c>
      <c r="O72" s="97" t="e">
        <f t="array" ref="O72">_xlfn.STDEV.P(IF($E$5:$E$27=$E71,O$5:O$27))</f>
        <v>#DIV/0!</v>
      </c>
      <c r="P72" s="97" t="e">
        <f t="array" ref="P72">_xlfn.STDEV.P(IF($E$5:$E$27=$E71,P$5:P$27))</f>
        <v>#DIV/0!</v>
      </c>
      <c r="Q72" s="97" t="e">
        <f t="array" ref="Q72">_xlfn.STDEV.P(IF($E$5:$E$27=$E71,Q$5:Q$27))</f>
        <v>#DIV/0!</v>
      </c>
      <c r="R72" s="97" t="e">
        <f t="array" ref="R72">_xlfn.STDEV.P(IF($E$5:$E$27=$E71,R$5:R$27))</f>
        <v>#DIV/0!</v>
      </c>
      <c r="S72" s="228"/>
      <c r="T72" s="228" t="e">
        <f t="array" ref="T72">_xlfn.STDEV.P(IF($E$5:$E$27=$E71,T$5:T$27))</f>
        <v>#DIV/0!</v>
      </c>
      <c r="U72" s="97" t="e">
        <f t="array" ref="U72">_xlfn.STDEV.P(IF($E$5:$E$27=$E71,U$5:U$27))</f>
        <v>#DIV/0!</v>
      </c>
      <c r="V72" s="65" t="s">
        <v>11</v>
      </c>
      <c r="W72" s="74" t="e">
        <f t="array" ref="W72">_xlfn.STDEV.P(IF($E$5:$E$27=$E71,W$5:W$27))</f>
        <v>#DIV/0!</v>
      </c>
      <c r="X72" s="74" t="e">
        <f t="array" ref="X72">_xlfn.STDEV.P(IF($E$5:$E$27=$E71,X$5:X$27))</f>
        <v>#DIV/0!</v>
      </c>
      <c r="Y72" s="74" t="e">
        <f t="array" ref="Y72">_xlfn.STDEV.P(IF($E$5:$E$27=$E71,Y$5:Y$27))</f>
        <v>#DIV/0!</v>
      </c>
      <c r="Z72" s="74" t="e">
        <f t="array" ref="Z72">_xlfn.STDEV.P(IF($E$5:$E$27=$E71,Z$5:Z$27))</f>
        <v>#DIV/0!</v>
      </c>
      <c r="AA72" s="74" t="e">
        <f t="array" ref="AA72">_xlfn.STDEV.P(IF($E$5:$E$27=$E71,AA$5:AA$27))</f>
        <v>#DIV/0!</v>
      </c>
      <c r="AB72" s="74" t="e">
        <f t="array" ref="AB72">_xlfn.STDEV.P(IF($E$5:$E$27=$E71,AB$5:AB$27))</f>
        <v>#DIV/0!</v>
      </c>
      <c r="AC72" s="74" t="e">
        <f t="array" ref="AC72">_xlfn.STDEV.P(IF($E$5:$E$27=$E71,AC$5:AC$27))</f>
        <v>#DIV/0!</v>
      </c>
      <c r="AD72" s="74" t="e">
        <f t="array" ref="AD72">_xlfn.STDEV.P(IF($E$5:$E$27=$E71,AD$5:AD$27))</f>
        <v>#DIV/0!</v>
      </c>
      <c r="AE72" s="74" t="e">
        <f t="array" ref="AE72">_xlfn.STDEV.P(IF($E$5:$E$27=$E71,AE$5:AE$27))</f>
        <v>#DIV/0!</v>
      </c>
      <c r="AF72" s="74" t="e">
        <f t="array" ref="AF72">_xlfn.STDEV.P(IF($E$5:$E$27=$E71,AF$5:AF$27))</f>
        <v>#DIV/0!</v>
      </c>
      <c r="AG72" s="74" t="e">
        <f t="array" ref="AG72">_xlfn.STDEV.P(IF($E$5:$E$27=$E71,AG$5:AG$27))</f>
        <v>#DIV/0!</v>
      </c>
      <c r="AH72" s="74" t="e">
        <f t="array" ref="AH72">_xlfn.STDEV.P(IF($E$5:$E$27=$E71,AH$5:AH$27))</f>
        <v>#DIV/0!</v>
      </c>
      <c r="AI72" s="74" t="e">
        <f t="array" ref="AI72">_xlfn.STDEV.P(IF($E$5:$E$27=$E71,AI$5:AI$27))</f>
        <v>#DIV/0!</v>
      </c>
      <c r="AJ72" s="74" t="e">
        <f t="array" ref="AJ72">_xlfn.STDEV.P(IF($E$5:$E$27=$E71,AJ$5:AJ$27))</f>
        <v>#DIV/0!</v>
      </c>
      <c r="AK72" s="74" t="e">
        <f t="array" ref="AK72">_xlfn.STDEV.P(IF($E$5:$E$27=$E71,AK$5:AK$27))</f>
        <v>#DIV/0!</v>
      </c>
      <c r="AL72" s="74" t="e">
        <f t="array" ref="AL72">_xlfn.STDEV.P(IF($E$5:$E$27=$E71,AL$5:AL$27))</f>
        <v>#DIV/0!</v>
      </c>
      <c r="AM72" s="74" t="e">
        <f t="array" ref="AM72">_xlfn.STDEV.P(IF($E$5:$E$27=$E71,AM$5:AM$27))</f>
        <v>#DIV/0!</v>
      </c>
      <c r="AN72" s="74" t="e">
        <f t="array" ref="AN72">_xlfn.STDEV.P(IF($E$5:$E$27=$E71,AN$5:AN$27))</f>
        <v>#DIV/0!</v>
      </c>
      <c r="AO72" s="74" t="e">
        <f t="array" ref="AO72">_xlfn.STDEV.P(IF($E$5:$E$27=$E71,AO$5:AO$27))</f>
        <v>#DIV/0!</v>
      </c>
      <c r="AP72" s="74" t="e">
        <f t="array" ref="AP72">_xlfn.STDEV.P(IF($E$5:$E$27=$E71,AP$5:AP$27))</f>
        <v>#DIV/0!</v>
      </c>
      <c r="AQ72" s="74" t="e">
        <f t="array" ref="AQ72">_xlfn.STDEV.P(IF($E$5:$E$27=$E71,AQ$5:AQ$27))</f>
        <v>#DIV/0!</v>
      </c>
      <c r="AR72" s="74" t="e">
        <f t="array" ref="AR72">_xlfn.STDEV.P(IF($E$5:$E$27=$E71,AR$5:AR$27))</f>
        <v>#DIV/0!</v>
      </c>
      <c r="AS72" s="74" t="e">
        <f t="array" ref="AS72">_xlfn.STDEV.P(IF($E$5:$E$27=$E71,AS$5:AS$27))</f>
        <v>#DIV/0!</v>
      </c>
      <c r="AT72" s="74" t="e">
        <f t="array" ref="AT72">_xlfn.STDEV.P(IF($E$5:$E$27=$E71,AT$5:AT$27))</f>
        <v>#DIV/0!</v>
      </c>
      <c r="AU72" s="74" t="e">
        <f t="array" ref="AU72">_xlfn.STDEV.P(IF($E$5:$E$27=$E71,AU$5:AU$27))</f>
        <v>#DIV/0!</v>
      </c>
      <c r="AV72" s="74" t="e">
        <f t="array" ref="AV72">_xlfn.STDEV.P(IF($E$5:$E$27=$E71,AV$5:AV$27))</f>
        <v>#DIV/0!</v>
      </c>
      <c r="AW72" s="74" t="e">
        <f t="array" ref="AW72">_xlfn.STDEV.P(IF($E$5:$E$27=$E71,AW$5:AW$27))</f>
        <v>#DIV/0!</v>
      </c>
      <c r="AX72" s="74" t="e">
        <f t="array" ref="AX72">_xlfn.STDEV.P(IF($E$5:$E$27=$E71,AX$5:AX$27))</f>
        <v>#DIV/0!</v>
      </c>
      <c r="AY72" s="74" t="e">
        <f t="array" ref="AY72">_xlfn.STDEV.P(IF($E$5:$E$27=$E71,AY$5:AY$27))</f>
        <v>#DIV/0!</v>
      </c>
      <c r="AZ72" s="74" t="e">
        <f t="array" ref="AZ72">_xlfn.STDEV.P(IF($E$5:$E$27=$E71,AZ$5:AZ$27))</f>
        <v>#DIV/0!</v>
      </c>
      <c r="BA72" s="74" t="e">
        <f t="array" ref="BA72">_xlfn.STDEV.P(IF($E$5:$E$27=$E71,BA$5:BA$27))</f>
        <v>#DIV/0!</v>
      </c>
      <c r="BB72" s="74" t="e">
        <f t="array" ref="BB72">_xlfn.STDEV.P(IF($E$5:$E$27=$E71,BB$5:BB$27))</f>
        <v>#DIV/0!</v>
      </c>
      <c r="BC72" s="74" t="e">
        <f t="array" ref="BC72">_xlfn.STDEV.P(IF($E$5:$E$27=$E71,BC$5:BC$27))</f>
        <v>#DIV/0!</v>
      </c>
      <c r="BD72" s="74" t="e">
        <f t="array" ref="BD72">_xlfn.STDEV.P(IF($E$5:$E$27=$E71,BD$5:BD$27))</f>
        <v>#DIV/0!</v>
      </c>
      <c r="BE72" s="74" t="e">
        <f t="array" ref="BE72">_xlfn.STDEV.P(IF($E$5:$E$27=$E71,BE$5:BE$27))</f>
        <v>#DIV/0!</v>
      </c>
      <c r="BF72" s="74" t="e">
        <f t="array" ref="BF72">_xlfn.STDEV.P(IF($E$5:$E$27=$E71,BF$5:BF$27))</f>
        <v>#DIV/0!</v>
      </c>
      <c r="BG72" s="74" t="e">
        <f t="array" ref="BG72">_xlfn.STDEV.P(IF($E$5:$E$27=$E71,BG$5:BG$27))</f>
        <v>#DIV/0!</v>
      </c>
      <c r="BH72" s="74" t="e">
        <f t="array" ref="BH72">_xlfn.STDEV.P(IF($E$5:$E$27=$E71,BH$5:BH$27))</f>
        <v>#DIV/0!</v>
      </c>
      <c r="BI72" s="74" t="e">
        <f t="array" ref="BI72">_xlfn.STDEV.P(IF($E$5:$E$27=$E71,BI$5:BI$27))</f>
        <v>#DIV/0!</v>
      </c>
      <c r="BJ72" s="74" t="e">
        <f t="array" ref="BJ72">_xlfn.STDEV.P(IF($E$5:$E$27=$E71,BJ$5:BJ$27))</f>
        <v>#DIV/0!</v>
      </c>
      <c r="BK72" s="74" t="e">
        <f t="array" ref="BK72">_xlfn.STDEV.P(IF($E$5:$E$27=$E71,BK$5:BK$27))</f>
        <v>#DIV/0!</v>
      </c>
      <c r="BL72" s="74" t="e">
        <f t="array" ref="BL72">_xlfn.STDEV.P(IF($E$5:$E$27=$E71,BL$5:BL$27))</f>
        <v>#DIV/0!</v>
      </c>
      <c r="BM72" s="74" t="e">
        <f t="array" ref="BM72">_xlfn.STDEV.P(IF($E$5:$E$27=$E71,BM$5:BM$27))</f>
        <v>#DIV/0!</v>
      </c>
      <c r="BN72" s="74" t="e">
        <f t="array" ref="BN72">_xlfn.STDEV.P(IF($E$5:$E$27=$E71,BN$5:BN$27))</f>
        <v>#DIV/0!</v>
      </c>
      <c r="BO72" s="74" t="e">
        <f t="array" ref="BO72">_xlfn.STDEV.P(IF($E$5:$E$27=$E71,BO$5:BO$27))</f>
        <v>#DIV/0!</v>
      </c>
      <c r="BP72" s="74" t="e">
        <f t="array" ref="BP72">_xlfn.STDEV.P(IF($E$5:$E$27=$E71,BP$5:BP$27))</f>
        <v>#DIV/0!</v>
      </c>
      <c r="BQ72" s="94" t="s">
        <v>11</v>
      </c>
      <c r="BR72" s="67" t="e">
        <f t="array" ref="BR72">_xlfn.STDEV.P(IF($E$5:$E$27=$E71,BR$5:BR$27))</f>
        <v>#DIV/0!</v>
      </c>
      <c r="BS72" s="67" t="e">
        <f t="array" ref="BS72">_xlfn.STDEV.P(IF($E$5:$E$27=$E71,BS$5:BS$27))</f>
        <v>#DIV/0!</v>
      </c>
      <c r="BT72" s="67" t="e">
        <f t="array" ref="BT72">_xlfn.STDEV.P(IF($E$5:$E$27=$E71,BT$5:BT$27))</f>
        <v>#DIV/0!</v>
      </c>
      <c r="BU72" s="67" t="e">
        <f t="array" ref="BU72">_xlfn.STDEV.P(IF($E$5:$E$27=$E71,BU$5:BU$27))</f>
        <v>#DIV/0!</v>
      </c>
      <c r="BV72" s="67" t="e">
        <f t="array" ref="BV72">_xlfn.STDEV.P(IF($E$5:$E$27=$E71,BV$5:BV$27))</f>
        <v>#DIV/0!</v>
      </c>
      <c r="BW72" s="67" t="e">
        <f t="array" ref="BW72">_xlfn.STDEV.P(IF($E$5:$E$27=$E71,BW$5:BW$27))</f>
        <v>#DIV/0!</v>
      </c>
      <c r="BX72" s="67" t="e">
        <f t="array" ref="BX72">_xlfn.STDEV.P(IF($E$5:$E$27=$E71,BX$5:BX$27))</f>
        <v>#DIV/0!</v>
      </c>
      <c r="BY72" s="67" t="e">
        <f t="array" ref="BY72">_xlfn.STDEV.P(IF($E$5:$E$27=$E71,BY$5:BY$27))</f>
        <v>#DIV/0!</v>
      </c>
      <c r="BZ72" s="67" t="e">
        <f t="array" ref="BZ72">_xlfn.STDEV.P(IF($E$5:$E$27=$E71,BZ$5:BZ$27))</f>
        <v>#DIV/0!</v>
      </c>
      <c r="CA72" s="67" t="e">
        <f t="array" ref="CA72">_xlfn.STDEV.P(IF($E$5:$E$27=$E71,CA$5:CA$27))</f>
        <v>#DIV/0!</v>
      </c>
      <c r="CB72" s="67" t="e">
        <f t="array" ref="CB72">_xlfn.STDEV.P(IF($E$5:$E$27=$E71,CB$5:CB$27))</f>
        <v>#DIV/0!</v>
      </c>
      <c r="CC72" s="67" t="e">
        <f t="array" ref="CC72">_xlfn.STDEV.P(IF($E$5:$E$27=$E71,CC$5:CC$27))</f>
        <v>#DIV/0!</v>
      </c>
      <c r="CD72" s="67" t="e">
        <f t="array" ref="CD72">_xlfn.STDEV.P(IF($E$5:$E$27=$E71,CD$5:CD$27))</f>
        <v>#DIV/0!</v>
      </c>
      <c r="CE72" s="67" t="e">
        <f t="array" ref="CE72">_xlfn.STDEV.P(IF($E$5:$E$27=$E71,CE$5:CE$27))</f>
        <v>#DIV/0!</v>
      </c>
      <c r="CF72" s="67" t="e">
        <f t="array" ref="CF72">_xlfn.STDEV.P(IF($E$5:$E$27=$E71,CF$5:CF$27))</f>
        <v>#DIV/0!</v>
      </c>
      <c r="CG72" s="67" t="e">
        <f t="array" ref="CG72">_xlfn.STDEV.P(IF($E$5:$E$27=$E71,CG$5:CG$27))</f>
        <v>#DIV/0!</v>
      </c>
      <c r="CH72" s="67" t="e">
        <f t="array" ref="CH72">_xlfn.STDEV.P(IF($E$5:$E$27=$E71,CH$5:CH$27))</f>
        <v>#DIV/0!</v>
      </c>
      <c r="CI72" s="67" t="e">
        <f t="array" ref="CI72">_xlfn.STDEV.P(IF($E$5:$E$27=$E71,CI$5:CI$27))</f>
        <v>#DIV/0!</v>
      </c>
      <c r="CJ72" s="67" t="e">
        <f t="array" ref="CJ72">_xlfn.STDEV.P(IF($E$5:$E$27=$E71,CJ$5:CJ$27))</f>
        <v>#DIV/0!</v>
      </c>
      <c r="CK72" s="67" t="e">
        <f t="array" ref="CK72">_xlfn.STDEV.P(IF($E$5:$E$27=$E71,CK$5:CK$27))</f>
        <v>#DIV/0!</v>
      </c>
      <c r="CL72" s="67" t="e">
        <f t="array" ref="CL72">_xlfn.STDEV.P(IF($E$5:$E$27=$E71,CL$5:CL$27))</f>
        <v>#DIV/0!</v>
      </c>
      <c r="CM72" s="67" t="e">
        <f t="array" ref="CM72">_xlfn.STDEV.P(IF($E$5:$E$27=$E71,CM$5:CM$27))</f>
        <v>#DIV/0!</v>
      </c>
      <c r="CN72" s="67" t="e">
        <f t="array" ref="CN72">_xlfn.STDEV.P(IF($E$5:$E$27=$E71,CN$5:CN$27))</f>
        <v>#DIV/0!</v>
      </c>
      <c r="CO72" s="67" t="e">
        <f t="array" ref="CO72">_xlfn.STDEV.P(IF($E$5:$E$27=$E71,CO$5:CO$27))</f>
        <v>#DIV/0!</v>
      </c>
      <c r="CP72" s="67" t="e">
        <f t="array" ref="CP72">_xlfn.STDEV.P(IF($E$5:$E$27=$E71,CP$5:CP$27))</f>
        <v>#DIV/0!</v>
      </c>
      <c r="CQ72" s="67" t="e">
        <f t="array" ref="CQ72">_xlfn.STDEV.P(IF($E$5:$E$27=$E71,CQ$5:CQ$27))</f>
        <v>#DIV/0!</v>
      </c>
      <c r="CR72" s="67" t="e">
        <f t="array" ref="CR72">_xlfn.STDEV.P(IF($E$5:$E$27=$E71,CR$5:CR$27))</f>
        <v>#DIV/0!</v>
      </c>
      <c r="CS72" s="67" t="e">
        <f t="array" ref="CS72">_xlfn.STDEV.P(IF($E$5:$E$27=$E71,CS$5:CS$27))</f>
        <v>#DIV/0!</v>
      </c>
      <c r="CT72" s="67" t="e">
        <f t="array" ref="CT72">_xlfn.STDEV.P(IF($E$5:$E$27=$E71,CT$5:CT$27))</f>
        <v>#DIV/0!</v>
      </c>
      <c r="CU72" s="67" t="e">
        <f t="array" ref="CU72">_xlfn.STDEV.P(IF($E$5:$E$27=$E71,CU$5:CU$27))</f>
        <v>#DIV/0!</v>
      </c>
      <c r="CV72" s="67" t="e">
        <f t="array" ref="CV72">_xlfn.STDEV.P(IF($E$5:$E$27=$E71,CV$5:CV$27))</f>
        <v>#DIV/0!</v>
      </c>
      <c r="CW72" s="67" t="e">
        <f t="array" ref="CW72">_xlfn.STDEV.P(IF($E$5:$E$27=$E71,CW$5:CW$27))</f>
        <v>#DIV/0!</v>
      </c>
      <c r="CX72" s="67" t="e">
        <f t="array" ref="CX72">_xlfn.STDEV.P(IF($E$5:$E$27=$E71,CX$5:CX$27))</f>
        <v>#DIV/0!</v>
      </c>
      <c r="CY72" s="67" t="e">
        <f t="array" ref="CY72">_xlfn.STDEV.P(IF($E$5:$E$27=$E71,CY$5:CY$27))</f>
        <v>#DIV/0!</v>
      </c>
      <c r="CZ72" s="67" t="e">
        <f t="array" ref="CZ72">_xlfn.STDEV.P(IF($E$5:$E$27=$E71,CZ$5:CZ$27))</f>
        <v>#DIV/0!</v>
      </c>
      <c r="DA72" s="67" t="e">
        <f t="array" ref="DA72">_xlfn.STDEV.P(IF($E$5:$E$27=$E71,DA$5:DA$27))</f>
        <v>#DIV/0!</v>
      </c>
      <c r="DB72" s="67" t="e">
        <f t="array" ref="DB72">_xlfn.STDEV.P(IF($E$5:$E$27=$E71,DB$5:DB$27))</f>
        <v>#DIV/0!</v>
      </c>
      <c r="DC72" s="67" t="e">
        <f t="array" ref="DC72">_xlfn.STDEV.P(IF($E$5:$E$27=$E71,DC$5:DC$27))</f>
        <v>#DIV/0!</v>
      </c>
      <c r="DD72" s="67" t="e">
        <f t="array" ref="DD72">_xlfn.STDEV.P(IF($E$5:$E$27=$E71,DD$5:DD$27))</f>
        <v>#DIV/0!</v>
      </c>
      <c r="DE72" s="67" t="e">
        <f t="array" ref="DE72">_xlfn.STDEV.P(IF($E$5:$E$27=$E71,DE$5:DE$27))</f>
        <v>#DIV/0!</v>
      </c>
      <c r="DF72" s="67" t="e">
        <f t="array" ref="DF72">_xlfn.STDEV.P(IF($E$5:$E$27=$E71,DF$5:DF$27))</f>
        <v>#DIV/0!</v>
      </c>
      <c r="DG72" s="67" t="e">
        <f t="array" ref="DG72">_xlfn.STDEV.P(IF($E$5:$E$27=$E71,DG$5:DG$27))</f>
        <v>#DIV/0!</v>
      </c>
      <c r="DH72" s="67" t="e">
        <f t="array" ref="DH72">_xlfn.STDEV.P(IF($E$5:$E$27=$E71,DH$5:DH$27))</f>
        <v>#DIV/0!</v>
      </c>
      <c r="DI72" s="67" t="e">
        <f t="array" ref="DI72">_xlfn.STDEV.P(IF($E$5:$E$27=$E71,DI$5:DI$27))</f>
        <v>#DIV/0!</v>
      </c>
      <c r="DJ72" s="67" t="e">
        <f t="array" ref="DJ72">_xlfn.STDEV.P(IF($E$5:$E$27=$E71,DJ$5:DJ$27))</f>
        <v>#DIV/0!</v>
      </c>
      <c r="DK72" s="67" t="e">
        <f t="array" ref="DK72">_xlfn.STDEV.P(IF($E$5:$E$27=$E71,DK$5:DK$27))</f>
        <v>#DIV/0!</v>
      </c>
    </row>
    <row r="73" spans="1:115" ht="15">
      <c r="A73" s="103"/>
      <c r="E73" s="108"/>
      <c r="I73" s="45"/>
      <c r="K73" s="50"/>
      <c r="L73" s="50"/>
      <c r="P73" s="50"/>
      <c r="Q73" s="50"/>
      <c r="R73" s="50"/>
      <c r="S73" s="227"/>
      <c r="T73" s="227"/>
      <c r="U73" s="50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DF73" s="37"/>
      <c r="DG73" s="37"/>
      <c r="DH73" s="37"/>
      <c r="DI73" s="37"/>
      <c r="DJ73" s="37"/>
      <c r="DK73" s="37"/>
    </row>
    <row r="74" spans="1:115" ht="14.25" customHeight="1">
      <c r="A74" s="103"/>
      <c r="E74" s="108" t="str">
        <f>'NAB_PTX Groups'!C18</f>
        <v>Group 13</v>
      </c>
      <c r="I74" s="108" t="str">
        <f>E74</f>
        <v>Group 13</v>
      </c>
      <c r="J74" s="97" t="e">
        <f>AVERAGEIF($E$5:$E$27,$E74,J$5:J$27)</f>
        <v>#DIV/0!</v>
      </c>
      <c r="K74" s="97"/>
      <c r="L74" s="97"/>
      <c r="M74" s="97" t="e">
        <f t="shared" ref="M74:R74" si="109">AVERAGEIF($E$5:$E$27,$E74,M$5:M$27)</f>
        <v>#DIV/0!</v>
      </c>
      <c r="N74" s="97" t="e">
        <f t="shared" si="109"/>
        <v>#DIV/0!</v>
      </c>
      <c r="O74" s="97" t="e">
        <f t="shared" si="109"/>
        <v>#DIV/0!</v>
      </c>
      <c r="P74" s="97" t="e">
        <f t="shared" si="109"/>
        <v>#DIV/0!</v>
      </c>
      <c r="Q74" s="97" t="e">
        <f t="shared" si="109"/>
        <v>#DIV/0!</v>
      </c>
      <c r="R74" s="97" t="e">
        <f t="shared" si="109"/>
        <v>#DIV/0!</v>
      </c>
      <c r="S74" s="228"/>
      <c r="T74" s="228" t="e">
        <f>AVERAGEIF($E$5:$E$27,$E74,T$5:T$27)</f>
        <v>#DIV/0!</v>
      </c>
      <c r="U74" s="97" t="e">
        <f>AVERAGEIF($E$5:$E$27,$E74,U$5:U$27)</f>
        <v>#DIV/0!</v>
      </c>
      <c r="V74" s="65" t="s">
        <v>9</v>
      </c>
      <c r="W74" s="71" t="e">
        <f t="shared" ref="W74:BP74" si="110">AVERAGEIF($E$5:$E$27,$E74,W$5:W$27)</f>
        <v>#DIV/0!</v>
      </c>
      <c r="X74" s="71" t="e">
        <f t="shared" si="110"/>
        <v>#DIV/0!</v>
      </c>
      <c r="Y74" s="71" t="e">
        <f t="shared" si="110"/>
        <v>#DIV/0!</v>
      </c>
      <c r="Z74" s="71" t="e">
        <f t="shared" si="110"/>
        <v>#DIV/0!</v>
      </c>
      <c r="AA74" s="71" t="e">
        <f t="shared" si="110"/>
        <v>#DIV/0!</v>
      </c>
      <c r="AB74" s="71" t="e">
        <f t="shared" si="110"/>
        <v>#DIV/0!</v>
      </c>
      <c r="AC74" s="71" t="e">
        <f t="shared" si="110"/>
        <v>#DIV/0!</v>
      </c>
      <c r="AD74" s="71" t="e">
        <f t="shared" si="110"/>
        <v>#DIV/0!</v>
      </c>
      <c r="AE74" s="71" t="e">
        <f t="shared" si="110"/>
        <v>#DIV/0!</v>
      </c>
      <c r="AF74" s="71" t="e">
        <f t="shared" si="110"/>
        <v>#DIV/0!</v>
      </c>
      <c r="AG74" s="71" t="e">
        <f t="shared" si="110"/>
        <v>#DIV/0!</v>
      </c>
      <c r="AH74" s="71" t="e">
        <f t="shared" si="110"/>
        <v>#DIV/0!</v>
      </c>
      <c r="AI74" s="71" t="e">
        <f t="shared" si="110"/>
        <v>#DIV/0!</v>
      </c>
      <c r="AJ74" s="71" t="e">
        <f t="shared" si="110"/>
        <v>#DIV/0!</v>
      </c>
      <c r="AK74" s="71" t="e">
        <f t="shared" si="110"/>
        <v>#DIV/0!</v>
      </c>
      <c r="AL74" s="71" t="e">
        <f t="shared" si="110"/>
        <v>#DIV/0!</v>
      </c>
      <c r="AM74" s="71" t="e">
        <f t="shared" si="110"/>
        <v>#DIV/0!</v>
      </c>
      <c r="AN74" s="71" t="e">
        <f t="shared" si="110"/>
        <v>#DIV/0!</v>
      </c>
      <c r="AO74" s="71" t="e">
        <f t="shared" si="110"/>
        <v>#DIV/0!</v>
      </c>
      <c r="AP74" s="71" t="e">
        <f t="shared" si="110"/>
        <v>#DIV/0!</v>
      </c>
      <c r="AQ74" s="71" t="e">
        <f t="shared" si="110"/>
        <v>#DIV/0!</v>
      </c>
      <c r="AR74" s="71" t="e">
        <f t="shared" si="110"/>
        <v>#DIV/0!</v>
      </c>
      <c r="AS74" s="71" t="e">
        <f t="shared" si="110"/>
        <v>#DIV/0!</v>
      </c>
      <c r="AT74" s="71" t="e">
        <f t="shared" si="110"/>
        <v>#DIV/0!</v>
      </c>
      <c r="AU74" s="71" t="e">
        <f t="shared" si="110"/>
        <v>#DIV/0!</v>
      </c>
      <c r="AV74" s="71" t="e">
        <f t="shared" si="110"/>
        <v>#DIV/0!</v>
      </c>
      <c r="AW74" s="71" t="e">
        <f t="shared" si="110"/>
        <v>#DIV/0!</v>
      </c>
      <c r="AX74" s="71" t="e">
        <f t="shared" si="110"/>
        <v>#DIV/0!</v>
      </c>
      <c r="AY74" s="71" t="e">
        <f t="shared" si="110"/>
        <v>#DIV/0!</v>
      </c>
      <c r="AZ74" s="71" t="e">
        <f t="shared" si="110"/>
        <v>#DIV/0!</v>
      </c>
      <c r="BA74" s="71" t="e">
        <f t="shared" si="110"/>
        <v>#DIV/0!</v>
      </c>
      <c r="BB74" s="71" t="e">
        <f t="shared" si="110"/>
        <v>#DIV/0!</v>
      </c>
      <c r="BC74" s="71" t="e">
        <f t="shared" si="110"/>
        <v>#DIV/0!</v>
      </c>
      <c r="BD74" s="71" t="e">
        <f t="shared" si="110"/>
        <v>#DIV/0!</v>
      </c>
      <c r="BE74" s="71" t="e">
        <f t="shared" si="110"/>
        <v>#DIV/0!</v>
      </c>
      <c r="BF74" s="71" t="e">
        <f t="shared" si="110"/>
        <v>#DIV/0!</v>
      </c>
      <c r="BG74" s="71" t="e">
        <f t="shared" si="110"/>
        <v>#DIV/0!</v>
      </c>
      <c r="BH74" s="71" t="e">
        <f t="shared" si="110"/>
        <v>#DIV/0!</v>
      </c>
      <c r="BI74" s="71" t="e">
        <f t="shared" si="110"/>
        <v>#DIV/0!</v>
      </c>
      <c r="BJ74" s="71" t="e">
        <f t="shared" si="110"/>
        <v>#DIV/0!</v>
      </c>
      <c r="BK74" s="71" t="e">
        <f t="shared" si="110"/>
        <v>#DIV/0!</v>
      </c>
      <c r="BL74" s="71" t="e">
        <f t="shared" si="110"/>
        <v>#DIV/0!</v>
      </c>
      <c r="BM74" s="71" t="e">
        <f t="shared" si="110"/>
        <v>#DIV/0!</v>
      </c>
      <c r="BN74" s="71" t="e">
        <f t="shared" si="110"/>
        <v>#DIV/0!</v>
      </c>
      <c r="BO74" s="71" t="e">
        <f t="shared" si="110"/>
        <v>#DIV/0!</v>
      </c>
      <c r="BP74" s="71" t="e">
        <f t="shared" si="110"/>
        <v>#DIV/0!</v>
      </c>
      <c r="BQ74" s="93" t="s">
        <v>9</v>
      </c>
      <c r="BR74" s="66" t="e">
        <f t="shared" ref="BR74:DK74" si="111">AVERAGEIF($E$5:$E$27,$E74,BR$5:BR$27)</f>
        <v>#DIV/0!</v>
      </c>
      <c r="BS74" s="66" t="e">
        <f t="shared" si="111"/>
        <v>#DIV/0!</v>
      </c>
      <c r="BT74" s="66" t="e">
        <f t="shared" si="111"/>
        <v>#DIV/0!</v>
      </c>
      <c r="BU74" s="66" t="e">
        <f t="shared" si="111"/>
        <v>#DIV/0!</v>
      </c>
      <c r="BV74" s="66" t="e">
        <f t="shared" si="111"/>
        <v>#DIV/0!</v>
      </c>
      <c r="BW74" s="66" t="e">
        <f t="shared" si="111"/>
        <v>#DIV/0!</v>
      </c>
      <c r="BX74" s="66" t="e">
        <f t="shared" si="111"/>
        <v>#DIV/0!</v>
      </c>
      <c r="BY74" s="66" t="e">
        <f t="shared" si="111"/>
        <v>#DIV/0!</v>
      </c>
      <c r="BZ74" s="66" t="e">
        <f t="shared" si="111"/>
        <v>#DIV/0!</v>
      </c>
      <c r="CA74" s="66" t="e">
        <f t="shared" si="111"/>
        <v>#DIV/0!</v>
      </c>
      <c r="CB74" s="66" t="e">
        <f t="shared" si="111"/>
        <v>#DIV/0!</v>
      </c>
      <c r="CC74" s="66" t="e">
        <f t="shared" si="111"/>
        <v>#DIV/0!</v>
      </c>
      <c r="CD74" s="66" t="e">
        <f t="shared" si="111"/>
        <v>#DIV/0!</v>
      </c>
      <c r="CE74" s="66" t="e">
        <f t="shared" si="111"/>
        <v>#DIV/0!</v>
      </c>
      <c r="CF74" s="66" t="e">
        <f t="shared" si="111"/>
        <v>#DIV/0!</v>
      </c>
      <c r="CG74" s="66" t="e">
        <f t="shared" si="111"/>
        <v>#DIV/0!</v>
      </c>
      <c r="CH74" s="66" t="e">
        <f t="shared" si="111"/>
        <v>#DIV/0!</v>
      </c>
      <c r="CI74" s="66" t="e">
        <f t="shared" si="111"/>
        <v>#DIV/0!</v>
      </c>
      <c r="CJ74" s="66" t="e">
        <f t="shared" si="111"/>
        <v>#DIV/0!</v>
      </c>
      <c r="CK74" s="66" t="e">
        <f t="shared" si="111"/>
        <v>#DIV/0!</v>
      </c>
      <c r="CL74" s="66" t="e">
        <f t="shared" si="111"/>
        <v>#DIV/0!</v>
      </c>
      <c r="CM74" s="66" t="e">
        <f t="shared" si="111"/>
        <v>#DIV/0!</v>
      </c>
      <c r="CN74" s="66" t="e">
        <f t="shared" si="111"/>
        <v>#DIV/0!</v>
      </c>
      <c r="CO74" s="66" t="e">
        <f t="shared" si="111"/>
        <v>#DIV/0!</v>
      </c>
      <c r="CP74" s="66" t="e">
        <f t="shared" si="111"/>
        <v>#DIV/0!</v>
      </c>
      <c r="CQ74" s="66" t="e">
        <f t="shared" si="111"/>
        <v>#DIV/0!</v>
      </c>
      <c r="CR74" s="66" t="e">
        <f t="shared" si="111"/>
        <v>#DIV/0!</v>
      </c>
      <c r="CS74" s="66" t="e">
        <f t="shared" si="111"/>
        <v>#DIV/0!</v>
      </c>
      <c r="CT74" s="66" t="e">
        <f t="shared" si="111"/>
        <v>#DIV/0!</v>
      </c>
      <c r="CU74" s="66" t="e">
        <f t="shared" si="111"/>
        <v>#DIV/0!</v>
      </c>
      <c r="CV74" s="66" t="e">
        <f t="shared" si="111"/>
        <v>#DIV/0!</v>
      </c>
      <c r="CW74" s="66" t="e">
        <f t="shared" si="111"/>
        <v>#DIV/0!</v>
      </c>
      <c r="CX74" s="66" t="e">
        <f t="shared" si="111"/>
        <v>#DIV/0!</v>
      </c>
      <c r="CY74" s="66" t="e">
        <f t="shared" si="111"/>
        <v>#DIV/0!</v>
      </c>
      <c r="CZ74" s="66" t="e">
        <f t="shared" si="111"/>
        <v>#DIV/0!</v>
      </c>
      <c r="DA74" s="66" t="e">
        <f t="shared" si="111"/>
        <v>#DIV/0!</v>
      </c>
      <c r="DB74" s="66" t="e">
        <f t="shared" si="111"/>
        <v>#DIV/0!</v>
      </c>
      <c r="DC74" s="66" t="e">
        <f t="shared" si="111"/>
        <v>#DIV/0!</v>
      </c>
      <c r="DD74" s="66" t="e">
        <f t="shared" si="111"/>
        <v>#DIV/0!</v>
      </c>
      <c r="DE74" s="66" t="e">
        <f t="shared" si="111"/>
        <v>#DIV/0!</v>
      </c>
      <c r="DF74" s="66" t="e">
        <f t="shared" si="111"/>
        <v>#DIV/0!</v>
      </c>
      <c r="DG74" s="66" t="e">
        <f t="shared" si="111"/>
        <v>#DIV/0!</v>
      </c>
      <c r="DH74" s="66" t="e">
        <f t="shared" si="111"/>
        <v>#DIV/0!</v>
      </c>
      <c r="DI74" s="66" t="e">
        <f t="shared" si="111"/>
        <v>#DIV/0!</v>
      </c>
      <c r="DJ74" s="66" t="e">
        <f t="shared" si="111"/>
        <v>#DIV/0!</v>
      </c>
      <c r="DK74" s="66" t="e">
        <f t="shared" si="111"/>
        <v>#DIV/0!</v>
      </c>
    </row>
    <row r="75" spans="1:115" ht="14.25" customHeight="1">
      <c r="A75" s="103"/>
      <c r="E75" s="83"/>
      <c r="I75" s="83"/>
      <c r="J75" s="97" t="e">
        <f t="array" ref="J75">_xlfn.STDEV.P(IF($E$5:$E$27=$E74,J$5:J$27))</f>
        <v>#DIV/0!</v>
      </c>
      <c r="K75" s="97"/>
      <c r="L75" s="97"/>
      <c r="M75" s="97" t="e">
        <f t="array" ref="M75">_xlfn.STDEV.P(IF($E$5:$E$27=$E74,M$5:M$27))</f>
        <v>#DIV/0!</v>
      </c>
      <c r="N75" s="97" t="e">
        <f t="array" ref="N75">_xlfn.STDEV.P(IF($E$5:$E$27=$E74,N$5:N$27))</f>
        <v>#DIV/0!</v>
      </c>
      <c r="O75" s="97" t="e">
        <f t="array" ref="O75">_xlfn.STDEV.P(IF($E$5:$E$27=$E74,O$5:O$27))</f>
        <v>#DIV/0!</v>
      </c>
      <c r="P75" s="97" t="e">
        <f t="array" ref="P75">_xlfn.STDEV.P(IF($E$5:$E$27=$E74,P$5:P$27))</f>
        <v>#DIV/0!</v>
      </c>
      <c r="Q75" s="97" t="e">
        <f t="array" ref="Q75">_xlfn.STDEV.P(IF($E$5:$E$27=$E74,Q$5:Q$27))</f>
        <v>#DIV/0!</v>
      </c>
      <c r="R75" s="97" t="e">
        <f t="array" ref="R75">_xlfn.STDEV.P(IF($E$5:$E$27=$E74,R$5:R$27))</f>
        <v>#DIV/0!</v>
      </c>
      <c r="S75" s="228"/>
      <c r="T75" s="228" t="e">
        <f t="array" ref="T75">_xlfn.STDEV.P(IF($E$5:$E$27=$E74,T$5:T$27))</f>
        <v>#DIV/0!</v>
      </c>
      <c r="U75" s="97" t="e">
        <f t="array" ref="U75">_xlfn.STDEV.P(IF($E$5:$E$27=$E74,U$5:U$27))</f>
        <v>#DIV/0!</v>
      </c>
      <c r="V75" s="65" t="s">
        <v>11</v>
      </c>
      <c r="W75" s="74" t="e">
        <f t="array" ref="W75">_xlfn.STDEV.P(IF($E$5:$E$27=$E74,W$5:W$27))</f>
        <v>#DIV/0!</v>
      </c>
      <c r="X75" s="74" t="e">
        <f t="array" ref="X75">_xlfn.STDEV.P(IF($E$5:$E$27=$E74,X$5:X$27))</f>
        <v>#DIV/0!</v>
      </c>
      <c r="Y75" s="74" t="e">
        <f t="array" ref="Y75">_xlfn.STDEV.P(IF($E$5:$E$27=$E74,Y$5:Y$27))</f>
        <v>#DIV/0!</v>
      </c>
      <c r="Z75" s="74" t="e">
        <f t="array" ref="Z75">_xlfn.STDEV.P(IF($E$5:$E$27=$E74,Z$5:Z$27))</f>
        <v>#DIV/0!</v>
      </c>
      <c r="AA75" s="74" t="e">
        <f t="array" ref="AA75">_xlfn.STDEV.P(IF($E$5:$E$27=$E74,AA$5:AA$27))</f>
        <v>#DIV/0!</v>
      </c>
      <c r="AB75" s="74" t="e">
        <f t="array" ref="AB75">_xlfn.STDEV.P(IF($E$5:$E$27=$E74,AB$5:AB$27))</f>
        <v>#DIV/0!</v>
      </c>
      <c r="AC75" s="74" t="e">
        <f t="array" ref="AC75">_xlfn.STDEV.P(IF($E$5:$E$27=$E74,AC$5:AC$27))</f>
        <v>#DIV/0!</v>
      </c>
      <c r="AD75" s="74" t="e">
        <f t="array" ref="AD75">_xlfn.STDEV.P(IF($E$5:$E$27=$E74,AD$5:AD$27))</f>
        <v>#DIV/0!</v>
      </c>
      <c r="AE75" s="74" t="e">
        <f t="array" ref="AE75">_xlfn.STDEV.P(IF($E$5:$E$27=$E74,AE$5:AE$27))</f>
        <v>#DIV/0!</v>
      </c>
      <c r="AF75" s="74" t="e">
        <f t="array" ref="AF75">_xlfn.STDEV.P(IF($E$5:$E$27=$E74,AF$5:AF$27))</f>
        <v>#DIV/0!</v>
      </c>
      <c r="AG75" s="74" t="e">
        <f t="array" ref="AG75">_xlfn.STDEV.P(IF($E$5:$E$27=$E74,AG$5:AG$27))</f>
        <v>#DIV/0!</v>
      </c>
      <c r="AH75" s="74" t="e">
        <f t="array" ref="AH75">_xlfn.STDEV.P(IF($E$5:$E$27=$E74,AH$5:AH$27))</f>
        <v>#DIV/0!</v>
      </c>
      <c r="AI75" s="74" t="e">
        <f t="array" ref="AI75">_xlfn.STDEV.P(IF($E$5:$E$27=$E74,AI$5:AI$27))</f>
        <v>#DIV/0!</v>
      </c>
      <c r="AJ75" s="74" t="e">
        <f t="array" ref="AJ75">_xlfn.STDEV.P(IF($E$5:$E$27=$E74,AJ$5:AJ$27))</f>
        <v>#DIV/0!</v>
      </c>
      <c r="AK75" s="74" t="e">
        <f t="array" ref="AK75">_xlfn.STDEV.P(IF($E$5:$E$27=$E74,AK$5:AK$27))</f>
        <v>#DIV/0!</v>
      </c>
      <c r="AL75" s="74" t="e">
        <f t="array" ref="AL75">_xlfn.STDEV.P(IF($E$5:$E$27=$E74,AL$5:AL$27))</f>
        <v>#DIV/0!</v>
      </c>
      <c r="AM75" s="74" t="e">
        <f t="array" ref="AM75">_xlfn.STDEV.P(IF($E$5:$E$27=$E74,AM$5:AM$27))</f>
        <v>#DIV/0!</v>
      </c>
      <c r="AN75" s="74" t="e">
        <f t="array" ref="AN75">_xlfn.STDEV.P(IF($E$5:$E$27=$E74,AN$5:AN$27))</f>
        <v>#DIV/0!</v>
      </c>
      <c r="AO75" s="74" t="e">
        <f t="array" ref="AO75">_xlfn.STDEV.P(IF($E$5:$E$27=$E74,AO$5:AO$27))</f>
        <v>#DIV/0!</v>
      </c>
      <c r="AP75" s="74" t="e">
        <f t="array" ref="AP75">_xlfn.STDEV.P(IF($E$5:$E$27=$E74,AP$5:AP$27))</f>
        <v>#DIV/0!</v>
      </c>
      <c r="AQ75" s="74" t="e">
        <f t="array" ref="AQ75">_xlfn.STDEV.P(IF($E$5:$E$27=$E74,AQ$5:AQ$27))</f>
        <v>#DIV/0!</v>
      </c>
      <c r="AR75" s="74" t="e">
        <f t="array" ref="AR75">_xlfn.STDEV.P(IF($E$5:$E$27=$E74,AR$5:AR$27))</f>
        <v>#DIV/0!</v>
      </c>
      <c r="AS75" s="74" t="e">
        <f t="array" ref="AS75">_xlfn.STDEV.P(IF($E$5:$E$27=$E74,AS$5:AS$27))</f>
        <v>#DIV/0!</v>
      </c>
      <c r="AT75" s="74" t="e">
        <f t="array" ref="AT75">_xlfn.STDEV.P(IF($E$5:$E$27=$E74,AT$5:AT$27))</f>
        <v>#DIV/0!</v>
      </c>
      <c r="AU75" s="74" t="e">
        <f t="array" ref="AU75">_xlfn.STDEV.P(IF($E$5:$E$27=$E74,AU$5:AU$27))</f>
        <v>#DIV/0!</v>
      </c>
      <c r="AV75" s="74" t="e">
        <f t="array" ref="AV75">_xlfn.STDEV.P(IF($E$5:$E$27=$E74,AV$5:AV$27))</f>
        <v>#DIV/0!</v>
      </c>
      <c r="AW75" s="74" t="e">
        <f t="array" ref="AW75">_xlfn.STDEV.P(IF($E$5:$E$27=$E74,AW$5:AW$27))</f>
        <v>#DIV/0!</v>
      </c>
      <c r="AX75" s="74" t="e">
        <f t="array" ref="AX75">_xlfn.STDEV.P(IF($E$5:$E$27=$E74,AX$5:AX$27))</f>
        <v>#DIV/0!</v>
      </c>
      <c r="AY75" s="74" t="e">
        <f t="array" ref="AY75">_xlfn.STDEV.P(IF($E$5:$E$27=$E74,AY$5:AY$27))</f>
        <v>#DIV/0!</v>
      </c>
      <c r="AZ75" s="74" t="e">
        <f t="array" ref="AZ75">_xlfn.STDEV.P(IF($E$5:$E$27=$E74,AZ$5:AZ$27))</f>
        <v>#DIV/0!</v>
      </c>
      <c r="BA75" s="74" t="e">
        <f t="array" ref="BA75">_xlfn.STDEV.P(IF($E$5:$E$27=$E74,BA$5:BA$27))</f>
        <v>#DIV/0!</v>
      </c>
      <c r="BB75" s="74" t="e">
        <f t="array" ref="BB75">_xlfn.STDEV.P(IF($E$5:$E$27=$E74,BB$5:BB$27))</f>
        <v>#DIV/0!</v>
      </c>
      <c r="BC75" s="74" t="e">
        <f t="array" ref="BC75">_xlfn.STDEV.P(IF($E$5:$E$27=$E74,BC$5:BC$27))</f>
        <v>#DIV/0!</v>
      </c>
      <c r="BD75" s="74" t="e">
        <f t="array" ref="BD75">_xlfn.STDEV.P(IF($E$5:$E$27=$E74,BD$5:BD$27))</f>
        <v>#DIV/0!</v>
      </c>
      <c r="BE75" s="74" t="e">
        <f t="array" ref="BE75">_xlfn.STDEV.P(IF($E$5:$E$27=$E74,BE$5:BE$27))</f>
        <v>#DIV/0!</v>
      </c>
      <c r="BF75" s="74" t="e">
        <f t="array" ref="BF75">_xlfn.STDEV.P(IF($E$5:$E$27=$E74,BF$5:BF$27))</f>
        <v>#DIV/0!</v>
      </c>
      <c r="BG75" s="74" t="e">
        <f t="array" ref="BG75">_xlfn.STDEV.P(IF($E$5:$E$27=$E74,BG$5:BG$27))</f>
        <v>#DIV/0!</v>
      </c>
      <c r="BH75" s="74" t="e">
        <f t="array" ref="BH75">_xlfn.STDEV.P(IF($E$5:$E$27=$E74,BH$5:BH$27))</f>
        <v>#DIV/0!</v>
      </c>
      <c r="BI75" s="74" t="e">
        <f t="array" ref="BI75">_xlfn.STDEV.P(IF($E$5:$E$27=$E74,BI$5:BI$27))</f>
        <v>#DIV/0!</v>
      </c>
      <c r="BJ75" s="74" t="e">
        <f t="array" ref="BJ75">_xlfn.STDEV.P(IF($E$5:$E$27=$E74,BJ$5:BJ$27))</f>
        <v>#DIV/0!</v>
      </c>
      <c r="BK75" s="74" t="e">
        <f t="array" ref="BK75">_xlfn.STDEV.P(IF($E$5:$E$27=$E74,BK$5:BK$27))</f>
        <v>#DIV/0!</v>
      </c>
      <c r="BL75" s="74" t="e">
        <f t="array" ref="BL75">_xlfn.STDEV.P(IF($E$5:$E$27=$E74,BL$5:BL$27))</f>
        <v>#DIV/0!</v>
      </c>
      <c r="BM75" s="74" t="e">
        <f t="array" ref="BM75">_xlfn.STDEV.P(IF($E$5:$E$27=$E74,BM$5:BM$27))</f>
        <v>#DIV/0!</v>
      </c>
      <c r="BN75" s="74" t="e">
        <f t="array" ref="BN75">_xlfn.STDEV.P(IF($E$5:$E$27=$E74,BN$5:BN$27))</f>
        <v>#DIV/0!</v>
      </c>
      <c r="BO75" s="74" t="e">
        <f t="array" ref="BO75">_xlfn.STDEV.P(IF($E$5:$E$27=$E74,BO$5:BO$27))</f>
        <v>#DIV/0!</v>
      </c>
      <c r="BP75" s="74" t="e">
        <f t="array" ref="BP75">_xlfn.STDEV.P(IF($E$5:$E$27=$E74,BP$5:BP$27))</f>
        <v>#DIV/0!</v>
      </c>
      <c r="BQ75" s="94" t="s">
        <v>11</v>
      </c>
      <c r="BR75" s="67" t="e">
        <f t="array" ref="BR75">_xlfn.STDEV.P(IF($E$5:$E$27=$E74,BR$5:BR$27))</f>
        <v>#DIV/0!</v>
      </c>
      <c r="BS75" s="67" t="e">
        <f t="array" ref="BS75">_xlfn.STDEV.P(IF($E$5:$E$27=$E74,BS$5:BS$27))</f>
        <v>#DIV/0!</v>
      </c>
      <c r="BT75" s="67" t="e">
        <f t="array" ref="BT75">_xlfn.STDEV.P(IF($E$5:$E$27=$E74,BT$5:BT$27))</f>
        <v>#DIV/0!</v>
      </c>
      <c r="BU75" s="67" t="e">
        <f t="array" ref="BU75">_xlfn.STDEV.P(IF($E$5:$E$27=$E74,BU$5:BU$27))</f>
        <v>#DIV/0!</v>
      </c>
      <c r="BV75" s="67" t="e">
        <f t="array" ref="BV75">_xlfn.STDEV.P(IF($E$5:$E$27=$E74,BV$5:BV$27))</f>
        <v>#DIV/0!</v>
      </c>
      <c r="BW75" s="67" t="e">
        <f t="array" ref="BW75">_xlfn.STDEV.P(IF($E$5:$E$27=$E74,BW$5:BW$27))</f>
        <v>#DIV/0!</v>
      </c>
      <c r="BX75" s="67" t="e">
        <f t="array" ref="BX75">_xlfn.STDEV.P(IF($E$5:$E$27=$E74,BX$5:BX$27))</f>
        <v>#DIV/0!</v>
      </c>
      <c r="BY75" s="67" t="e">
        <f t="array" ref="BY75">_xlfn.STDEV.P(IF($E$5:$E$27=$E74,BY$5:BY$27))</f>
        <v>#DIV/0!</v>
      </c>
      <c r="BZ75" s="67" t="e">
        <f t="array" ref="BZ75">_xlfn.STDEV.P(IF($E$5:$E$27=$E74,BZ$5:BZ$27))</f>
        <v>#DIV/0!</v>
      </c>
      <c r="CA75" s="67" t="e">
        <f t="array" ref="CA75">_xlfn.STDEV.P(IF($E$5:$E$27=$E74,CA$5:CA$27))</f>
        <v>#DIV/0!</v>
      </c>
      <c r="CB75" s="67" t="e">
        <f t="array" ref="CB75">_xlfn.STDEV.P(IF($E$5:$E$27=$E74,CB$5:CB$27))</f>
        <v>#DIV/0!</v>
      </c>
      <c r="CC75" s="67" t="e">
        <f t="array" ref="CC75">_xlfn.STDEV.P(IF($E$5:$E$27=$E74,CC$5:CC$27))</f>
        <v>#DIV/0!</v>
      </c>
      <c r="CD75" s="67" t="e">
        <f t="array" ref="CD75">_xlfn.STDEV.P(IF($E$5:$E$27=$E74,CD$5:CD$27))</f>
        <v>#DIV/0!</v>
      </c>
      <c r="CE75" s="67" t="e">
        <f t="array" ref="CE75">_xlfn.STDEV.P(IF($E$5:$E$27=$E74,CE$5:CE$27))</f>
        <v>#DIV/0!</v>
      </c>
      <c r="CF75" s="67" t="e">
        <f t="array" ref="CF75">_xlfn.STDEV.P(IF($E$5:$E$27=$E74,CF$5:CF$27))</f>
        <v>#DIV/0!</v>
      </c>
      <c r="CG75" s="67" t="e">
        <f t="array" ref="CG75">_xlfn.STDEV.P(IF($E$5:$E$27=$E74,CG$5:CG$27))</f>
        <v>#DIV/0!</v>
      </c>
      <c r="CH75" s="67" t="e">
        <f t="array" ref="CH75">_xlfn.STDEV.P(IF($E$5:$E$27=$E74,CH$5:CH$27))</f>
        <v>#DIV/0!</v>
      </c>
      <c r="CI75" s="67" t="e">
        <f t="array" ref="CI75">_xlfn.STDEV.P(IF($E$5:$E$27=$E74,CI$5:CI$27))</f>
        <v>#DIV/0!</v>
      </c>
      <c r="CJ75" s="67" t="e">
        <f t="array" ref="CJ75">_xlfn.STDEV.P(IF($E$5:$E$27=$E74,CJ$5:CJ$27))</f>
        <v>#DIV/0!</v>
      </c>
      <c r="CK75" s="67" t="e">
        <f t="array" ref="CK75">_xlfn.STDEV.P(IF($E$5:$E$27=$E74,CK$5:CK$27))</f>
        <v>#DIV/0!</v>
      </c>
      <c r="CL75" s="67" t="e">
        <f t="array" ref="CL75">_xlfn.STDEV.P(IF($E$5:$E$27=$E74,CL$5:CL$27))</f>
        <v>#DIV/0!</v>
      </c>
      <c r="CM75" s="67" t="e">
        <f t="array" ref="CM75">_xlfn.STDEV.P(IF($E$5:$E$27=$E74,CM$5:CM$27))</f>
        <v>#DIV/0!</v>
      </c>
      <c r="CN75" s="67" t="e">
        <f t="array" ref="CN75">_xlfn.STDEV.P(IF($E$5:$E$27=$E74,CN$5:CN$27))</f>
        <v>#DIV/0!</v>
      </c>
      <c r="CO75" s="67" t="e">
        <f t="array" ref="CO75">_xlfn.STDEV.P(IF($E$5:$E$27=$E74,CO$5:CO$27))</f>
        <v>#DIV/0!</v>
      </c>
      <c r="CP75" s="67" t="e">
        <f t="array" ref="CP75">_xlfn.STDEV.P(IF($E$5:$E$27=$E74,CP$5:CP$27))</f>
        <v>#DIV/0!</v>
      </c>
      <c r="CQ75" s="67" t="e">
        <f t="array" ref="CQ75">_xlfn.STDEV.P(IF($E$5:$E$27=$E74,CQ$5:CQ$27))</f>
        <v>#DIV/0!</v>
      </c>
      <c r="CR75" s="67" t="e">
        <f t="array" ref="CR75">_xlfn.STDEV.P(IF($E$5:$E$27=$E74,CR$5:CR$27))</f>
        <v>#DIV/0!</v>
      </c>
      <c r="CS75" s="67" t="e">
        <f t="array" ref="CS75">_xlfn.STDEV.P(IF($E$5:$E$27=$E74,CS$5:CS$27))</f>
        <v>#DIV/0!</v>
      </c>
      <c r="CT75" s="67" t="e">
        <f t="array" ref="CT75">_xlfn.STDEV.P(IF($E$5:$E$27=$E74,CT$5:CT$27))</f>
        <v>#DIV/0!</v>
      </c>
      <c r="CU75" s="67" t="e">
        <f t="array" ref="CU75">_xlfn.STDEV.P(IF($E$5:$E$27=$E74,CU$5:CU$27))</f>
        <v>#DIV/0!</v>
      </c>
      <c r="CV75" s="67" t="e">
        <f t="array" ref="CV75">_xlfn.STDEV.P(IF($E$5:$E$27=$E74,CV$5:CV$27))</f>
        <v>#DIV/0!</v>
      </c>
      <c r="CW75" s="67" t="e">
        <f t="array" ref="CW75">_xlfn.STDEV.P(IF($E$5:$E$27=$E74,CW$5:CW$27))</f>
        <v>#DIV/0!</v>
      </c>
      <c r="CX75" s="67" t="e">
        <f t="array" ref="CX75">_xlfn.STDEV.P(IF($E$5:$E$27=$E74,CX$5:CX$27))</f>
        <v>#DIV/0!</v>
      </c>
      <c r="CY75" s="67" t="e">
        <f t="array" ref="CY75">_xlfn.STDEV.P(IF($E$5:$E$27=$E74,CY$5:CY$27))</f>
        <v>#DIV/0!</v>
      </c>
      <c r="CZ75" s="67" t="e">
        <f t="array" ref="CZ75">_xlfn.STDEV.P(IF($E$5:$E$27=$E74,CZ$5:CZ$27))</f>
        <v>#DIV/0!</v>
      </c>
      <c r="DA75" s="67" t="e">
        <f t="array" ref="DA75">_xlfn.STDEV.P(IF($E$5:$E$27=$E74,DA$5:DA$27))</f>
        <v>#DIV/0!</v>
      </c>
      <c r="DB75" s="67" t="e">
        <f t="array" ref="DB75">_xlfn.STDEV.P(IF($E$5:$E$27=$E74,DB$5:DB$27))</f>
        <v>#DIV/0!</v>
      </c>
      <c r="DC75" s="67" t="e">
        <f t="array" ref="DC75">_xlfn.STDEV.P(IF($E$5:$E$27=$E74,DC$5:DC$27))</f>
        <v>#DIV/0!</v>
      </c>
      <c r="DD75" s="67" t="e">
        <f t="array" ref="DD75">_xlfn.STDEV.P(IF($E$5:$E$27=$E74,DD$5:DD$27))</f>
        <v>#DIV/0!</v>
      </c>
      <c r="DE75" s="67" t="e">
        <f t="array" ref="DE75">_xlfn.STDEV.P(IF($E$5:$E$27=$E74,DE$5:DE$27))</f>
        <v>#DIV/0!</v>
      </c>
      <c r="DF75" s="67" t="e">
        <f t="array" ref="DF75">_xlfn.STDEV.P(IF($E$5:$E$27=$E74,DF$5:DF$27))</f>
        <v>#DIV/0!</v>
      </c>
      <c r="DG75" s="67" t="e">
        <f t="array" ref="DG75">_xlfn.STDEV.P(IF($E$5:$E$27=$E74,DG$5:DG$27))</f>
        <v>#DIV/0!</v>
      </c>
      <c r="DH75" s="67" t="e">
        <f t="array" ref="DH75">_xlfn.STDEV.P(IF($E$5:$E$27=$E74,DH$5:DH$27))</f>
        <v>#DIV/0!</v>
      </c>
      <c r="DI75" s="67" t="e">
        <f t="array" ref="DI75">_xlfn.STDEV.P(IF($E$5:$E$27=$E74,DI$5:DI$27))</f>
        <v>#DIV/0!</v>
      </c>
      <c r="DJ75" s="67" t="e">
        <f t="array" ref="DJ75">_xlfn.STDEV.P(IF($E$5:$E$27=$E74,DJ$5:DJ$27))</f>
        <v>#DIV/0!</v>
      </c>
      <c r="DK75" s="67" t="e">
        <f t="array" ref="DK75">_xlfn.STDEV.P(IF($E$5:$E$27=$E74,DK$5:DK$27))</f>
        <v>#DIV/0!</v>
      </c>
    </row>
    <row r="76" spans="1:115" ht="15">
      <c r="A76" s="103"/>
      <c r="E76" s="108"/>
      <c r="I76" s="45"/>
      <c r="K76" s="50"/>
      <c r="L76" s="50"/>
      <c r="P76" s="50"/>
      <c r="Q76" s="50"/>
      <c r="R76" s="50"/>
      <c r="S76" s="227"/>
      <c r="T76" s="227"/>
      <c r="U76" s="50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DF76" s="37"/>
      <c r="DG76" s="37"/>
      <c r="DH76" s="37"/>
      <c r="DI76" s="37"/>
      <c r="DJ76" s="37"/>
      <c r="DK76" s="37"/>
    </row>
    <row r="77" spans="1:115" ht="14.25" customHeight="1">
      <c r="A77" s="103"/>
      <c r="E77" s="108" t="str">
        <f>'NAB_PTX Groups'!C19</f>
        <v>Group 14</v>
      </c>
      <c r="I77" s="108" t="str">
        <f>E77</f>
        <v>Group 14</v>
      </c>
      <c r="J77" s="97" t="e">
        <f>AVERAGEIF($E$5:$E$27,$E77,J$5:J$27)</f>
        <v>#DIV/0!</v>
      </c>
      <c r="K77" s="97"/>
      <c r="L77" s="97"/>
      <c r="M77" s="97" t="e">
        <f t="shared" ref="M77:R77" si="112">AVERAGEIF($E$5:$E$27,$E77,M$5:M$27)</f>
        <v>#DIV/0!</v>
      </c>
      <c r="N77" s="97" t="e">
        <f t="shared" si="112"/>
        <v>#DIV/0!</v>
      </c>
      <c r="O77" s="97" t="e">
        <f t="shared" si="112"/>
        <v>#DIV/0!</v>
      </c>
      <c r="P77" s="97" t="e">
        <f t="shared" si="112"/>
        <v>#DIV/0!</v>
      </c>
      <c r="Q77" s="97" t="e">
        <f t="shared" si="112"/>
        <v>#DIV/0!</v>
      </c>
      <c r="R77" s="97" t="e">
        <f t="shared" si="112"/>
        <v>#DIV/0!</v>
      </c>
      <c r="S77" s="228"/>
      <c r="T77" s="228" t="e">
        <f>AVERAGEIF($E$5:$E$27,$E77,T$5:T$27)</f>
        <v>#DIV/0!</v>
      </c>
      <c r="U77" s="97" t="e">
        <f>AVERAGEIF($E$5:$E$27,$E77,U$5:U$27)</f>
        <v>#DIV/0!</v>
      </c>
      <c r="V77" s="65" t="s">
        <v>9</v>
      </c>
      <c r="W77" s="71" t="e">
        <f t="shared" ref="W77:BP77" si="113">AVERAGEIF($E$5:$E$27,$E77,W$5:W$27)</f>
        <v>#DIV/0!</v>
      </c>
      <c r="X77" s="71" t="e">
        <f t="shared" si="113"/>
        <v>#DIV/0!</v>
      </c>
      <c r="Y77" s="71" t="e">
        <f t="shared" si="113"/>
        <v>#DIV/0!</v>
      </c>
      <c r="Z77" s="71" t="e">
        <f t="shared" si="113"/>
        <v>#DIV/0!</v>
      </c>
      <c r="AA77" s="71" t="e">
        <f t="shared" si="113"/>
        <v>#DIV/0!</v>
      </c>
      <c r="AB77" s="71" t="e">
        <f t="shared" si="113"/>
        <v>#DIV/0!</v>
      </c>
      <c r="AC77" s="71" t="e">
        <f t="shared" si="113"/>
        <v>#DIV/0!</v>
      </c>
      <c r="AD77" s="71" t="e">
        <f t="shared" si="113"/>
        <v>#DIV/0!</v>
      </c>
      <c r="AE77" s="71" t="e">
        <f t="shared" si="113"/>
        <v>#DIV/0!</v>
      </c>
      <c r="AF77" s="71" t="e">
        <f t="shared" si="113"/>
        <v>#DIV/0!</v>
      </c>
      <c r="AG77" s="71" t="e">
        <f t="shared" si="113"/>
        <v>#DIV/0!</v>
      </c>
      <c r="AH77" s="71" t="e">
        <f t="shared" si="113"/>
        <v>#DIV/0!</v>
      </c>
      <c r="AI77" s="71" t="e">
        <f t="shared" si="113"/>
        <v>#DIV/0!</v>
      </c>
      <c r="AJ77" s="71" t="e">
        <f t="shared" si="113"/>
        <v>#DIV/0!</v>
      </c>
      <c r="AK77" s="71" t="e">
        <f t="shared" si="113"/>
        <v>#DIV/0!</v>
      </c>
      <c r="AL77" s="71" t="e">
        <f t="shared" si="113"/>
        <v>#DIV/0!</v>
      </c>
      <c r="AM77" s="71" t="e">
        <f t="shared" si="113"/>
        <v>#DIV/0!</v>
      </c>
      <c r="AN77" s="71" t="e">
        <f t="shared" si="113"/>
        <v>#DIV/0!</v>
      </c>
      <c r="AO77" s="71" t="e">
        <f t="shared" si="113"/>
        <v>#DIV/0!</v>
      </c>
      <c r="AP77" s="71" t="e">
        <f t="shared" si="113"/>
        <v>#DIV/0!</v>
      </c>
      <c r="AQ77" s="71" t="e">
        <f t="shared" si="113"/>
        <v>#DIV/0!</v>
      </c>
      <c r="AR77" s="71" t="e">
        <f t="shared" si="113"/>
        <v>#DIV/0!</v>
      </c>
      <c r="AS77" s="71" t="e">
        <f t="shared" si="113"/>
        <v>#DIV/0!</v>
      </c>
      <c r="AT77" s="71" t="e">
        <f t="shared" si="113"/>
        <v>#DIV/0!</v>
      </c>
      <c r="AU77" s="71" t="e">
        <f t="shared" si="113"/>
        <v>#DIV/0!</v>
      </c>
      <c r="AV77" s="71" t="e">
        <f t="shared" si="113"/>
        <v>#DIV/0!</v>
      </c>
      <c r="AW77" s="71" t="e">
        <f t="shared" si="113"/>
        <v>#DIV/0!</v>
      </c>
      <c r="AX77" s="71" t="e">
        <f t="shared" si="113"/>
        <v>#DIV/0!</v>
      </c>
      <c r="AY77" s="71" t="e">
        <f t="shared" si="113"/>
        <v>#DIV/0!</v>
      </c>
      <c r="AZ77" s="71" t="e">
        <f t="shared" si="113"/>
        <v>#DIV/0!</v>
      </c>
      <c r="BA77" s="71" t="e">
        <f t="shared" si="113"/>
        <v>#DIV/0!</v>
      </c>
      <c r="BB77" s="71" t="e">
        <f t="shared" si="113"/>
        <v>#DIV/0!</v>
      </c>
      <c r="BC77" s="71" t="e">
        <f t="shared" si="113"/>
        <v>#DIV/0!</v>
      </c>
      <c r="BD77" s="71" t="e">
        <f t="shared" si="113"/>
        <v>#DIV/0!</v>
      </c>
      <c r="BE77" s="71" t="e">
        <f t="shared" si="113"/>
        <v>#DIV/0!</v>
      </c>
      <c r="BF77" s="71" t="e">
        <f t="shared" si="113"/>
        <v>#DIV/0!</v>
      </c>
      <c r="BG77" s="71" t="e">
        <f t="shared" si="113"/>
        <v>#DIV/0!</v>
      </c>
      <c r="BH77" s="71" t="e">
        <f t="shared" si="113"/>
        <v>#DIV/0!</v>
      </c>
      <c r="BI77" s="71" t="e">
        <f t="shared" si="113"/>
        <v>#DIV/0!</v>
      </c>
      <c r="BJ77" s="71" t="e">
        <f t="shared" si="113"/>
        <v>#DIV/0!</v>
      </c>
      <c r="BK77" s="71" t="e">
        <f t="shared" si="113"/>
        <v>#DIV/0!</v>
      </c>
      <c r="BL77" s="71" t="e">
        <f t="shared" si="113"/>
        <v>#DIV/0!</v>
      </c>
      <c r="BM77" s="71" t="e">
        <f t="shared" si="113"/>
        <v>#DIV/0!</v>
      </c>
      <c r="BN77" s="71" t="e">
        <f t="shared" si="113"/>
        <v>#DIV/0!</v>
      </c>
      <c r="BO77" s="71" t="e">
        <f t="shared" si="113"/>
        <v>#DIV/0!</v>
      </c>
      <c r="BP77" s="71" t="e">
        <f t="shared" si="113"/>
        <v>#DIV/0!</v>
      </c>
      <c r="BQ77" s="93" t="s">
        <v>9</v>
      </c>
      <c r="BR77" s="66" t="e">
        <f t="shared" ref="BR77:DK77" si="114">AVERAGEIF($E$5:$E$27,$E77,BR$5:BR$27)</f>
        <v>#DIV/0!</v>
      </c>
      <c r="BS77" s="66" t="e">
        <f t="shared" si="114"/>
        <v>#DIV/0!</v>
      </c>
      <c r="BT77" s="66" t="e">
        <f t="shared" si="114"/>
        <v>#DIV/0!</v>
      </c>
      <c r="BU77" s="66" t="e">
        <f t="shared" si="114"/>
        <v>#DIV/0!</v>
      </c>
      <c r="BV77" s="66" t="e">
        <f t="shared" si="114"/>
        <v>#DIV/0!</v>
      </c>
      <c r="BW77" s="66" t="e">
        <f t="shared" si="114"/>
        <v>#DIV/0!</v>
      </c>
      <c r="BX77" s="66" t="e">
        <f t="shared" si="114"/>
        <v>#DIV/0!</v>
      </c>
      <c r="BY77" s="66" t="e">
        <f t="shared" si="114"/>
        <v>#DIV/0!</v>
      </c>
      <c r="BZ77" s="66" t="e">
        <f t="shared" si="114"/>
        <v>#DIV/0!</v>
      </c>
      <c r="CA77" s="66" t="e">
        <f t="shared" si="114"/>
        <v>#DIV/0!</v>
      </c>
      <c r="CB77" s="66" t="e">
        <f t="shared" si="114"/>
        <v>#DIV/0!</v>
      </c>
      <c r="CC77" s="66" t="e">
        <f t="shared" si="114"/>
        <v>#DIV/0!</v>
      </c>
      <c r="CD77" s="66" t="e">
        <f t="shared" si="114"/>
        <v>#DIV/0!</v>
      </c>
      <c r="CE77" s="66" t="e">
        <f t="shared" si="114"/>
        <v>#DIV/0!</v>
      </c>
      <c r="CF77" s="66" t="e">
        <f t="shared" si="114"/>
        <v>#DIV/0!</v>
      </c>
      <c r="CG77" s="66" t="e">
        <f t="shared" si="114"/>
        <v>#DIV/0!</v>
      </c>
      <c r="CH77" s="66" t="e">
        <f t="shared" si="114"/>
        <v>#DIV/0!</v>
      </c>
      <c r="CI77" s="66" t="e">
        <f t="shared" si="114"/>
        <v>#DIV/0!</v>
      </c>
      <c r="CJ77" s="66" t="e">
        <f t="shared" si="114"/>
        <v>#DIV/0!</v>
      </c>
      <c r="CK77" s="66" t="e">
        <f t="shared" si="114"/>
        <v>#DIV/0!</v>
      </c>
      <c r="CL77" s="66" t="e">
        <f t="shared" si="114"/>
        <v>#DIV/0!</v>
      </c>
      <c r="CM77" s="66" t="e">
        <f t="shared" si="114"/>
        <v>#DIV/0!</v>
      </c>
      <c r="CN77" s="66" t="e">
        <f t="shared" si="114"/>
        <v>#DIV/0!</v>
      </c>
      <c r="CO77" s="66" t="e">
        <f t="shared" si="114"/>
        <v>#DIV/0!</v>
      </c>
      <c r="CP77" s="66" t="e">
        <f t="shared" si="114"/>
        <v>#DIV/0!</v>
      </c>
      <c r="CQ77" s="66" t="e">
        <f t="shared" si="114"/>
        <v>#DIV/0!</v>
      </c>
      <c r="CR77" s="66" t="e">
        <f t="shared" si="114"/>
        <v>#DIV/0!</v>
      </c>
      <c r="CS77" s="66" t="e">
        <f t="shared" si="114"/>
        <v>#DIV/0!</v>
      </c>
      <c r="CT77" s="66" t="e">
        <f t="shared" si="114"/>
        <v>#DIV/0!</v>
      </c>
      <c r="CU77" s="66" t="e">
        <f t="shared" si="114"/>
        <v>#DIV/0!</v>
      </c>
      <c r="CV77" s="66" t="e">
        <f t="shared" si="114"/>
        <v>#DIV/0!</v>
      </c>
      <c r="CW77" s="66" t="e">
        <f t="shared" si="114"/>
        <v>#DIV/0!</v>
      </c>
      <c r="CX77" s="66" t="e">
        <f t="shared" si="114"/>
        <v>#DIV/0!</v>
      </c>
      <c r="CY77" s="66" t="e">
        <f t="shared" si="114"/>
        <v>#DIV/0!</v>
      </c>
      <c r="CZ77" s="66" t="e">
        <f t="shared" si="114"/>
        <v>#DIV/0!</v>
      </c>
      <c r="DA77" s="66" t="e">
        <f t="shared" si="114"/>
        <v>#DIV/0!</v>
      </c>
      <c r="DB77" s="66" t="e">
        <f t="shared" si="114"/>
        <v>#DIV/0!</v>
      </c>
      <c r="DC77" s="66" t="e">
        <f t="shared" si="114"/>
        <v>#DIV/0!</v>
      </c>
      <c r="DD77" s="66" t="e">
        <f t="shared" si="114"/>
        <v>#DIV/0!</v>
      </c>
      <c r="DE77" s="66" t="e">
        <f t="shared" si="114"/>
        <v>#DIV/0!</v>
      </c>
      <c r="DF77" s="66" t="e">
        <f t="shared" si="114"/>
        <v>#DIV/0!</v>
      </c>
      <c r="DG77" s="66" t="e">
        <f t="shared" si="114"/>
        <v>#DIV/0!</v>
      </c>
      <c r="DH77" s="66" t="e">
        <f t="shared" si="114"/>
        <v>#DIV/0!</v>
      </c>
      <c r="DI77" s="66" t="e">
        <f t="shared" si="114"/>
        <v>#DIV/0!</v>
      </c>
      <c r="DJ77" s="66" t="e">
        <f t="shared" si="114"/>
        <v>#DIV/0!</v>
      </c>
      <c r="DK77" s="66" t="e">
        <f t="shared" si="114"/>
        <v>#DIV/0!</v>
      </c>
    </row>
    <row r="78" spans="1:115" ht="14.25" customHeight="1">
      <c r="A78" s="103"/>
      <c r="E78" s="83"/>
      <c r="I78" s="83"/>
      <c r="J78" s="97" t="e">
        <f t="array" ref="J78">_xlfn.STDEV.P(IF($E$5:$E$27=$E77,J$5:J$27))</f>
        <v>#DIV/0!</v>
      </c>
      <c r="K78" s="97"/>
      <c r="L78" s="97"/>
      <c r="M78" s="97" t="e">
        <f t="array" ref="M78">_xlfn.STDEV.P(IF($E$5:$E$27=$E77,M$5:M$27))</f>
        <v>#DIV/0!</v>
      </c>
      <c r="N78" s="97" t="e">
        <f t="array" ref="N78">_xlfn.STDEV.P(IF($E$5:$E$27=$E77,N$5:N$27))</f>
        <v>#DIV/0!</v>
      </c>
      <c r="O78" s="97" t="e">
        <f t="array" ref="O78">_xlfn.STDEV.P(IF($E$5:$E$27=$E77,O$5:O$27))</f>
        <v>#DIV/0!</v>
      </c>
      <c r="P78" s="97" t="e">
        <f t="array" ref="P78">_xlfn.STDEV.P(IF($E$5:$E$27=$E77,P$5:P$27))</f>
        <v>#DIV/0!</v>
      </c>
      <c r="Q78" s="97" t="e">
        <f t="array" ref="Q78">_xlfn.STDEV.P(IF($E$5:$E$27=$E77,Q$5:Q$27))</f>
        <v>#DIV/0!</v>
      </c>
      <c r="R78" s="97" t="e">
        <f t="array" ref="R78">_xlfn.STDEV.P(IF($E$5:$E$27=$E77,R$5:R$27))</f>
        <v>#DIV/0!</v>
      </c>
      <c r="S78" s="228"/>
      <c r="T78" s="228" t="e">
        <f t="array" ref="T78">_xlfn.STDEV.P(IF($E$5:$E$27=$E77,T$5:T$27))</f>
        <v>#DIV/0!</v>
      </c>
      <c r="U78" s="97" t="e">
        <f t="array" ref="U78">_xlfn.STDEV.P(IF($E$5:$E$27=$E77,U$5:U$27))</f>
        <v>#DIV/0!</v>
      </c>
      <c r="V78" s="65" t="s">
        <v>11</v>
      </c>
      <c r="W78" s="74" t="e">
        <f t="array" ref="W78">_xlfn.STDEV.P(IF($E$5:$E$27=$E77,W$5:W$27))</f>
        <v>#DIV/0!</v>
      </c>
      <c r="X78" s="74" t="e">
        <f t="array" ref="X78">_xlfn.STDEV.P(IF($E$5:$E$27=$E77,X$5:X$27))</f>
        <v>#DIV/0!</v>
      </c>
      <c r="Y78" s="74" t="e">
        <f t="array" ref="Y78">_xlfn.STDEV.P(IF($E$5:$E$27=$E77,Y$5:Y$27))</f>
        <v>#DIV/0!</v>
      </c>
      <c r="Z78" s="74" t="e">
        <f t="array" ref="Z78">_xlfn.STDEV.P(IF($E$5:$E$27=$E77,Z$5:Z$27))</f>
        <v>#DIV/0!</v>
      </c>
      <c r="AA78" s="74" t="e">
        <f t="array" ref="AA78">_xlfn.STDEV.P(IF($E$5:$E$27=$E77,AA$5:AA$27))</f>
        <v>#DIV/0!</v>
      </c>
      <c r="AB78" s="74" t="e">
        <f t="array" ref="AB78">_xlfn.STDEV.P(IF($E$5:$E$27=$E77,AB$5:AB$27))</f>
        <v>#DIV/0!</v>
      </c>
      <c r="AC78" s="74" t="e">
        <f t="array" ref="AC78">_xlfn.STDEV.P(IF($E$5:$E$27=$E77,AC$5:AC$27))</f>
        <v>#DIV/0!</v>
      </c>
      <c r="AD78" s="74" t="e">
        <f t="array" ref="AD78">_xlfn.STDEV.P(IF($E$5:$E$27=$E77,AD$5:AD$27))</f>
        <v>#DIV/0!</v>
      </c>
      <c r="AE78" s="74" t="e">
        <f t="array" ref="AE78">_xlfn.STDEV.P(IF($E$5:$E$27=$E77,AE$5:AE$27))</f>
        <v>#DIV/0!</v>
      </c>
      <c r="AF78" s="74" t="e">
        <f t="array" ref="AF78">_xlfn.STDEV.P(IF($E$5:$E$27=$E77,AF$5:AF$27))</f>
        <v>#DIV/0!</v>
      </c>
      <c r="AG78" s="74" t="e">
        <f t="array" ref="AG78">_xlfn.STDEV.P(IF($E$5:$E$27=$E77,AG$5:AG$27))</f>
        <v>#DIV/0!</v>
      </c>
      <c r="AH78" s="74" t="e">
        <f t="array" ref="AH78">_xlfn.STDEV.P(IF($E$5:$E$27=$E77,AH$5:AH$27))</f>
        <v>#DIV/0!</v>
      </c>
      <c r="AI78" s="74" t="e">
        <f t="array" ref="AI78">_xlfn.STDEV.P(IF($E$5:$E$27=$E77,AI$5:AI$27))</f>
        <v>#DIV/0!</v>
      </c>
      <c r="AJ78" s="74" t="e">
        <f t="array" ref="AJ78">_xlfn.STDEV.P(IF($E$5:$E$27=$E77,AJ$5:AJ$27))</f>
        <v>#DIV/0!</v>
      </c>
      <c r="AK78" s="74" t="e">
        <f t="array" ref="AK78">_xlfn.STDEV.P(IF($E$5:$E$27=$E77,AK$5:AK$27))</f>
        <v>#DIV/0!</v>
      </c>
      <c r="AL78" s="74" t="e">
        <f t="array" ref="AL78">_xlfn.STDEV.P(IF($E$5:$E$27=$E77,AL$5:AL$27))</f>
        <v>#DIV/0!</v>
      </c>
      <c r="AM78" s="74" t="e">
        <f t="array" ref="AM78">_xlfn.STDEV.P(IF($E$5:$E$27=$E77,AM$5:AM$27))</f>
        <v>#DIV/0!</v>
      </c>
      <c r="AN78" s="74" t="e">
        <f t="array" ref="AN78">_xlfn.STDEV.P(IF($E$5:$E$27=$E77,AN$5:AN$27))</f>
        <v>#DIV/0!</v>
      </c>
      <c r="AO78" s="74" t="e">
        <f t="array" ref="AO78">_xlfn.STDEV.P(IF($E$5:$E$27=$E77,AO$5:AO$27))</f>
        <v>#DIV/0!</v>
      </c>
      <c r="AP78" s="74" t="e">
        <f t="array" ref="AP78">_xlfn.STDEV.P(IF($E$5:$E$27=$E77,AP$5:AP$27))</f>
        <v>#DIV/0!</v>
      </c>
      <c r="AQ78" s="74" t="e">
        <f t="array" ref="AQ78">_xlfn.STDEV.P(IF($E$5:$E$27=$E77,AQ$5:AQ$27))</f>
        <v>#DIV/0!</v>
      </c>
      <c r="AR78" s="74" t="e">
        <f t="array" ref="AR78">_xlfn.STDEV.P(IF($E$5:$E$27=$E77,AR$5:AR$27))</f>
        <v>#DIV/0!</v>
      </c>
      <c r="AS78" s="74" t="e">
        <f t="array" ref="AS78">_xlfn.STDEV.P(IF($E$5:$E$27=$E77,AS$5:AS$27))</f>
        <v>#DIV/0!</v>
      </c>
      <c r="AT78" s="74" t="e">
        <f t="array" ref="AT78">_xlfn.STDEV.P(IF($E$5:$E$27=$E77,AT$5:AT$27))</f>
        <v>#DIV/0!</v>
      </c>
      <c r="AU78" s="74" t="e">
        <f t="array" ref="AU78">_xlfn.STDEV.P(IF($E$5:$E$27=$E77,AU$5:AU$27))</f>
        <v>#DIV/0!</v>
      </c>
      <c r="AV78" s="74" t="e">
        <f t="array" ref="AV78">_xlfn.STDEV.P(IF($E$5:$E$27=$E77,AV$5:AV$27))</f>
        <v>#DIV/0!</v>
      </c>
      <c r="AW78" s="74" t="e">
        <f t="array" ref="AW78">_xlfn.STDEV.P(IF($E$5:$E$27=$E77,AW$5:AW$27))</f>
        <v>#DIV/0!</v>
      </c>
      <c r="AX78" s="74" t="e">
        <f t="array" ref="AX78">_xlfn.STDEV.P(IF($E$5:$E$27=$E77,AX$5:AX$27))</f>
        <v>#DIV/0!</v>
      </c>
      <c r="AY78" s="74" t="e">
        <f t="array" ref="AY78">_xlfn.STDEV.P(IF($E$5:$E$27=$E77,AY$5:AY$27))</f>
        <v>#DIV/0!</v>
      </c>
      <c r="AZ78" s="74" t="e">
        <f t="array" ref="AZ78">_xlfn.STDEV.P(IF($E$5:$E$27=$E77,AZ$5:AZ$27))</f>
        <v>#DIV/0!</v>
      </c>
      <c r="BA78" s="74" t="e">
        <f t="array" ref="BA78">_xlfn.STDEV.P(IF($E$5:$E$27=$E77,BA$5:BA$27))</f>
        <v>#DIV/0!</v>
      </c>
      <c r="BB78" s="74" t="e">
        <f t="array" ref="BB78">_xlfn.STDEV.P(IF($E$5:$E$27=$E77,BB$5:BB$27))</f>
        <v>#DIV/0!</v>
      </c>
      <c r="BC78" s="74" t="e">
        <f t="array" ref="BC78">_xlfn.STDEV.P(IF($E$5:$E$27=$E77,BC$5:BC$27))</f>
        <v>#DIV/0!</v>
      </c>
      <c r="BD78" s="74" t="e">
        <f t="array" ref="BD78">_xlfn.STDEV.P(IF($E$5:$E$27=$E77,BD$5:BD$27))</f>
        <v>#DIV/0!</v>
      </c>
      <c r="BE78" s="74" t="e">
        <f t="array" ref="BE78">_xlfn.STDEV.P(IF($E$5:$E$27=$E77,BE$5:BE$27))</f>
        <v>#DIV/0!</v>
      </c>
      <c r="BF78" s="74" t="e">
        <f t="array" ref="BF78">_xlfn.STDEV.P(IF($E$5:$E$27=$E77,BF$5:BF$27))</f>
        <v>#DIV/0!</v>
      </c>
      <c r="BG78" s="74" t="e">
        <f t="array" ref="BG78">_xlfn.STDEV.P(IF($E$5:$E$27=$E77,BG$5:BG$27))</f>
        <v>#DIV/0!</v>
      </c>
      <c r="BH78" s="74" t="e">
        <f t="array" ref="BH78">_xlfn.STDEV.P(IF($E$5:$E$27=$E77,BH$5:BH$27))</f>
        <v>#DIV/0!</v>
      </c>
      <c r="BI78" s="74" t="e">
        <f t="array" ref="BI78">_xlfn.STDEV.P(IF($E$5:$E$27=$E77,BI$5:BI$27))</f>
        <v>#DIV/0!</v>
      </c>
      <c r="BJ78" s="74" t="e">
        <f t="array" ref="BJ78">_xlfn.STDEV.P(IF($E$5:$E$27=$E77,BJ$5:BJ$27))</f>
        <v>#DIV/0!</v>
      </c>
      <c r="BK78" s="74" t="e">
        <f t="array" ref="BK78">_xlfn.STDEV.P(IF($E$5:$E$27=$E77,BK$5:BK$27))</f>
        <v>#DIV/0!</v>
      </c>
      <c r="BL78" s="74" t="e">
        <f t="array" ref="BL78">_xlfn.STDEV.P(IF($E$5:$E$27=$E77,BL$5:BL$27))</f>
        <v>#DIV/0!</v>
      </c>
      <c r="BM78" s="74" t="e">
        <f t="array" ref="BM78">_xlfn.STDEV.P(IF($E$5:$E$27=$E77,BM$5:BM$27))</f>
        <v>#DIV/0!</v>
      </c>
      <c r="BN78" s="74" t="e">
        <f t="array" ref="BN78">_xlfn.STDEV.P(IF($E$5:$E$27=$E77,BN$5:BN$27))</f>
        <v>#DIV/0!</v>
      </c>
      <c r="BO78" s="74" t="e">
        <f t="array" ref="BO78">_xlfn.STDEV.P(IF($E$5:$E$27=$E77,BO$5:BO$27))</f>
        <v>#DIV/0!</v>
      </c>
      <c r="BP78" s="74" t="e">
        <f t="array" ref="BP78">_xlfn.STDEV.P(IF($E$5:$E$27=$E77,BP$5:BP$27))</f>
        <v>#DIV/0!</v>
      </c>
      <c r="BQ78" s="94" t="s">
        <v>11</v>
      </c>
      <c r="BR78" s="67" t="e">
        <f t="array" ref="BR78">_xlfn.STDEV.P(IF($E$5:$E$27=$E77,BR$5:BR$27))</f>
        <v>#DIV/0!</v>
      </c>
      <c r="BS78" s="67" t="e">
        <f t="array" ref="BS78">_xlfn.STDEV.P(IF($E$5:$E$27=$E77,BS$5:BS$27))</f>
        <v>#DIV/0!</v>
      </c>
      <c r="BT78" s="67" t="e">
        <f t="array" ref="BT78">_xlfn.STDEV.P(IF($E$5:$E$27=$E77,BT$5:BT$27))</f>
        <v>#DIV/0!</v>
      </c>
      <c r="BU78" s="67" t="e">
        <f t="array" ref="BU78">_xlfn.STDEV.P(IF($E$5:$E$27=$E77,BU$5:BU$27))</f>
        <v>#DIV/0!</v>
      </c>
      <c r="BV78" s="67" t="e">
        <f t="array" ref="BV78">_xlfn.STDEV.P(IF($E$5:$E$27=$E77,BV$5:BV$27))</f>
        <v>#DIV/0!</v>
      </c>
      <c r="BW78" s="67" t="e">
        <f t="array" ref="BW78">_xlfn.STDEV.P(IF($E$5:$E$27=$E77,BW$5:BW$27))</f>
        <v>#DIV/0!</v>
      </c>
      <c r="BX78" s="67" t="e">
        <f t="array" ref="BX78">_xlfn.STDEV.P(IF($E$5:$E$27=$E77,BX$5:BX$27))</f>
        <v>#DIV/0!</v>
      </c>
      <c r="BY78" s="67" t="e">
        <f t="array" ref="BY78">_xlfn.STDEV.P(IF($E$5:$E$27=$E77,BY$5:BY$27))</f>
        <v>#DIV/0!</v>
      </c>
      <c r="BZ78" s="67" t="e">
        <f t="array" ref="BZ78">_xlfn.STDEV.P(IF($E$5:$E$27=$E77,BZ$5:BZ$27))</f>
        <v>#DIV/0!</v>
      </c>
      <c r="CA78" s="67" t="e">
        <f t="array" ref="CA78">_xlfn.STDEV.P(IF($E$5:$E$27=$E77,CA$5:CA$27))</f>
        <v>#DIV/0!</v>
      </c>
      <c r="CB78" s="67" t="e">
        <f t="array" ref="CB78">_xlfn.STDEV.P(IF($E$5:$E$27=$E77,CB$5:CB$27))</f>
        <v>#DIV/0!</v>
      </c>
      <c r="CC78" s="67" t="e">
        <f t="array" ref="CC78">_xlfn.STDEV.P(IF($E$5:$E$27=$E77,CC$5:CC$27))</f>
        <v>#DIV/0!</v>
      </c>
      <c r="CD78" s="67" t="e">
        <f t="array" ref="CD78">_xlfn.STDEV.P(IF($E$5:$E$27=$E77,CD$5:CD$27))</f>
        <v>#DIV/0!</v>
      </c>
      <c r="CE78" s="67" t="e">
        <f t="array" ref="CE78">_xlfn.STDEV.P(IF($E$5:$E$27=$E77,CE$5:CE$27))</f>
        <v>#DIV/0!</v>
      </c>
      <c r="CF78" s="67" t="e">
        <f t="array" ref="CF78">_xlfn.STDEV.P(IF($E$5:$E$27=$E77,CF$5:CF$27))</f>
        <v>#DIV/0!</v>
      </c>
      <c r="CG78" s="67" t="e">
        <f t="array" ref="CG78">_xlfn.STDEV.P(IF($E$5:$E$27=$E77,CG$5:CG$27))</f>
        <v>#DIV/0!</v>
      </c>
      <c r="CH78" s="67" t="e">
        <f t="array" ref="CH78">_xlfn.STDEV.P(IF($E$5:$E$27=$E77,CH$5:CH$27))</f>
        <v>#DIV/0!</v>
      </c>
      <c r="CI78" s="67" t="e">
        <f t="array" ref="CI78">_xlfn.STDEV.P(IF($E$5:$E$27=$E77,CI$5:CI$27))</f>
        <v>#DIV/0!</v>
      </c>
      <c r="CJ78" s="67" t="e">
        <f t="array" ref="CJ78">_xlfn.STDEV.P(IF($E$5:$E$27=$E77,CJ$5:CJ$27))</f>
        <v>#DIV/0!</v>
      </c>
      <c r="CK78" s="67" t="e">
        <f t="array" ref="CK78">_xlfn.STDEV.P(IF($E$5:$E$27=$E77,CK$5:CK$27))</f>
        <v>#DIV/0!</v>
      </c>
      <c r="CL78" s="67" t="e">
        <f t="array" ref="CL78">_xlfn.STDEV.P(IF($E$5:$E$27=$E77,CL$5:CL$27))</f>
        <v>#DIV/0!</v>
      </c>
      <c r="CM78" s="67" t="e">
        <f t="array" ref="CM78">_xlfn.STDEV.P(IF($E$5:$E$27=$E77,CM$5:CM$27))</f>
        <v>#DIV/0!</v>
      </c>
      <c r="CN78" s="67" t="e">
        <f t="array" ref="CN78">_xlfn.STDEV.P(IF($E$5:$E$27=$E77,CN$5:CN$27))</f>
        <v>#DIV/0!</v>
      </c>
      <c r="CO78" s="67" t="e">
        <f t="array" ref="CO78">_xlfn.STDEV.P(IF($E$5:$E$27=$E77,CO$5:CO$27))</f>
        <v>#DIV/0!</v>
      </c>
      <c r="CP78" s="67" t="e">
        <f t="array" ref="CP78">_xlfn.STDEV.P(IF($E$5:$E$27=$E77,CP$5:CP$27))</f>
        <v>#DIV/0!</v>
      </c>
      <c r="CQ78" s="67" t="e">
        <f t="array" ref="CQ78">_xlfn.STDEV.P(IF($E$5:$E$27=$E77,CQ$5:CQ$27))</f>
        <v>#DIV/0!</v>
      </c>
      <c r="CR78" s="67" t="e">
        <f t="array" ref="CR78">_xlfn.STDEV.P(IF($E$5:$E$27=$E77,CR$5:CR$27))</f>
        <v>#DIV/0!</v>
      </c>
      <c r="CS78" s="67" t="e">
        <f t="array" ref="CS78">_xlfn.STDEV.P(IF($E$5:$E$27=$E77,CS$5:CS$27))</f>
        <v>#DIV/0!</v>
      </c>
      <c r="CT78" s="67" t="e">
        <f t="array" ref="CT78">_xlfn.STDEV.P(IF($E$5:$E$27=$E77,CT$5:CT$27))</f>
        <v>#DIV/0!</v>
      </c>
      <c r="CU78" s="67" t="e">
        <f t="array" ref="CU78">_xlfn.STDEV.P(IF($E$5:$E$27=$E77,CU$5:CU$27))</f>
        <v>#DIV/0!</v>
      </c>
      <c r="CV78" s="67" t="e">
        <f t="array" ref="CV78">_xlfn.STDEV.P(IF($E$5:$E$27=$E77,CV$5:CV$27))</f>
        <v>#DIV/0!</v>
      </c>
      <c r="CW78" s="67" t="e">
        <f t="array" ref="CW78">_xlfn.STDEV.P(IF($E$5:$E$27=$E77,CW$5:CW$27))</f>
        <v>#DIV/0!</v>
      </c>
      <c r="CX78" s="67" t="e">
        <f t="array" ref="CX78">_xlfn.STDEV.P(IF($E$5:$E$27=$E77,CX$5:CX$27))</f>
        <v>#DIV/0!</v>
      </c>
      <c r="CY78" s="67" t="e">
        <f t="array" ref="CY78">_xlfn.STDEV.P(IF($E$5:$E$27=$E77,CY$5:CY$27))</f>
        <v>#DIV/0!</v>
      </c>
      <c r="CZ78" s="67" t="e">
        <f t="array" ref="CZ78">_xlfn.STDEV.P(IF($E$5:$E$27=$E77,CZ$5:CZ$27))</f>
        <v>#DIV/0!</v>
      </c>
      <c r="DA78" s="67" t="e">
        <f t="array" ref="DA78">_xlfn.STDEV.P(IF($E$5:$E$27=$E77,DA$5:DA$27))</f>
        <v>#DIV/0!</v>
      </c>
      <c r="DB78" s="67" t="e">
        <f t="array" ref="DB78">_xlfn.STDEV.P(IF($E$5:$E$27=$E77,DB$5:DB$27))</f>
        <v>#DIV/0!</v>
      </c>
      <c r="DC78" s="67" t="e">
        <f t="array" ref="DC78">_xlfn.STDEV.P(IF($E$5:$E$27=$E77,DC$5:DC$27))</f>
        <v>#DIV/0!</v>
      </c>
      <c r="DD78" s="67" t="e">
        <f t="array" ref="DD78">_xlfn.STDEV.P(IF($E$5:$E$27=$E77,DD$5:DD$27))</f>
        <v>#DIV/0!</v>
      </c>
      <c r="DE78" s="67" t="e">
        <f t="array" ref="DE78">_xlfn.STDEV.P(IF($E$5:$E$27=$E77,DE$5:DE$27))</f>
        <v>#DIV/0!</v>
      </c>
      <c r="DF78" s="67" t="e">
        <f t="array" ref="DF78">_xlfn.STDEV.P(IF($E$5:$E$27=$E77,DF$5:DF$27))</f>
        <v>#DIV/0!</v>
      </c>
      <c r="DG78" s="67" t="e">
        <f t="array" ref="DG78">_xlfn.STDEV.P(IF($E$5:$E$27=$E77,DG$5:DG$27))</f>
        <v>#DIV/0!</v>
      </c>
      <c r="DH78" s="67" t="e">
        <f t="array" ref="DH78">_xlfn.STDEV.P(IF($E$5:$E$27=$E77,DH$5:DH$27))</f>
        <v>#DIV/0!</v>
      </c>
      <c r="DI78" s="67" t="e">
        <f t="array" ref="DI78">_xlfn.STDEV.P(IF($E$5:$E$27=$E77,DI$5:DI$27))</f>
        <v>#DIV/0!</v>
      </c>
      <c r="DJ78" s="67" t="e">
        <f t="array" ref="DJ78">_xlfn.STDEV.P(IF($E$5:$E$27=$E77,DJ$5:DJ$27))</f>
        <v>#DIV/0!</v>
      </c>
      <c r="DK78" s="67" t="e">
        <f t="array" ref="DK78">_xlfn.STDEV.P(IF($E$5:$E$27=$E77,DK$5:DK$27))</f>
        <v>#DIV/0!</v>
      </c>
    </row>
    <row r="79" spans="1:115">
      <c r="K79" s="50"/>
      <c r="L79" s="50"/>
      <c r="P79" s="50"/>
      <c r="Q79" s="50"/>
      <c r="R79" s="50"/>
      <c r="S79" s="227"/>
      <c r="T79" s="227"/>
      <c r="U79" s="50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DF79" s="37"/>
      <c r="DG79" s="37"/>
      <c r="DH79" s="37"/>
      <c r="DI79" s="37"/>
      <c r="DJ79" s="37"/>
      <c r="DK79" s="37"/>
    </row>
    <row r="80" spans="1:115" ht="14.25" customHeight="1">
      <c r="A80" s="103"/>
      <c r="E80" s="108" t="str">
        <f>'NAB_PTX Groups'!C20</f>
        <v>Group 15</v>
      </c>
      <c r="I80" s="108" t="str">
        <f>E80</f>
        <v>Group 15</v>
      </c>
      <c r="J80" s="97" t="e">
        <f>AVERAGEIF($E$5:$E$27,$E80,J$5:J$27)</f>
        <v>#DIV/0!</v>
      </c>
      <c r="K80" s="97"/>
      <c r="L80" s="97"/>
      <c r="M80" s="97" t="e">
        <f t="shared" ref="M80:R80" si="115">AVERAGEIF($E$5:$E$27,$E80,M$5:M$27)</f>
        <v>#DIV/0!</v>
      </c>
      <c r="N80" s="97" t="e">
        <f t="shared" si="115"/>
        <v>#DIV/0!</v>
      </c>
      <c r="O80" s="97" t="e">
        <f t="shared" si="115"/>
        <v>#DIV/0!</v>
      </c>
      <c r="P80" s="97" t="e">
        <f t="shared" si="115"/>
        <v>#DIV/0!</v>
      </c>
      <c r="Q80" s="97" t="e">
        <f t="shared" si="115"/>
        <v>#DIV/0!</v>
      </c>
      <c r="R80" s="97" t="e">
        <f t="shared" si="115"/>
        <v>#DIV/0!</v>
      </c>
      <c r="S80" s="228"/>
      <c r="T80" s="228" t="e">
        <f>AVERAGEIF($E$5:$E$27,$E80,T$5:T$27)</f>
        <v>#DIV/0!</v>
      </c>
      <c r="U80" s="97" t="e">
        <f>AVERAGEIF($E$5:$E$27,$E80,U$5:U$27)</f>
        <v>#DIV/0!</v>
      </c>
      <c r="V80" s="65" t="s">
        <v>9</v>
      </c>
      <c r="W80" s="71" t="e">
        <f t="shared" ref="W80:BP80" si="116">AVERAGEIF($E$5:$E$27,$E80,W$5:W$27)</f>
        <v>#DIV/0!</v>
      </c>
      <c r="X80" s="71" t="e">
        <f t="shared" si="116"/>
        <v>#DIV/0!</v>
      </c>
      <c r="Y80" s="71" t="e">
        <f t="shared" si="116"/>
        <v>#DIV/0!</v>
      </c>
      <c r="Z80" s="71" t="e">
        <f t="shared" si="116"/>
        <v>#DIV/0!</v>
      </c>
      <c r="AA80" s="71" t="e">
        <f t="shared" si="116"/>
        <v>#DIV/0!</v>
      </c>
      <c r="AB80" s="71" t="e">
        <f t="shared" si="116"/>
        <v>#DIV/0!</v>
      </c>
      <c r="AC80" s="71" t="e">
        <f t="shared" si="116"/>
        <v>#DIV/0!</v>
      </c>
      <c r="AD80" s="71" t="e">
        <f t="shared" si="116"/>
        <v>#DIV/0!</v>
      </c>
      <c r="AE80" s="71" t="e">
        <f t="shared" si="116"/>
        <v>#DIV/0!</v>
      </c>
      <c r="AF80" s="71" t="e">
        <f t="shared" si="116"/>
        <v>#DIV/0!</v>
      </c>
      <c r="AG80" s="71" t="e">
        <f t="shared" si="116"/>
        <v>#DIV/0!</v>
      </c>
      <c r="AH80" s="71" t="e">
        <f t="shared" si="116"/>
        <v>#DIV/0!</v>
      </c>
      <c r="AI80" s="71" t="e">
        <f t="shared" si="116"/>
        <v>#DIV/0!</v>
      </c>
      <c r="AJ80" s="71" t="e">
        <f t="shared" si="116"/>
        <v>#DIV/0!</v>
      </c>
      <c r="AK80" s="71" t="e">
        <f t="shared" si="116"/>
        <v>#DIV/0!</v>
      </c>
      <c r="AL80" s="71" t="e">
        <f t="shared" si="116"/>
        <v>#DIV/0!</v>
      </c>
      <c r="AM80" s="71" t="e">
        <f t="shared" si="116"/>
        <v>#DIV/0!</v>
      </c>
      <c r="AN80" s="71" t="e">
        <f t="shared" si="116"/>
        <v>#DIV/0!</v>
      </c>
      <c r="AO80" s="71" t="e">
        <f t="shared" si="116"/>
        <v>#DIV/0!</v>
      </c>
      <c r="AP80" s="71" t="e">
        <f t="shared" si="116"/>
        <v>#DIV/0!</v>
      </c>
      <c r="AQ80" s="71" t="e">
        <f t="shared" si="116"/>
        <v>#DIV/0!</v>
      </c>
      <c r="AR80" s="71" t="e">
        <f t="shared" si="116"/>
        <v>#DIV/0!</v>
      </c>
      <c r="AS80" s="71" t="e">
        <f t="shared" si="116"/>
        <v>#DIV/0!</v>
      </c>
      <c r="AT80" s="71" t="e">
        <f t="shared" si="116"/>
        <v>#DIV/0!</v>
      </c>
      <c r="AU80" s="71" t="e">
        <f t="shared" si="116"/>
        <v>#DIV/0!</v>
      </c>
      <c r="AV80" s="71" t="e">
        <f t="shared" si="116"/>
        <v>#DIV/0!</v>
      </c>
      <c r="AW80" s="71" t="e">
        <f t="shared" si="116"/>
        <v>#DIV/0!</v>
      </c>
      <c r="AX80" s="71" t="e">
        <f t="shared" si="116"/>
        <v>#DIV/0!</v>
      </c>
      <c r="AY80" s="71" t="e">
        <f t="shared" si="116"/>
        <v>#DIV/0!</v>
      </c>
      <c r="AZ80" s="71" t="e">
        <f t="shared" si="116"/>
        <v>#DIV/0!</v>
      </c>
      <c r="BA80" s="71" t="e">
        <f t="shared" si="116"/>
        <v>#DIV/0!</v>
      </c>
      <c r="BB80" s="71" t="e">
        <f t="shared" si="116"/>
        <v>#DIV/0!</v>
      </c>
      <c r="BC80" s="71" t="e">
        <f t="shared" si="116"/>
        <v>#DIV/0!</v>
      </c>
      <c r="BD80" s="71" t="e">
        <f t="shared" si="116"/>
        <v>#DIV/0!</v>
      </c>
      <c r="BE80" s="71" t="e">
        <f t="shared" si="116"/>
        <v>#DIV/0!</v>
      </c>
      <c r="BF80" s="71" t="e">
        <f t="shared" si="116"/>
        <v>#DIV/0!</v>
      </c>
      <c r="BG80" s="71" t="e">
        <f t="shared" si="116"/>
        <v>#DIV/0!</v>
      </c>
      <c r="BH80" s="71" t="e">
        <f t="shared" si="116"/>
        <v>#DIV/0!</v>
      </c>
      <c r="BI80" s="71" t="e">
        <f t="shared" si="116"/>
        <v>#DIV/0!</v>
      </c>
      <c r="BJ80" s="71" t="e">
        <f t="shared" si="116"/>
        <v>#DIV/0!</v>
      </c>
      <c r="BK80" s="71" t="e">
        <f t="shared" si="116"/>
        <v>#DIV/0!</v>
      </c>
      <c r="BL80" s="71" t="e">
        <f t="shared" si="116"/>
        <v>#DIV/0!</v>
      </c>
      <c r="BM80" s="71" t="e">
        <f t="shared" si="116"/>
        <v>#DIV/0!</v>
      </c>
      <c r="BN80" s="71" t="e">
        <f t="shared" si="116"/>
        <v>#DIV/0!</v>
      </c>
      <c r="BO80" s="71" t="e">
        <f t="shared" si="116"/>
        <v>#DIV/0!</v>
      </c>
      <c r="BP80" s="71" t="e">
        <f t="shared" si="116"/>
        <v>#DIV/0!</v>
      </c>
      <c r="BQ80" s="93" t="s">
        <v>9</v>
      </c>
      <c r="BR80" s="66" t="e">
        <f t="shared" ref="BR80:DK80" si="117">AVERAGEIF($E$5:$E$27,$E80,BR$5:BR$27)</f>
        <v>#DIV/0!</v>
      </c>
      <c r="BS80" s="66" t="e">
        <f t="shared" si="117"/>
        <v>#DIV/0!</v>
      </c>
      <c r="BT80" s="66" t="e">
        <f t="shared" si="117"/>
        <v>#DIV/0!</v>
      </c>
      <c r="BU80" s="66" t="e">
        <f t="shared" si="117"/>
        <v>#DIV/0!</v>
      </c>
      <c r="BV80" s="66" t="e">
        <f t="shared" si="117"/>
        <v>#DIV/0!</v>
      </c>
      <c r="BW80" s="66" t="e">
        <f t="shared" si="117"/>
        <v>#DIV/0!</v>
      </c>
      <c r="BX80" s="66" t="e">
        <f t="shared" si="117"/>
        <v>#DIV/0!</v>
      </c>
      <c r="BY80" s="66" t="e">
        <f t="shared" si="117"/>
        <v>#DIV/0!</v>
      </c>
      <c r="BZ80" s="66" t="e">
        <f t="shared" si="117"/>
        <v>#DIV/0!</v>
      </c>
      <c r="CA80" s="66" t="e">
        <f t="shared" si="117"/>
        <v>#DIV/0!</v>
      </c>
      <c r="CB80" s="66" t="e">
        <f t="shared" si="117"/>
        <v>#DIV/0!</v>
      </c>
      <c r="CC80" s="66" t="e">
        <f t="shared" si="117"/>
        <v>#DIV/0!</v>
      </c>
      <c r="CD80" s="66" t="e">
        <f t="shared" si="117"/>
        <v>#DIV/0!</v>
      </c>
      <c r="CE80" s="66" t="e">
        <f t="shared" si="117"/>
        <v>#DIV/0!</v>
      </c>
      <c r="CF80" s="66" t="e">
        <f t="shared" si="117"/>
        <v>#DIV/0!</v>
      </c>
      <c r="CG80" s="66" t="e">
        <f t="shared" si="117"/>
        <v>#DIV/0!</v>
      </c>
      <c r="CH80" s="66" t="e">
        <f t="shared" si="117"/>
        <v>#DIV/0!</v>
      </c>
      <c r="CI80" s="66" t="e">
        <f t="shared" si="117"/>
        <v>#DIV/0!</v>
      </c>
      <c r="CJ80" s="66" t="e">
        <f t="shared" si="117"/>
        <v>#DIV/0!</v>
      </c>
      <c r="CK80" s="66" t="e">
        <f t="shared" si="117"/>
        <v>#DIV/0!</v>
      </c>
      <c r="CL80" s="66" t="e">
        <f t="shared" si="117"/>
        <v>#DIV/0!</v>
      </c>
      <c r="CM80" s="66" t="e">
        <f t="shared" si="117"/>
        <v>#DIV/0!</v>
      </c>
      <c r="CN80" s="66" t="e">
        <f t="shared" si="117"/>
        <v>#DIV/0!</v>
      </c>
      <c r="CO80" s="66" t="e">
        <f t="shared" si="117"/>
        <v>#DIV/0!</v>
      </c>
      <c r="CP80" s="66" t="e">
        <f t="shared" si="117"/>
        <v>#DIV/0!</v>
      </c>
      <c r="CQ80" s="66" t="e">
        <f t="shared" si="117"/>
        <v>#DIV/0!</v>
      </c>
      <c r="CR80" s="66" t="e">
        <f t="shared" si="117"/>
        <v>#DIV/0!</v>
      </c>
      <c r="CS80" s="66" t="e">
        <f t="shared" si="117"/>
        <v>#DIV/0!</v>
      </c>
      <c r="CT80" s="66" t="e">
        <f t="shared" si="117"/>
        <v>#DIV/0!</v>
      </c>
      <c r="CU80" s="66" t="e">
        <f t="shared" si="117"/>
        <v>#DIV/0!</v>
      </c>
      <c r="CV80" s="66" t="e">
        <f t="shared" si="117"/>
        <v>#DIV/0!</v>
      </c>
      <c r="CW80" s="66" t="e">
        <f t="shared" si="117"/>
        <v>#DIV/0!</v>
      </c>
      <c r="CX80" s="66" t="e">
        <f t="shared" si="117"/>
        <v>#DIV/0!</v>
      </c>
      <c r="CY80" s="66" t="e">
        <f t="shared" si="117"/>
        <v>#DIV/0!</v>
      </c>
      <c r="CZ80" s="66" t="e">
        <f t="shared" si="117"/>
        <v>#DIV/0!</v>
      </c>
      <c r="DA80" s="66" t="e">
        <f t="shared" si="117"/>
        <v>#DIV/0!</v>
      </c>
      <c r="DB80" s="66" t="e">
        <f t="shared" si="117"/>
        <v>#DIV/0!</v>
      </c>
      <c r="DC80" s="66" t="e">
        <f t="shared" si="117"/>
        <v>#DIV/0!</v>
      </c>
      <c r="DD80" s="66" t="e">
        <f t="shared" si="117"/>
        <v>#DIV/0!</v>
      </c>
      <c r="DE80" s="66" t="e">
        <f t="shared" si="117"/>
        <v>#DIV/0!</v>
      </c>
      <c r="DF80" s="66" t="e">
        <f t="shared" si="117"/>
        <v>#DIV/0!</v>
      </c>
      <c r="DG80" s="66" t="e">
        <f t="shared" si="117"/>
        <v>#DIV/0!</v>
      </c>
      <c r="DH80" s="66" t="e">
        <f t="shared" si="117"/>
        <v>#DIV/0!</v>
      </c>
      <c r="DI80" s="66" t="e">
        <f t="shared" si="117"/>
        <v>#DIV/0!</v>
      </c>
      <c r="DJ80" s="66" t="e">
        <f t="shared" si="117"/>
        <v>#DIV/0!</v>
      </c>
      <c r="DK80" s="66" t="e">
        <f t="shared" si="117"/>
        <v>#DIV/0!</v>
      </c>
    </row>
    <row r="81" spans="1:115" ht="14.25" customHeight="1">
      <c r="A81" s="103"/>
      <c r="E81" s="83"/>
      <c r="I81" s="83"/>
      <c r="J81" s="97" t="e">
        <f t="array" ref="J81">_xlfn.STDEV.P(IF($E$5:$E$27=$E80,J$5:J$27))</f>
        <v>#DIV/0!</v>
      </c>
      <c r="K81" s="97"/>
      <c r="L81" s="97"/>
      <c r="M81" s="97" t="e">
        <f t="array" ref="M81">_xlfn.STDEV.P(IF($E$5:$E$27=$E80,M$5:M$27))</f>
        <v>#DIV/0!</v>
      </c>
      <c r="N81" s="97" t="e">
        <f t="array" ref="N81">_xlfn.STDEV.P(IF($E$5:$E$27=$E80,N$5:N$27))</f>
        <v>#DIV/0!</v>
      </c>
      <c r="O81" s="97" t="e">
        <f t="array" ref="O81">_xlfn.STDEV.P(IF($E$5:$E$27=$E80,O$5:O$27))</f>
        <v>#DIV/0!</v>
      </c>
      <c r="P81" s="97" t="e">
        <f t="array" ref="P81">_xlfn.STDEV.P(IF($E$5:$E$27=$E80,P$5:P$27))</f>
        <v>#DIV/0!</v>
      </c>
      <c r="Q81" s="97" t="e">
        <f t="array" ref="Q81">_xlfn.STDEV.P(IF($E$5:$E$27=$E80,Q$5:Q$27))</f>
        <v>#DIV/0!</v>
      </c>
      <c r="R81" s="97" t="e">
        <f t="array" ref="R81">_xlfn.STDEV.P(IF($E$5:$E$27=$E80,R$5:R$27))</f>
        <v>#DIV/0!</v>
      </c>
      <c r="S81" s="228"/>
      <c r="T81" s="228" t="e">
        <f t="array" ref="T81">_xlfn.STDEV.P(IF($E$5:$E$27=$E80,T$5:T$27))</f>
        <v>#DIV/0!</v>
      </c>
      <c r="U81" s="97" t="e">
        <f t="array" ref="U81">_xlfn.STDEV.P(IF($E$5:$E$27=$E80,U$5:U$27))</f>
        <v>#DIV/0!</v>
      </c>
      <c r="V81" s="65" t="s">
        <v>11</v>
      </c>
      <c r="W81" s="74" t="e">
        <f t="array" ref="W81">_xlfn.STDEV.P(IF($E$5:$E$27=$E80,W$5:W$27))</f>
        <v>#DIV/0!</v>
      </c>
      <c r="X81" s="74" t="e">
        <f t="array" ref="X81">_xlfn.STDEV.P(IF($E$5:$E$27=$E80,X$5:X$27))</f>
        <v>#DIV/0!</v>
      </c>
      <c r="Y81" s="74" t="e">
        <f t="array" ref="Y81">_xlfn.STDEV.P(IF($E$5:$E$27=$E80,Y$5:Y$27))</f>
        <v>#DIV/0!</v>
      </c>
      <c r="Z81" s="74" t="e">
        <f t="array" ref="Z81">_xlfn.STDEV.P(IF($E$5:$E$27=$E80,Z$5:Z$27))</f>
        <v>#DIV/0!</v>
      </c>
      <c r="AA81" s="74" t="e">
        <f t="array" ref="AA81">_xlfn.STDEV.P(IF($E$5:$E$27=$E80,AA$5:AA$27))</f>
        <v>#DIV/0!</v>
      </c>
      <c r="AB81" s="74" t="e">
        <f t="array" ref="AB81">_xlfn.STDEV.P(IF($E$5:$E$27=$E80,AB$5:AB$27))</f>
        <v>#DIV/0!</v>
      </c>
      <c r="AC81" s="74" t="e">
        <f t="array" ref="AC81">_xlfn.STDEV.P(IF($E$5:$E$27=$E80,AC$5:AC$27))</f>
        <v>#DIV/0!</v>
      </c>
      <c r="AD81" s="74" t="e">
        <f t="array" ref="AD81">_xlfn.STDEV.P(IF($E$5:$E$27=$E80,AD$5:AD$27))</f>
        <v>#DIV/0!</v>
      </c>
      <c r="AE81" s="74" t="e">
        <f t="array" ref="AE81">_xlfn.STDEV.P(IF($E$5:$E$27=$E80,AE$5:AE$27))</f>
        <v>#DIV/0!</v>
      </c>
      <c r="AF81" s="74" t="e">
        <f t="array" ref="AF81">_xlfn.STDEV.P(IF($E$5:$E$27=$E80,AF$5:AF$27))</f>
        <v>#DIV/0!</v>
      </c>
      <c r="AG81" s="74" t="e">
        <f t="array" ref="AG81">_xlfn.STDEV.P(IF($E$5:$E$27=$E80,AG$5:AG$27))</f>
        <v>#DIV/0!</v>
      </c>
      <c r="AH81" s="74" t="e">
        <f t="array" ref="AH81">_xlfn.STDEV.P(IF($E$5:$E$27=$E80,AH$5:AH$27))</f>
        <v>#DIV/0!</v>
      </c>
      <c r="AI81" s="74" t="e">
        <f t="array" ref="AI81">_xlfn.STDEV.P(IF($E$5:$E$27=$E80,AI$5:AI$27))</f>
        <v>#DIV/0!</v>
      </c>
      <c r="AJ81" s="74" t="e">
        <f t="array" ref="AJ81">_xlfn.STDEV.P(IF($E$5:$E$27=$E80,AJ$5:AJ$27))</f>
        <v>#DIV/0!</v>
      </c>
      <c r="AK81" s="74" t="e">
        <f t="array" ref="AK81">_xlfn.STDEV.P(IF($E$5:$E$27=$E80,AK$5:AK$27))</f>
        <v>#DIV/0!</v>
      </c>
      <c r="AL81" s="74" t="e">
        <f t="array" ref="AL81">_xlfn.STDEV.P(IF($E$5:$E$27=$E80,AL$5:AL$27))</f>
        <v>#DIV/0!</v>
      </c>
      <c r="AM81" s="74" t="e">
        <f t="array" ref="AM81">_xlfn.STDEV.P(IF($E$5:$E$27=$E80,AM$5:AM$27))</f>
        <v>#DIV/0!</v>
      </c>
      <c r="AN81" s="74" t="e">
        <f t="array" ref="AN81">_xlfn.STDEV.P(IF($E$5:$E$27=$E80,AN$5:AN$27))</f>
        <v>#DIV/0!</v>
      </c>
      <c r="AO81" s="74" t="e">
        <f t="array" ref="AO81">_xlfn.STDEV.P(IF($E$5:$E$27=$E80,AO$5:AO$27))</f>
        <v>#DIV/0!</v>
      </c>
      <c r="AP81" s="74" t="e">
        <f t="array" ref="AP81">_xlfn.STDEV.P(IF($E$5:$E$27=$E80,AP$5:AP$27))</f>
        <v>#DIV/0!</v>
      </c>
      <c r="AQ81" s="74" t="e">
        <f t="array" ref="AQ81">_xlfn.STDEV.P(IF($E$5:$E$27=$E80,AQ$5:AQ$27))</f>
        <v>#DIV/0!</v>
      </c>
      <c r="AR81" s="74" t="e">
        <f t="array" ref="AR81">_xlfn.STDEV.P(IF($E$5:$E$27=$E80,AR$5:AR$27))</f>
        <v>#DIV/0!</v>
      </c>
      <c r="AS81" s="74" t="e">
        <f t="array" ref="AS81">_xlfn.STDEV.P(IF($E$5:$E$27=$E80,AS$5:AS$27))</f>
        <v>#DIV/0!</v>
      </c>
      <c r="AT81" s="74" t="e">
        <f t="array" ref="AT81">_xlfn.STDEV.P(IF($E$5:$E$27=$E80,AT$5:AT$27))</f>
        <v>#DIV/0!</v>
      </c>
      <c r="AU81" s="74" t="e">
        <f t="array" ref="AU81">_xlfn.STDEV.P(IF($E$5:$E$27=$E80,AU$5:AU$27))</f>
        <v>#DIV/0!</v>
      </c>
      <c r="AV81" s="74" t="e">
        <f t="array" ref="AV81">_xlfn.STDEV.P(IF($E$5:$E$27=$E80,AV$5:AV$27))</f>
        <v>#DIV/0!</v>
      </c>
      <c r="AW81" s="74" t="e">
        <f t="array" ref="AW81">_xlfn.STDEV.P(IF($E$5:$E$27=$E80,AW$5:AW$27))</f>
        <v>#DIV/0!</v>
      </c>
      <c r="AX81" s="74" t="e">
        <f t="array" ref="AX81">_xlfn.STDEV.P(IF($E$5:$E$27=$E80,AX$5:AX$27))</f>
        <v>#DIV/0!</v>
      </c>
      <c r="AY81" s="74" t="e">
        <f t="array" ref="AY81">_xlfn.STDEV.P(IF($E$5:$E$27=$E80,AY$5:AY$27))</f>
        <v>#DIV/0!</v>
      </c>
      <c r="AZ81" s="74" t="e">
        <f t="array" ref="AZ81">_xlfn.STDEV.P(IF($E$5:$E$27=$E80,AZ$5:AZ$27))</f>
        <v>#DIV/0!</v>
      </c>
      <c r="BA81" s="74" t="e">
        <f t="array" ref="BA81">_xlfn.STDEV.P(IF($E$5:$E$27=$E80,BA$5:BA$27))</f>
        <v>#DIV/0!</v>
      </c>
      <c r="BB81" s="74" t="e">
        <f t="array" ref="BB81">_xlfn.STDEV.P(IF($E$5:$E$27=$E80,BB$5:BB$27))</f>
        <v>#DIV/0!</v>
      </c>
      <c r="BC81" s="74" t="e">
        <f t="array" ref="BC81">_xlfn.STDEV.P(IF($E$5:$E$27=$E80,BC$5:BC$27))</f>
        <v>#DIV/0!</v>
      </c>
      <c r="BD81" s="74" t="e">
        <f t="array" ref="BD81">_xlfn.STDEV.P(IF($E$5:$E$27=$E80,BD$5:BD$27))</f>
        <v>#DIV/0!</v>
      </c>
      <c r="BE81" s="74" t="e">
        <f t="array" ref="BE81">_xlfn.STDEV.P(IF($E$5:$E$27=$E80,BE$5:BE$27))</f>
        <v>#DIV/0!</v>
      </c>
      <c r="BF81" s="74" t="e">
        <f t="array" ref="BF81">_xlfn.STDEV.P(IF($E$5:$E$27=$E80,BF$5:BF$27))</f>
        <v>#DIV/0!</v>
      </c>
      <c r="BG81" s="74" t="e">
        <f t="array" ref="BG81">_xlfn.STDEV.P(IF($E$5:$E$27=$E80,BG$5:BG$27))</f>
        <v>#DIV/0!</v>
      </c>
      <c r="BH81" s="74" t="e">
        <f t="array" ref="BH81">_xlfn.STDEV.P(IF($E$5:$E$27=$E80,BH$5:BH$27))</f>
        <v>#DIV/0!</v>
      </c>
      <c r="BI81" s="74" t="e">
        <f t="array" ref="BI81">_xlfn.STDEV.P(IF($E$5:$E$27=$E80,BI$5:BI$27))</f>
        <v>#DIV/0!</v>
      </c>
      <c r="BJ81" s="74" t="e">
        <f t="array" ref="BJ81">_xlfn.STDEV.P(IF($E$5:$E$27=$E80,BJ$5:BJ$27))</f>
        <v>#DIV/0!</v>
      </c>
      <c r="BK81" s="74" t="e">
        <f t="array" ref="BK81">_xlfn.STDEV.P(IF($E$5:$E$27=$E80,BK$5:BK$27))</f>
        <v>#DIV/0!</v>
      </c>
      <c r="BL81" s="74" t="e">
        <f t="array" ref="BL81">_xlfn.STDEV.P(IF($E$5:$E$27=$E80,BL$5:BL$27))</f>
        <v>#DIV/0!</v>
      </c>
      <c r="BM81" s="74" t="e">
        <f t="array" ref="BM81">_xlfn.STDEV.P(IF($E$5:$E$27=$E80,BM$5:BM$27))</f>
        <v>#DIV/0!</v>
      </c>
      <c r="BN81" s="74" t="e">
        <f t="array" ref="BN81">_xlfn.STDEV.P(IF($E$5:$E$27=$E80,BN$5:BN$27))</f>
        <v>#DIV/0!</v>
      </c>
      <c r="BO81" s="74" t="e">
        <f t="array" ref="BO81">_xlfn.STDEV.P(IF($E$5:$E$27=$E80,BO$5:BO$27))</f>
        <v>#DIV/0!</v>
      </c>
      <c r="BP81" s="74" t="e">
        <f t="array" ref="BP81">_xlfn.STDEV.P(IF($E$5:$E$27=$E80,BP$5:BP$27))</f>
        <v>#DIV/0!</v>
      </c>
      <c r="BQ81" s="94" t="s">
        <v>11</v>
      </c>
      <c r="BR81" s="67" t="e">
        <f t="array" ref="BR81">_xlfn.STDEV.P(IF($E$5:$E$27=$E80,BR$5:BR$27))</f>
        <v>#DIV/0!</v>
      </c>
      <c r="BS81" s="67" t="e">
        <f t="array" ref="BS81">_xlfn.STDEV.P(IF($E$5:$E$27=$E80,BS$5:BS$27))</f>
        <v>#DIV/0!</v>
      </c>
      <c r="BT81" s="67" t="e">
        <f t="array" ref="BT81">_xlfn.STDEV.P(IF($E$5:$E$27=$E80,BT$5:BT$27))</f>
        <v>#DIV/0!</v>
      </c>
      <c r="BU81" s="67" t="e">
        <f t="array" ref="BU81">_xlfn.STDEV.P(IF($E$5:$E$27=$E80,BU$5:BU$27))</f>
        <v>#DIV/0!</v>
      </c>
      <c r="BV81" s="67" t="e">
        <f t="array" ref="BV81">_xlfn.STDEV.P(IF($E$5:$E$27=$E80,BV$5:BV$27))</f>
        <v>#DIV/0!</v>
      </c>
      <c r="BW81" s="67" t="e">
        <f t="array" ref="BW81">_xlfn.STDEV.P(IF($E$5:$E$27=$E80,BW$5:BW$27))</f>
        <v>#DIV/0!</v>
      </c>
      <c r="BX81" s="67" t="e">
        <f t="array" ref="BX81">_xlfn.STDEV.P(IF($E$5:$E$27=$E80,BX$5:BX$27))</f>
        <v>#DIV/0!</v>
      </c>
      <c r="BY81" s="67" t="e">
        <f t="array" ref="BY81">_xlfn.STDEV.P(IF($E$5:$E$27=$E80,BY$5:BY$27))</f>
        <v>#DIV/0!</v>
      </c>
      <c r="BZ81" s="67" t="e">
        <f t="array" ref="BZ81">_xlfn.STDEV.P(IF($E$5:$E$27=$E80,BZ$5:BZ$27))</f>
        <v>#DIV/0!</v>
      </c>
      <c r="CA81" s="67" t="e">
        <f t="array" ref="CA81">_xlfn.STDEV.P(IF($E$5:$E$27=$E80,CA$5:CA$27))</f>
        <v>#DIV/0!</v>
      </c>
      <c r="CB81" s="67" t="e">
        <f t="array" ref="CB81">_xlfn.STDEV.P(IF($E$5:$E$27=$E80,CB$5:CB$27))</f>
        <v>#DIV/0!</v>
      </c>
      <c r="CC81" s="67" t="e">
        <f t="array" ref="CC81">_xlfn.STDEV.P(IF($E$5:$E$27=$E80,CC$5:CC$27))</f>
        <v>#DIV/0!</v>
      </c>
      <c r="CD81" s="67" t="e">
        <f t="array" ref="CD81">_xlfn.STDEV.P(IF($E$5:$E$27=$E80,CD$5:CD$27))</f>
        <v>#DIV/0!</v>
      </c>
      <c r="CE81" s="67" t="e">
        <f t="array" ref="CE81">_xlfn.STDEV.P(IF($E$5:$E$27=$E80,CE$5:CE$27))</f>
        <v>#DIV/0!</v>
      </c>
      <c r="CF81" s="67" t="e">
        <f t="array" ref="CF81">_xlfn.STDEV.P(IF($E$5:$E$27=$E80,CF$5:CF$27))</f>
        <v>#DIV/0!</v>
      </c>
      <c r="CG81" s="67" t="e">
        <f t="array" ref="CG81">_xlfn.STDEV.P(IF($E$5:$E$27=$E80,CG$5:CG$27))</f>
        <v>#DIV/0!</v>
      </c>
      <c r="CH81" s="67" t="e">
        <f t="array" ref="CH81">_xlfn.STDEV.P(IF($E$5:$E$27=$E80,CH$5:CH$27))</f>
        <v>#DIV/0!</v>
      </c>
      <c r="CI81" s="67" t="e">
        <f t="array" ref="CI81">_xlfn.STDEV.P(IF($E$5:$E$27=$E80,CI$5:CI$27))</f>
        <v>#DIV/0!</v>
      </c>
      <c r="CJ81" s="67" t="e">
        <f t="array" ref="CJ81">_xlfn.STDEV.P(IF($E$5:$E$27=$E80,CJ$5:CJ$27))</f>
        <v>#DIV/0!</v>
      </c>
      <c r="CK81" s="67" t="e">
        <f t="array" ref="CK81">_xlfn.STDEV.P(IF($E$5:$E$27=$E80,CK$5:CK$27))</f>
        <v>#DIV/0!</v>
      </c>
      <c r="CL81" s="67" t="e">
        <f t="array" ref="CL81">_xlfn.STDEV.P(IF($E$5:$E$27=$E80,CL$5:CL$27))</f>
        <v>#DIV/0!</v>
      </c>
      <c r="CM81" s="67" t="e">
        <f t="array" ref="CM81">_xlfn.STDEV.P(IF($E$5:$E$27=$E80,CM$5:CM$27))</f>
        <v>#DIV/0!</v>
      </c>
      <c r="CN81" s="67" t="e">
        <f t="array" ref="CN81">_xlfn.STDEV.P(IF($E$5:$E$27=$E80,CN$5:CN$27))</f>
        <v>#DIV/0!</v>
      </c>
      <c r="CO81" s="67" t="e">
        <f t="array" ref="CO81">_xlfn.STDEV.P(IF($E$5:$E$27=$E80,CO$5:CO$27))</f>
        <v>#DIV/0!</v>
      </c>
      <c r="CP81" s="67" t="e">
        <f t="array" ref="CP81">_xlfn.STDEV.P(IF($E$5:$E$27=$E80,CP$5:CP$27))</f>
        <v>#DIV/0!</v>
      </c>
      <c r="CQ81" s="67" t="e">
        <f t="array" ref="CQ81">_xlfn.STDEV.P(IF($E$5:$E$27=$E80,CQ$5:CQ$27))</f>
        <v>#DIV/0!</v>
      </c>
      <c r="CR81" s="67" t="e">
        <f t="array" ref="CR81">_xlfn.STDEV.P(IF($E$5:$E$27=$E80,CR$5:CR$27))</f>
        <v>#DIV/0!</v>
      </c>
      <c r="CS81" s="67" t="e">
        <f t="array" ref="CS81">_xlfn.STDEV.P(IF($E$5:$E$27=$E80,CS$5:CS$27))</f>
        <v>#DIV/0!</v>
      </c>
      <c r="CT81" s="67" t="e">
        <f t="array" ref="CT81">_xlfn.STDEV.P(IF($E$5:$E$27=$E80,CT$5:CT$27))</f>
        <v>#DIV/0!</v>
      </c>
      <c r="CU81" s="67" t="e">
        <f t="array" ref="CU81">_xlfn.STDEV.P(IF($E$5:$E$27=$E80,CU$5:CU$27))</f>
        <v>#DIV/0!</v>
      </c>
      <c r="CV81" s="67" t="e">
        <f t="array" ref="CV81">_xlfn.STDEV.P(IF($E$5:$E$27=$E80,CV$5:CV$27))</f>
        <v>#DIV/0!</v>
      </c>
      <c r="CW81" s="67" t="e">
        <f t="array" ref="CW81">_xlfn.STDEV.P(IF($E$5:$E$27=$E80,CW$5:CW$27))</f>
        <v>#DIV/0!</v>
      </c>
      <c r="CX81" s="67" t="e">
        <f t="array" ref="CX81">_xlfn.STDEV.P(IF($E$5:$E$27=$E80,CX$5:CX$27))</f>
        <v>#DIV/0!</v>
      </c>
      <c r="CY81" s="67" t="e">
        <f t="array" ref="CY81">_xlfn.STDEV.P(IF($E$5:$E$27=$E80,CY$5:CY$27))</f>
        <v>#DIV/0!</v>
      </c>
      <c r="CZ81" s="67" t="e">
        <f t="array" ref="CZ81">_xlfn.STDEV.P(IF($E$5:$E$27=$E80,CZ$5:CZ$27))</f>
        <v>#DIV/0!</v>
      </c>
      <c r="DA81" s="67" t="e">
        <f t="array" ref="DA81">_xlfn.STDEV.P(IF($E$5:$E$27=$E80,DA$5:DA$27))</f>
        <v>#DIV/0!</v>
      </c>
      <c r="DB81" s="67" t="e">
        <f t="array" ref="DB81">_xlfn.STDEV.P(IF($E$5:$E$27=$E80,DB$5:DB$27))</f>
        <v>#DIV/0!</v>
      </c>
      <c r="DC81" s="67" t="e">
        <f t="array" ref="DC81">_xlfn.STDEV.P(IF($E$5:$E$27=$E80,DC$5:DC$27))</f>
        <v>#DIV/0!</v>
      </c>
      <c r="DD81" s="67" t="e">
        <f t="array" ref="DD81">_xlfn.STDEV.P(IF($E$5:$E$27=$E80,DD$5:DD$27))</f>
        <v>#DIV/0!</v>
      </c>
      <c r="DE81" s="67" t="e">
        <f t="array" ref="DE81">_xlfn.STDEV.P(IF($E$5:$E$27=$E80,DE$5:DE$27))</f>
        <v>#DIV/0!</v>
      </c>
      <c r="DF81" s="67" t="e">
        <f t="array" ref="DF81">_xlfn.STDEV.P(IF($E$5:$E$27=$E80,DF$5:DF$27))</f>
        <v>#DIV/0!</v>
      </c>
      <c r="DG81" s="67" t="e">
        <f t="array" ref="DG81">_xlfn.STDEV.P(IF($E$5:$E$27=$E80,DG$5:DG$27))</f>
        <v>#DIV/0!</v>
      </c>
      <c r="DH81" s="67" t="e">
        <f t="array" ref="DH81">_xlfn.STDEV.P(IF($E$5:$E$27=$E80,DH$5:DH$27))</f>
        <v>#DIV/0!</v>
      </c>
      <c r="DI81" s="67" t="e">
        <f t="array" ref="DI81">_xlfn.STDEV.P(IF($E$5:$E$27=$E80,DI$5:DI$27))</f>
        <v>#DIV/0!</v>
      </c>
      <c r="DJ81" s="67" t="e">
        <f t="array" ref="DJ81">_xlfn.STDEV.P(IF($E$5:$E$27=$E80,DJ$5:DJ$27))</f>
        <v>#DIV/0!</v>
      </c>
      <c r="DK81" s="67" t="e">
        <f t="array" ref="DK81">_xlfn.STDEV.P(IF($E$5:$E$27=$E80,DK$5:DK$27))</f>
        <v>#DIV/0!</v>
      </c>
    </row>
    <row r="82" spans="1:115" ht="15">
      <c r="A82" s="103"/>
      <c r="E82" s="108"/>
      <c r="I82" s="45"/>
      <c r="K82" s="50"/>
      <c r="L82" s="50"/>
      <c r="P82" s="50"/>
      <c r="Q82" s="50"/>
      <c r="R82" s="50"/>
      <c r="S82" s="227"/>
      <c r="T82" s="227"/>
      <c r="U82" s="50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DF82" s="37"/>
      <c r="DG82" s="37"/>
      <c r="DH82" s="37"/>
      <c r="DI82" s="37"/>
      <c r="DJ82" s="37"/>
      <c r="DK82" s="37"/>
    </row>
    <row r="83" spans="1:115" ht="14.25" customHeight="1">
      <c r="A83" s="103"/>
      <c r="E83" s="108" t="str">
        <f>'NAB_PTX Groups'!C21</f>
        <v>Group 16</v>
      </c>
      <c r="I83" s="108" t="str">
        <f>E83</f>
        <v>Group 16</v>
      </c>
      <c r="J83" s="97" t="e">
        <f>AVERAGEIF($E$5:$E$27,$E83,J$5:J$27)</f>
        <v>#DIV/0!</v>
      </c>
      <c r="K83" s="97"/>
      <c r="L83" s="97"/>
      <c r="M83" s="97" t="e">
        <f t="shared" ref="M83:R83" si="118">AVERAGEIF($E$5:$E$27,$E83,M$5:M$27)</f>
        <v>#DIV/0!</v>
      </c>
      <c r="N83" s="97" t="e">
        <f t="shared" si="118"/>
        <v>#DIV/0!</v>
      </c>
      <c r="O83" s="97" t="e">
        <f t="shared" si="118"/>
        <v>#DIV/0!</v>
      </c>
      <c r="P83" s="97" t="e">
        <f t="shared" si="118"/>
        <v>#DIV/0!</v>
      </c>
      <c r="Q83" s="97" t="e">
        <f t="shared" si="118"/>
        <v>#DIV/0!</v>
      </c>
      <c r="R83" s="97" t="e">
        <f t="shared" si="118"/>
        <v>#DIV/0!</v>
      </c>
      <c r="S83" s="228"/>
      <c r="T83" s="228" t="e">
        <f>AVERAGEIF($E$5:$E$27,$E83,T$5:T$27)</f>
        <v>#DIV/0!</v>
      </c>
      <c r="U83" s="97" t="e">
        <f>AVERAGEIF($E$5:$E$27,$E83,U$5:U$27)</f>
        <v>#DIV/0!</v>
      </c>
      <c r="V83" s="65" t="s">
        <v>9</v>
      </c>
      <c r="W83" s="71" t="e">
        <f t="shared" ref="W83:BP83" si="119">AVERAGEIF($E$5:$E$27,$E83,W$5:W$27)</f>
        <v>#DIV/0!</v>
      </c>
      <c r="X83" s="71" t="e">
        <f t="shared" si="119"/>
        <v>#DIV/0!</v>
      </c>
      <c r="Y83" s="71" t="e">
        <f t="shared" si="119"/>
        <v>#DIV/0!</v>
      </c>
      <c r="Z83" s="71" t="e">
        <f t="shared" si="119"/>
        <v>#DIV/0!</v>
      </c>
      <c r="AA83" s="71" t="e">
        <f t="shared" si="119"/>
        <v>#DIV/0!</v>
      </c>
      <c r="AB83" s="71" t="e">
        <f t="shared" si="119"/>
        <v>#DIV/0!</v>
      </c>
      <c r="AC83" s="71" t="e">
        <f t="shared" si="119"/>
        <v>#DIV/0!</v>
      </c>
      <c r="AD83" s="71" t="e">
        <f t="shared" si="119"/>
        <v>#DIV/0!</v>
      </c>
      <c r="AE83" s="71" t="e">
        <f t="shared" si="119"/>
        <v>#DIV/0!</v>
      </c>
      <c r="AF83" s="71" t="e">
        <f t="shared" si="119"/>
        <v>#DIV/0!</v>
      </c>
      <c r="AG83" s="71" t="e">
        <f t="shared" si="119"/>
        <v>#DIV/0!</v>
      </c>
      <c r="AH83" s="71" t="e">
        <f t="shared" si="119"/>
        <v>#DIV/0!</v>
      </c>
      <c r="AI83" s="71" t="e">
        <f t="shared" si="119"/>
        <v>#DIV/0!</v>
      </c>
      <c r="AJ83" s="71" t="e">
        <f t="shared" si="119"/>
        <v>#DIV/0!</v>
      </c>
      <c r="AK83" s="71" t="e">
        <f t="shared" si="119"/>
        <v>#DIV/0!</v>
      </c>
      <c r="AL83" s="71" t="e">
        <f t="shared" si="119"/>
        <v>#DIV/0!</v>
      </c>
      <c r="AM83" s="71" t="e">
        <f t="shared" si="119"/>
        <v>#DIV/0!</v>
      </c>
      <c r="AN83" s="71" t="e">
        <f t="shared" si="119"/>
        <v>#DIV/0!</v>
      </c>
      <c r="AO83" s="71" t="e">
        <f t="shared" si="119"/>
        <v>#DIV/0!</v>
      </c>
      <c r="AP83" s="71" t="e">
        <f t="shared" si="119"/>
        <v>#DIV/0!</v>
      </c>
      <c r="AQ83" s="71" t="e">
        <f t="shared" si="119"/>
        <v>#DIV/0!</v>
      </c>
      <c r="AR83" s="71" t="e">
        <f t="shared" si="119"/>
        <v>#DIV/0!</v>
      </c>
      <c r="AS83" s="71" t="e">
        <f t="shared" si="119"/>
        <v>#DIV/0!</v>
      </c>
      <c r="AT83" s="71" t="e">
        <f t="shared" si="119"/>
        <v>#DIV/0!</v>
      </c>
      <c r="AU83" s="71" t="e">
        <f t="shared" si="119"/>
        <v>#DIV/0!</v>
      </c>
      <c r="AV83" s="71" t="e">
        <f t="shared" si="119"/>
        <v>#DIV/0!</v>
      </c>
      <c r="AW83" s="71" t="e">
        <f t="shared" si="119"/>
        <v>#DIV/0!</v>
      </c>
      <c r="AX83" s="71" t="e">
        <f t="shared" si="119"/>
        <v>#DIV/0!</v>
      </c>
      <c r="AY83" s="71" t="e">
        <f t="shared" si="119"/>
        <v>#DIV/0!</v>
      </c>
      <c r="AZ83" s="71" t="e">
        <f t="shared" si="119"/>
        <v>#DIV/0!</v>
      </c>
      <c r="BA83" s="71" t="e">
        <f t="shared" si="119"/>
        <v>#DIV/0!</v>
      </c>
      <c r="BB83" s="71" t="e">
        <f t="shared" si="119"/>
        <v>#DIV/0!</v>
      </c>
      <c r="BC83" s="71" t="e">
        <f t="shared" si="119"/>
        <v>#DIV/0!</v>
      </c>
      <c r="BD83" s="71" t="e">
        <f t="shared" si="119"/>
        <v>#DIV/0!</v>
      </c>
      <c r="BE83" s="71" t="e">
        <f t="shared" si="119"/>
        <v>#DIV/0!</v>
      </c>
      <c r="BF83" s="71" t="e">
        <f t="shared" si="119"/>
        <v>#DIV/0!</v>
      </c>
      <c r="BG83" s="71" t="e">
        <f t="shared" si="119"/>
        <v>#DIV/0!</v>
      </c>
      <c r="BH83" s="71" t="e">
        <f t="shared" si="119"/>
        <v>#DIV/0!</v>
      </c>
      <c r="BI83" s="71" t="e">
        <f t="shared" si="119"/>
        <v>#DIV/0!</v>
      </c>
      <c r="BJ83" s="71" t="e">
        <f t="shared" si="119"/>
        <v>#DIV/0!</v>
      </c>
      <c r="BK83" s="71" t="e">
        <f t="shared" si="119"/>
        <v>#DIV/0!</v>
      </c>
      <c r="BL83" s="71" t="e">
        <f t="shared" si="119"/>
        <v>#DIV/0!</v>
      </c>
      <c r="BM83" s="71" t="e">
        <f t="shared" si="119"/>
        <v>#DIV/0!</v>
      </c>
      <c r="BN83" s="71" t="e">
        <f t="shared" si="119"/>
        <v>#DIV/0!</v>
      </c>
      <c r="BO83" s="71" t="e">
        <f t="shared" si="119"/>
        <v>#DIV/0!</v>
      </c>
      <c r="BP83" s="71" t="e">
        <f t="shared" si="119"/>
        <v>#DIV/0!</v>
      </c>
      <c r="BQ83" s="93" t="s">
        <v>9</v>
      </c>
      <c r="BR83" s="66" t="e">
        <f t="shared" ref="BR83:DK83" si="120">AVERAGEIF($E$5:$E$27,$E83,BR$5:BR$27)</f>
        <v>#DIV/0!</v>
      </c>
      <c r="BS83" s="66" t="e">
        <f t="shared" si="120"/>
        <v>#DIV/0!</v>
      </c>
      <c r="BT83" s="66" t="e">
        <f t="shared" si="120"/>
        <v>#DIV/0!</v>
      </c>
      <c r="BU83" s="66" t="e">
        <f t="shared" si="120"/>
        <v>#DIV/0!</v>
      </c>
      <c r="BV83" s="66" t="e">
        <f t="shared" si="120"/>
        <v>#DIV/0!</v>
      </c>
      <c r="BW83" s="66" t="e">
        <f t="shared" si="120"/>
        <v>#DIV/0!</v>
      </c>
      <c r="BX83" s="66" t="e">
        <f t="shared" si="120"/>
        <v>#DIV/0!</v>
      </c>
      <c r="BY83" s="66" t="e">
        <f t="shared" si="120"/>
        <v>#DIV/0!</v>
      </c>
      <c r="BZ83" s="66" t="e">
        <f t="shared" si="120"/>
        <v>#DIV/0!</v>
      </c>
      <c r="CA83" s="66" t="e">
        <f t="shared" si="120"/>
        <v>#DIV/0!</v>
      </c>
      <c r="CB83" s="66" t="e">
        <f t="shared" si="120"/>
        <v>#DIV/0!</v>
      </c>
      <c r="CC83" s="66" t="e">
        <f t="shared" si="120"/>
        <v>#DIV/0!</v>
      </c>
      <c r="CD83" s="66" t="e">
        <f t="shared" si="120"/>
        <v>#DIV/0!</v>
      </c>
      <c r="CE83" s="66" t="e">
        <f t="shared" si="120"/>
        <v>#DIV/0!</v>
      </c>
      <c r="CF83" s="66" t="e">
        <f t="shared" si="120"/>
        <v>#DIV/0!</v>
      </c>
      <c r="CG83" s="66" t="e">
        <f t="shared" si="120"/>
        <v>#DIV/0!</v>
      </c>
      <c r="CH83" s="66" t="e">
        <f t="shared" si="120"/>
        <v>#DIV/0!</v>
      </c>
      <c r="CI83" s="66" t="e">
        <f t="shared" si="120"/>
        <v>#DIV/0!</v>
      </c>
      <c r="CJ83" s="66" t="e">
        <f t="shared" si="120"/>
        <v>#DIV/0!</v>
      </c>
      <c r="CK83" s="66" t="e">
        <f t="shared" si="120"/>
        <v>#DIV/0!</v>
      </c>
      <c r="CL83" s="66" t="e">
        <f t="shared" si="120"/>
        <v>#DIV/0!</v>
      </c>
      <c r="CM83" s="66" t="e">
        <f t="shared" si="120"/>
        <v>#DIV/0!</v>
      </c>
      <c r="CN83" s="66" t="e">
        <f t="shared" si="120"/>
        <v>#DIV/0!</v>
      </c>
      <c r="CO83" s="66" t="e">
        <f t="shared" si="120"/>
        <v>#DIV/0!</v>
      </c>
      <c r="CP83" s="66" t="e">
        <f t="shared" si="120"/>
        <v>#DIV/0!</v>
      </c>
      <c r="CQ83" s="66" t="e">
        <f t="shared" si="120"/>
        <v>#DIV/0!</v>
      </c>
      <c r="CR83" s="66" t="e">
        <f t="shared" si="120"/>
        <v>#DIV/0!</v>
      </c>
      <c r="CS83" s="66" t="e">
        <f t="shared" si="120"/>
        <v>#DIV/0!</v>
      </c>
      <c r="CT83" s="66" t="e">
        <f t="shared" si="120"/>
        <v>#DIV/0!</v>
      </c>
      <c r="CU83" s="66" t="e">
        <f t="shared" si="120"/>
        <v>#DIV/0!</v>
      </c>
      <c r="CV83" s="66" t="e">
        <f t="shared" si="120"/>
        <v>#DIV/0!</v>
      </c>
      <c r="CW83" s="66" t="e">
        <f t="shared" si="120"/>
        <v>#DIV/0!</v>
      </c>
      <c r="CX83" s="66" t="e">
        <f t="shared" si="120"/>
        <v>#DIV/0!</v>
      </c>
      <c r="CY83" s="66" t="e">
        <f t="shared" si="120"/>
        <v>#DIV/0!</v>
      </c>
      <c r="CZ83" s="66" t="e">
        <f t="shared" si="120"/>
        <v>#DIV/0!</v>
      </c>
      <c r="DA83" s="66" t="e">
        <f t="shared" si="120"/>
        <v>#DIV/0!</v>
      </c>
      <c r="DB83" s="66" t="e">
        <f t="shared" si="120"/>
        <v>#DIV/0!</v>
      </c>
      <c r="DC83" s="66" t="e">
        <f t="shared" si="120"/>
        <v>#DIV/0!</v>
      </c>
      <c r="DD83" s="66" t="e">
        <f t="shared" si="120"/>
        <v>#DIV/0!</v>
      </c>
      <c r="DE83" s="66" t="e">
        <f t="shared" si="120"/>
        <v>#DIV/0!</v>
      </c>
      <c r="DF83" s="66" t="e">
        <f t="shared" si="120"/>
        <v>#DIV/0!</v>
      </c>
      <c r="DG83" s="66" t="e">
        <f t="shared" si="120"/>
        <v>#DIV/0!</v>
      </c>
      <c r="DH83" s="66" t="e">
        <f t="shared" si="120"/>
        <v>#DIV/0!</v>
      </c>
      <c r="DI83" s="66" t="e">
        <f t="shared" si="120"/>
        <v>#DIV/0!</v>
      </c>
      <c r="DJ83" s="66" t="e">
        <f t="shared" si="120"/>
        <v>#DIV/0!</v>
      </c>
      <c r="DK83" s="66" t="e">
        <f t="shared" si="120"/>
        <v>#DIV/0!</v>
      </c>
    </row>
    <row r="84" spans="1:115" ht="14.25" customHeight="1">
      <c r="A84" s="103"/>
      <c r="E84" s="83"/>
      <c r="I84" s="83"/>
      <c r="J84" s="97" t="e">
        <f t="array" ref="J84">_xlfn.STDEV.P(IF($E$5:$E$27=$E83,J$5:J$27))</f>
        <v>#DIV/0!</v>
      </c>
      <c r="K84" s="97"/>
      <c r="L84" s="97"/>
      <c r="M84" s="97" t="e">
        <f t="array" ref="M84">_xlfn.STDEV.P(IF($E$5:$E$27=$E83,M$5:M$27))</f>
        <v>#DIV/0!</v>
      </c>
      <c r="N84" s="97" t="e">
        <f t="array" ref="N84">_xlfn.STDEV.P(IF($E$5:$E$27=$E83,N$5:N$27))</f>
        <v>#DIV/0!</v>
      </c>
      <c r="O84" s="97" t="e">
        <f t="array" ref="O84">_xlfn.STDEV.P(IF($E$5:$E$27=$E83,O$5:O$27))</f>
        <v>#DIV/0!</v>
      </c>
      <c r="P84" s="97" t="e">
        <f t="array" ref="P84">_xlfn.STDEV.P(IF($E$5:$E$27=$E83,P$5:P$27))</f>
        <v>#DIV/0!</v>
      </c>
      <c r="Q84" s="97" t="e">
        <f t="array" ref="Q84">_xlfn.STDEV.P(IF($E$5:$E$27=$E83,Q$5:Q$27))</f>
        <v>#DIV/0!</v>
      </c>
      <c r="R84" s="97" t="e">
        <f t="array" ref="R84">_xlfn.STDEV.P(IF($E$5:$E$27=$E83,R$5:R$27))</f>
        <v>#DIV/0!</v>
      </c>
      <c r="S84" s="228"/>
      <c r="T84" s="228" t="e">
        <f t="array" ref="T84">_xlfn.STDEV.P(IF($E$5:$E$27=$E83,T$5:T$27))</f>
        <v>#DIV/0!</v>
      </c>
      <c r="U84" s="97" t="e">
        <f t="array" ref="U84">_xlfn.STDEV.P(IF($E$5:$E$27=$E83,U$5:U$27))</f>
        <v>#DIV/0!</v>
      </c>
      <c r="V84" s="65" t="s">
        <v>11</v>
      </c>
      <c r="W84" s="74" t="e">
        <f t="array" ref="W84">_xlfn.STDEV.P(IF($E$5:$E$27=$E83,W$5:W$27))</f>
        <v>#DIV/0!</v>
      </c>
      <c r="X84" s="74" t="e">
        <f t="array" ref="X84">_xlfn.STDEV.P(IF($E$5:$E$27=$E83,X$5:X$27))</f>
        <v>#DIV/0!</v>
      </c>
      <c r="Y84" s="74" t="e">
        <f t="array" ref="Y84">_xlfn.STDEV.P(IF($E$5:$E$27=$E83,Y$5:Y$27))</f>
        <v>#DIV/0!</v>
      </c>
      <c r="Z84" s="74" t="e">
        <f t="array" ref="Z84">_xlfn.STDEV.P(IF($E$5:$E$27=$E83,Z$5:Z$27))</f>
        <v>#DIV/0!</v>
      </c>
      <c r="AA84" s="74" t="e">
        <f t="array" ref="AA84">_xlfn.STDEV.P(IF($E$5:$E$27=$E83,AA$5:AA$27))</f>
        <v>#DIV/0!</v>
      </c>
      <c r="AB84" s="74" t="e">
        <f t="array" ref="AB84">_xlfn.STDEV.P(IF($E$5:$E$27=$E83,AB$5:AB$27))</f>
        <v>#DIV/0!</v>
      </c>
      <c r="AC84" s="74" t="e">
        <f t="array" ref="AC84">_xlfn.STDEV.P(IF($E$5:$E$27=$E83,AC$5:AC$27))</f>
        <v>#DIV/0!</v>
      </c>
      <c r="AD84" s="74" t="e">
        <f t="array" ref="AD84">_xlfn.STDEV.P(IF($E$5:$E$27=$E83,AD$5:AD$27))</f>
        <v>#DIV/0!</v>
      </c>
      <c r="AE84" s="74" t="e">
        <f t="array" ref="AE84">_xlfn.STDEV.P(IF($E$5:$E$27=$E83,AE$5:AE$27))</f>
        <v>#DIV/0!</v>
      </c>
      <c r="AF84" s="74" t="e">
        <f t="array" ref="AF84">_xlfn.STDEV.P(IF($E$5:$E$27=$E83,AF$5:AF$27))</f>
        <v>#DIV/0!</v>
      </c>
      <c r="AG84" s="74" t="e">
        <f t="array" ref="AG84">_xlfn.STDEV.P(IF($E$5:$E$27=$E83,AG$5:AG$27))</f>
        <v>#DIV/0!</v>
      </c>
      <c r="AH84" s="74" t="e">
        <f t="array" ref="AH84">_xlfn.STDEV.P(IF($E$5:$E$27=$E83,AH$5:AH$27))</f>
        <v>#DIV/0!</v>
      </c>
      <c r="AI84" s="74" t="e">
        <f t="array" ref="AI84">_xlfn.STDEV.P(IF($E$5:$E$27=$E83,AI$5:AI$27))</f>
        <v>#DIV/0!</v>
      </c>
      <c r="AJ84" s="74" t="e">
        <f t="array" ref="AJ84">_xlfn.STDEV.P(IF($E$5:$E$27=$E83,AJ$5:AJ$27))</f>
        <v>#DIV/0!</v>
      </c>
      <c r="AK84" s="74" t="e">
        <f t="array" ref="AK84">_xlfn.STDEV.P(IF($E$5:$E$27=$E83,AK$5:AK$27))</f>
        <v>#DIV/0!</v>
      </c>
      <c r="AL84" s="74" t="e">
        <f t="array" ref="AL84">_xlfn.STDEV.P(IF($E$5:$E$27=$E83,AL$5:AL$27))</f>
        <v>#DIV/0!</v>
      </c>
      <c r="AM84" s="74" t="e">
        <f t="array" ref="AM84">_xlfn.STDEV.P(IF($E$5:$E$27=$E83,AM$5:AM$27))</f>
        <v>#DIV/0!</v>
      </c>
      <c r="AN84" s="74" t="e">
        <f t="array" ref="AN84">_xlfn.STDEV.P(IF($E$5:$E$27=$E83,AN$5:AN$27))</f>
        <v>#DIV/0!</v>
      </c>
      <c r="AO84" s="74" t="e">
        <f t="array" ref="AO84">_xlfn.STDEV.P(IF($E$5:$E$27=$E83,AO$5:AO$27))</f>
        <v>#DIV/0!</v>
      </c>
      <c r="AP84" s="74" t="e">
        <f t="array" ref="AP84">_xlfn.STDEV.P(IF($E$5:$E$27=$E83,AP$5:AP$27))</f>
        <v>#DIV/0!</v>
      </c>
      <c r="AQ84" s="74" t="e">
        <f t="array" ref="AQ84">_xlfn.STDEV.P(IF($E$5:$E$27=$E83,AQ$5:AQ$27))</f>
        <v>#DIV/0!</v>
      </c>
      <c r="AR84" s="74" t="e">
        <f t="array" ref="AR84">_xlfn.STDEV.P(IF($E$5:$E$27=$E83,AR$5:AR$27))</f>
        <v>#DIV/0!</v>
      </c>
      <c r="AS84" s="74" t="e">
        <f t="array" ref="AS84">_xlfn.STDEV.P(IF($E$5:$E$27=$E83,AS$5:AS$27))</f>
        <v>#DIV/0!</v>
      </c>
      <c r="AT84" s="74" t="e">
        <f t="array" ref="AT84">_xlfn.STDEV.P(IF($E$5:$E$27=$E83,AT$5:AT$27))</f>
        <v>#DIV/0!</v>
      </c>
      <c r="AU84" s="74" t="e">
        <f t="array" ref="AU84">_xlfn.STDEV.P(IF($E$5:$E$27=$E83,AU$5:AU$27))</f>
        <v>#DIV/0!</v>
      </c>
      <c r="AV84" s="74" t="e">
        <f t="array" ref="AV84">_xlfn.STDEV.P(IF($E$5:$E$27=$E83,AV$5:AV$27))</f>
        <v>#DIV/0!</v>
      </c>
      <c r="AW84" s="74" t="e">
        <f t="array" ref="AW84">_xlfn.STDEV.P(IF($E$5:$E$27=$E83,AW$5:AW$27))</f>
        <v>#DIV/0!</v>
      </c>
      <c r="AX84" s="74" t="e">
        <f t="array" ref="AX84">_xlfn.STDEV.P(IF($E$5:$E$27=$E83,AX$5:AX$27))</f>
        <v>#DIV/0!</v>
      </c>
      <c r="AY84" s="74" t="e">
        <f t="array" ref="AY84">_xlfn.STDEV.P(IF($E$5:$E$27=$E83,AY$5:AY$27))</f>
        <v>#DIV/0!</v>
      </c>
      <c r="AZ84" s="74" t="e">
        <f t="array" ref="AZ84">_xlfn.STDEV.P(IF($E$5:$E$27=$E83,AZ$5:AZ$27))</f>
        <v>#DIV/0!</v>
      </c>
      <c r="BA84" s="74" t="e">
        <f t="array" ref="BA84">_xlfn.STDEV.P(IF($E$5:$E$27=$E83,BA$5:BA$27))</f>
        <v>#DIV/0!</v>
      </c>
      <c r="BB84" s="74" t="e">
        <f t="array" ref="BB84">_xlfn.STDEV.P(IF($E$5:$E$27=$E83,BB$5:BB$27))</f>
        <v>#DIV/0!</v>
      </c>
      <c r="BC84" s="74" t="e">
        <f t="array" ref="BC84">_xlfn.STDEV.P(IF($E$5:$E$27=$E83,BC$5:BC$27))</f>
        <v>#DIV/0!</v>
      </c>
      <c r="BD84" s="74" t="e">
        <f t="array" ref="BD84">_xlfn.STDEV.P(IF($E$5:$E$27=$E83,BD$5:BD$27))</f>
        <v>#DIV/0!</v>
      </c>
      <c r="BE84" s="74" t="e">
        <f t="array" ref="BE84">_xlfn.STDEV.P(IF($E$5:$E$27=$E83,BE$5:BE$27))</f>
        <v>#DIV/0!</v>
      </c>
      <c r="BF84" s="74" t="e">
        <f t="array" ref="BF84">_xlfn.STDEV.P(IF($E$5:$E$27=$E83,BF$5:BF$27))</f>
        <v>#DIV/0!</v>
      </c>
      <c r="BG84" s="74" t="e">
        <f t="array" ref="BG84">_xlfn.STDEV.P(IF($E$5:$E$27=$E83,BG$5:BG$27))</f>
        <v>#DIV/0!</v>
      </c>
      <c r="BH84" s="74" t="e">
        <f t="array" ref="BH84">_xlfn.STDEV.P(IF($E$5:$E$27=$E83,BH$5:BH$27))</f>
        <v>#DIV/0!</v>
      </c>
      <c r="BI84" s="74" t="e">
        <f t="array" ref="BI84">_xlfn.STDEV.P(IF($E$5:$E$27=$E83,BI$5:BI$27))</f>
        <v>#DIV/0!</v>
      </c>
      <c r="BJ84" s="74" t="e">
        <f t="array" ref="BJ84">_xlfn.STDEV.P(IF($E$5:$E$27=$E83,BJ$5:BJ$27))</f>
        <v>#DIV/0!</v>
      </c>
      <c r="BK84" s="74" t="e">
        <f t="array" ref="BK84">_xlfn.STDEV.P(IF($E$5:$E$27=$E83,BK$5:BK$27))</f>
        <v>#DIV/0!</v>
      </c>
      <c r="BL84" s="74" t="e">
        <f t="array" ref="BL84">_xlfn.STDEV.P(IF($E$5:$E$27=$E83,BL$5:BL$27))</f>
        <v>#DIV/0!</v>
      </c>
      <c r="BM84" s="74" t="e">
        <f t="array" ref="BM84">_xlfn.STDEV.P(IF($E$5:$E$27=$E83,BM$5:BM$27))</f>
        <v>#DIV/0!</v>
      </c>
      <c r="BN84" s="74" t="e">
        <f t="array" ref="BN84">_xlfn.STDEV.P(IF($E$5:$E$27=$E83,BN$5:BN$27))</f>
        <v>#DIV/0!</v>
      </c>
      <c r="BO84" s="74" t="e">
        <f t="array" ref="BO84">_xlfn.STDEV.P(IF($E$5:$E$27=$E83,BO$5:BO$27))</f>
        <v>#DIV/0!</v>
      </c>
      <c r="BP84" s="74" t="e">
        <f t="array" ref="BP84">_xlfn.STDEV.P(IF($E$5:$E$27=$E83,BP$5:BP$27))</f>
        <v>#DIV/0!</v>
      </c>
      <c r="BQ84" s="94" t="s">
        <v>11</v>
      </c>
      <c r="BR84" s="67" t="e">
        <f t="array" ref="BR84">_xlfn.STDEV.P(IF($E$5:$E$27=$E83,BR$5:BR$27))</f>
        <v>#DIV/0!</v>
      </c>
      <c r="BS84" s="67" t="e">
        <f t="array" ref="BS84">_xlfn.STDEV.P(IF($E$5:$E$27=$E83,BS$5:BS$27))</f>
        <v>#DIV/0!</v>
      </c>
      <c r="BT84" s="67" t="e">
        <f t="array" ref="BT84">_xlfn.STDEV.P(IF($E$5:$E$27=$E83,BT$5:BT$27))</f>
        <v>#DIV/0!</v>
      </c>
      <c r="BU84" s="67" t="e">
        <f t="array" ref="BU84">_xlfn.STDEV.P(IF($E$5:$E$27=$E83,BU$5:BU$27))</f>
        <v>#DIV/0!</v>
      </c>
      <c r="BV84" s="67" t="e">
        <f t="array" ref="BV84">_xlfn.STDEV.P(IF($E$5:$E$27=$E83,BV$5:BV$27))</f>
        <v>#DIV/0!</v>
      </c>
      <c r="BW84" s="67" t="e">
        <f t="array" ref="BW84">_xlfn.STDEV.P(IF($E$5:$E$27=$E83,BW$5:BW$27))</f>
        <v>#DIV/0!</v>
      </c>
      <c r="BX84" s="67" t="e">
        <f t="array" ref="BX84">_xlfn.STDEV.P(IF($E$5:$E$27=$E83,BX$5:BX$27))</f>
        <v>#DIV/0!</v>
      </c>
      <c r="BY84" s="67" t="e">
        <f t="array" ref="BY84">_xlfn.STDEV.P(IF($E$5:$E$27=$E83,BY$5:BY$27))</f>
        <v>#DIV/0!</v>
      </c>
      <c r="BZ84" s="67" t="e">
        <f t="array" ref="BZ84">_xlfn.STDEV.P(IF($E$5:$E$27=$E83,BZ$5:BZ$27))</f>
        <v>#DIV/0!</v>
      </c>
      <c r="CA84" s="67" t="e">
        <f t="array" ref="CA84">_xlfn.STDEV.P(IF($E$5:$E$27=$E83,CA$5:CA$27))</f>
        <v>#DIV/0!</v>
      </c>
      <c r="CB84" s="67" t="e">
        <f t="array" ref="CB84">_xlfn.STDEV.P(IF($E$5:$E$27=$E83,CB$5:CB$27))</f>
        <v>#DIV/0!</v>
      </c>
      <c r="CC84" s="67" t="e">
        <f t="array" ref="CC84">_xlfn.STDEV.P(IF($E$5:$E$27=$E83,CC$5:CC$27))</f>
        <v>#DIV/0!</v>
      </c>
      <c r="CD84" s="67" t="e">
        <f t="array" ref="CD84">_xlfn.STDEV.P(IF($E$5:$E$27=$E83,CD$5:CD$27))</f>
        <v>#DIV/0!</v>
      </c>
      <c r="CE84" s="67" t="e">
        <f t="array" ref="CE84">_xlfn.STDEV.P(IF($E$5:$E$27=$E83,CE$5:CE$27))</f>
        <v>#DIV/0!</v>
      </c>
      <c r="CF84" s="67" t="e">
        <f t="array" ref="CF84">_xlfn.STDEV.P(IF($E$5:$E$27=$E83,CF$5:CF$27))</f>
        <v>#DIV/0!</v>
      </c>
      <c r="CG84" s="67" t="e">
        <f t="array" ref="CG84">_xlfn.STDEV.P(IF($E$5:$E$27=$E83,CG$5:CG$27))</f>
        <v>#DIV/0!</v>
      </c>
      <c r="CH84" s="67" t="e">
        <f t="array" ref="CH84">_xlfn.STDEV.P(IF($E$5:$E$27=$E83,CH$5:CH$27))</f>
        <v>#DIV/0!</v>
      </c>
      <c r="CI84" s="67" t="e">
        <f t="array" ref="CI84">_xlfn.STDEV.P(IF($E$5:$E$27=$E83,CI$5:CI$27))</f>
        <v>#DIV/0!</v>
      </c>
      <c r="CJ84" s="67" t="e">
        <f t="array" ref="CJ84">_xlfn.STDEV.P(IF($E$5:$E$27=$E83,CJ$5:CJ$27))</f>
        <v>#DIV/0!</v>
      </c>
      <c r="CK84" s="67" t="e">
        <f t="array" ref="CK84">_xlfn.STDEV.P(IF($E$5:$E$27=$E83,CK$5:CK$27))</f>
        <v>#DIV/0!</v>
      </c>
      <c r="CL84" s="67" t="e">
        <f t="array" ref="CL84">_xlfn.STDEV.P(IF($E$5:$E$27=$E83,CL$5:CL$27))</f>
        <v>#DIV/0!</v>
      </c>
      <c r="CM84" s="67" t="e">
        <f t="array" ref="CM84">_xlfn.STDEV.P(IF($E$5:$E$27=$E83,CM$5:CM$27))</f>
        <v>#DIV/0!</v>
      </c>
      <c r="CN84" s="67" t="e">
        <f t="array" ref="CN84">_xlfn.STDEV.P(IF($E$5:$E$27=$E83,CN$5:CN$27))</f>
        <v>#DIV/0!</v>
      </c>
      <c r="CO84" s="67" t="e">
        <f t="array" ref="CO84">_xlfn.STDEV.P(IF($E$5:$E$27=$E83,CO$5:CO$27))</f>
        <v>#DIV/0!</v>
      </c>
      <c r="CP84" s="67" t="e">
        <f t="array" ref="CP84">_xlfn.STDEV.P(IF($E$5:$E$27=$E83,CP$5:CP$27))</f>
        <v>#DIV/0!</v>
      </c>
      <c r="CQ84" s="67" t="e">
        <f t="array" ref="CQ84">_xlfn.STDEV.P(IF($E$5:$E$27=$E83,CQ$5:CQ$27))</f>
        <v>#DIV/0!</v>
      </c>
      <c r="CR84" s="67" t="e">
        <f t="array" ref="CR84">_xlfn.STDEV.P(IF($E$5:$E$27=$E83,CR$5:CR$27))</f>
        <v>#DIV/0!</v>
      </c>
      <c r="CS84" s="67" t="e">
        <f t="array" ref="CS84">_xlfn.STDEV.P(IF($E$5:$E$27=$E83,CS$5:CS$27))</f>
        <v>#DIV/0!</v>
      </c>
      <c r="CT84" s="67" t="e">
        <f t="array" ref="CT84">_xlfn.STDEV.P(IF($E$5:$E$27=$E83,CT$5:CT$27))</f>
        <v>#DIV/0!</v>
      </c>
      <c r="CU84" s="67" t="e">
        <f t="array" ref="CU84">_xlfn.STDEV.P(IF($E$5:$E$27=$E83,CU$5:CU$27))</f>
        <v>#DIV/0!</v>
      </c>
      <c r="CV84" s="67" t="e">
        <f t="array" ref="CV84">_xlfn.STDEV.P(IF($E$5:$E$27=$E83,CV$5:CV$27))</f>
        <v>#DIV/0!</v>
      </c>
      <c r="CW84" s="67" t="e">
        <f t="array" ref="CW84">_xlfn.STDEV.P(IF($E$5:$E$27=$E83,CW$5:CW$27))</f>
        <v>#DIV/0!</v>
      </c>
      <c r="CX84" s="67" t="e">
        <f t="array" ref="CX84">_xlfn.STDEV.P(IF($E$5:$E$27=$E83,CX$5:CX$27))</f>
        <v>#DIV/0!</v>
      </c>
      <c r="CY84" s="67" t="e">
        <f t="array" ref="CY84">_xlfn.STDEV.P(IF($E$5:$E$27=$E83,CY$5:CY$27))</f>
        <v>#DIV/0!</v>
      </c>
      <c r="CZ84" s="67" t="e">
        <f t="array" ref="CZ84">_xlfn.STDEV.P(IF($E$5:$E$27=$E83,CZ$5:CZ$27))</f>
        <v>#DIV/0!</v>
      </c>
      <c r="DA84" s="67" t="e">
        <f t="array" ref="DA84">_xlfn.STDEV.P(IF($E$5:$E$27=$E83,DA$5:DA$27))</f>
        <v>#DIV/0!</v>
      </c>
      <c r="DB84" s="67" t="e">
        <f t="array" ref="DB84">_xlfn.STDEV.P(IF($E$5:$E$27=$E83,DB$5:DB$27))</f>
        <v>#DIV/0!</v>
      </c>
      <c r="DC84" s="67" t="e">
        <f t="array" ref="DC84">_xlfn.STDEV.P(IF($E$5:$E$27=$E83,DC$5:DC$27))</f>
        <v>#DIV/0!</v>
      </c>
      <c r="DD84" s="67" t="e">
        <f t="array" ref="DD84">_xlfn.STDEV.P(IF($E$5:$E$27=$E83,DD$5:DD$27))</f>
        <v>#DIV/0!</v>
      </c>
      <c r="DE84" s="67" t="e">
        <f t="array" ref="DE84">_xlfn.STDEV.P(IF($E$5:$E$27=$E83,DE$5:DE$27))</f>
        <v>#DIV/0!</v>
      </c>
      <c r="DF84" s="67" t="e">
        <f t="array" ref="DF84">_xlfn.STDEV.P(IF($E$5:$E$27=$E83,DF$5:DF$27))</f>
        <v>#DIV/0!</v>
      </c>
      <c r="DG84" s="67" t="e">
        <f t="array" ref="DG84">_xlfn.STDEV.P(IF($E$5:$E$27=$E83,DG$5:DG$27))</f>
        <v>#DIV/0!</v>
      </c>
      <c r="DH84" s="67" t="e">
        <f t="array" ref="DH84">_xlfn.STDEV.P(IF($E$5:$E$27=$E83,DH$5:DH$27))</f>
        <v>#DIV/0!</v>
      </c>
      <c r="DI84" s="67" t="e">
        <f t="array" ref="DI84">_xlfn.STDEV.P(IF($E$5:$E$27=$E83,DI$5:DI$27))</f>
        <v>#DIV/0!</v>
      </c>
      <c r="DJ84" s="67" t="e">
        <f t="array" ref="DJ84">_xlfn.STDEV.P(IF($E$5:$E$27=$E83,DJ$5:DJ$27))</f>
        <v>#DIV/0!</v>
      </c>
      <c r="DK84" s="67" t="e">
        <f t="array" ref="DK84">_xlfn.STDEV.P(IF($E$5:$E$27=$E83,DK$5:DK$27))</f>
        <v>#DIV/0!</v>
      </c>
    </row>
    <row r="85" spans="1:115">
      <c r="P85" s="50"/>
      <c r="Q85" s="50"/>
      <c r="R85" s="50"/>
      <c r="S85" s="227"/>
      <c r="T85" s="227"/>
      <c r="U85" s="50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1:115">
      <c r="P86" s="50"/>
      <c r="Q86" s="50"/>
      <c r="R86" s="50"/>
      <c r="S86" s="227"/>
      <c r="T86" s="227"/>
      <c r="U86" s="50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1:115">
      <c r="P87" s="50"/>
      <c r="Q87" s="50"/>
      <c r="R87" s="50"/>
      <c r="S87" s="227"/>
      <c r="T87" s="227"/>
      <c r="U87" s="50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1:115">
      <c r="P88" s="50"/>
      <c r="Q88" s="50"/>
      <c r="R88" s="50"/>
      <c r="S88" s="227"/>
      <c r="T88" s="227"/>
      <c r="U88" s="50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1:115">
      <c r="P89" s="50"/>
      <c r="Q89" s="50"/>
      <c r="R89" s="50"/>
      <c r="S89" s="227"/>
      <c r="T89" s="227"/>
      <c r="U89" s="50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1:115">
      <c r="P90" s="50"/>
      <c r="Q90" s="50"/>
      <c r="R90" s="50"/>
      <c r="S90" s="227"/>
      <c r="T90" s="227"/>
      <c r="U90" s="50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1:115">
      <c r="Q91" s="143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1:115">
      <c r="Q92" s="143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1:115">
      <c r="Q93" s="143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</row>
    <row r="94" spans="1:115">
      <c r="Q94" s="143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</row>
    <row r="95" spans="1:115">
      <c r="Q95" s="143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</row>
    <row r="96" spans="1:115">
      <c r="Q96" s="143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</row>
    <row r="97" spans="17:68">
      <c r="Q97" s="143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</row>
    <row r="98" spans="17:68">
      <c r="Q98" s="143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</row>
    <row r="99" spans="17:68">
      <c r="Q99" s="143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</row>
    <row r="100" spans="17:68">
      <c r="Q100" s="143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</row>
    <row r="101" spans="17:68">
      <c r="Q101" s="143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</row>
    <row r="102" spans="17:68">
      <c r="Q102" s="143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</row>
    <row r="103" spans="17:68">
      <c r="Q103" s="143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</row>
    <row r="104" spans="17:68">
      <c r="Q104" s="143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</row>
    <row r="105" spans="17:68">
      <c r="Q105" s="143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</row>
    <row r="106" spans="17:68">
      <c r="Q106" s="143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</row>
    <row r="107" spans="17:68">
      <c r="Q107" s="143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</row>
    <row r="108" spans="17:68">
      <c r="Q108" s="143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</row>
    <row r="109" spans="17:68">
      <c r="Q109" s="143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</row>
    <row r="110" spans="17:68">
      <c r="Q110" s="143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</row>
    <row r="111" spans="17:68">
      <c r="Q111" s="143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</row>
    <row r="112" spans="17:68">
      <c r="Q112" s="143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</row>
    <row r="113" spans="17:68">
      <c r="Q113" s="143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</row>
    <row r="114" spans="17:68">
      <c r="Q114" s="143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</row>
    <row r="115" spans="17:68">
      <c r="Q115" s="143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</row>
    <row r="116" spans="17:68">
      <c r="Q116" s="143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</row>
    <row r="117" spans="17:68">
      <c r="Q117" s="143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</row>
    <row r="118" spans="17:68">
      <c r="Q118" s="143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</row>
    <row r="119" spans="17:68">
      <c r="Q119" s="143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</row>
    <row r="120" spans="17:68">
      <c r="Q120" s="143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</row>
    <row r="121" spans="17:68">
      <c r="Q121" s="143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</row>
    <row r="122" spans="17:68">
      <c r="Q122" s="143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</row>
    <row r="123" spans="17:68">
      <c r="Q123" s="143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</row>
    <row r="124" spans="17:68">
      <c r="Q124" s="143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</row>
    <row r="125" spans="17:68">
      <c r="Q125" s="143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</row>
    <row r="126" spans="17:68">
      <c r="Q126" s="143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</row>
    <row r="127" spans="17:68">
      <c r="Q127" s="143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</row>
    <row r="128" spans="17:68">
      <c r="Q128" s="143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</row>
    <row r="129" spans="17:68">
      <c r="Q129" s="143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</row>
    <row r="130" spans="17:68">
      <c r="Q130" s="143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</row>
    <row r="131" spans="17:68">
      <c r="Q131" s="143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</row>
    <row r="132" spans="17:68">
      <c r="Q132" s="143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</row>
    <row r="133" spans="17:68">
      <c r="Q133" s="143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</row>
    <row r="134" spans="17:68">
      <c r="Q134" s="143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</row>
    <row r="135" spans="17:68">
      <c r="Q135" s="143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</row>
    <row r="136" spans="17:68">
      <c r="Q136" s="143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</row>
    <row r="137" spans="17:68">
      <c r="Q137" s="143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</row>
    <row r="138" spans="17:68">
      <c r="Q138" s="143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</row>
    <row r="139" spans="17:68">
      <c r="Q139" s="143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</row>
    <row r="140" spans="17:68">
      <c r="Q140" s="143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</row>
    <row r="141" spans="17:68">
      <c r="Q141" s="143"/>
    </row>
    <row r="142" spans="17:68">
      <c r="Q142" s="143"/>
    </row>
    <row r="143" spans="17:68">
      <c r="Q143" s="143"/>
    </row>
    <row r="144" spans="17:68">
      <c r="Q144" s="143"/>
    </row>
    <row r="145" spans="17:17">
      <c r="Q145" s="143"/>
    </row>
    <row r="146" spans="17:17">
      <c r="Q146" s="143"/>
    </row>
    <row r="147" spans="17:17">
      <c r="Q147" s="143"/>
    </row>
    <row r="148" spans="17:17">
      <c r="Q148" s="143"/>
    </row>
    <row r="149" spans="17:17">
      <c r="Q149" s="143"/>
    </row>
    <row r="150" spans="17:17">
      <c r="Q150" s="143"/>
    </row>
    <row r="151" spans="17:17">
      <c r="Q151" s="143"/>
    </row>
    <row r="152" spans="17:17">
      <c r="Q152" s="143"/>
    </row>
    <row r="153" spans="17:17">
      <c r="Q153" s="143"/>
    </row>
    <row r="154" spans="17:17">
      <c r="Q154" s="143"/>
    </row>
    <row r="155" spans="17:17">
      <c r="Q155" s="143"/>
    </row>
    <row r="156" spans="17:17">
      <c r="Q156" s="143"/>
    </row>
    <row r="157" spans="17:17">
      <c r="Q157" s="143"/>
    </row>
    <row r="158" spans="17:17">
      <c r="Q158" s="143"/>
    </row>
    <row r="159" spans="17:17">
      <c r="Q159" s="143"/>
    </row>
    <row r="160" spans="17:17">
      <c r="Q160" s="143"/>
    </row>
    <row r="161" spans="17:17">
      <c r="Q161" s="143"/>
    </row>
    <row r="162" spans="17:17">
      <c r="Q162" s="143"/>
    </row>
    <row r="163" spans="17:17">
      <c r="Q163" s="143"/>
    </row>
    <row r="164" spans="17:17">
      <c r="Q164" s="143"/>
    </row>
  </sheetData>
  <autoFilter ref="A4:DE27" xr:uid="{00000000-0009-0000-0000-000000000000}">
    <sortState xmlns:xlrd2="http://schemas.microsoft.com/office/spreadsheetml/2017/richdata2" ref="A7:CZ29">
      <sortCondition ref="B6:B29"/>
    </sortState>
  </autoFilter>
  <mergeCells count="3">
    <mergeCell ref="F2:H2"/>
    <mergeCell ref="I29:I30"/>
    <mergeCell ref="I2:U2"/>
  </mergeCells>
  <conditionalFormatting sqref="W5:BP27">
    <cfRule type="cellIs" dxfId="7" priority="1" operator="greaterThanOrEqual">
      <formula>1650</formula>
    </cfRule>
    <cfRule type="cellIs" dxfId="6" priority="2" operator="greaterThanOrEqual">
      <formula>1100</formula>
    </cfRule>
  </conditionalFormatting>
  <dataValidations count="1">
    <dataValidation type="list" allowBlank="1" showInputMessage="1" showErrorMessage="1" sqref="E32:E1048576 I35 E5:E27" xr:uid="{00000000-0002-0000-00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'NAB_PTX Groups'!$C$6:$C$21</xm:f>
          </x14:formula1>
          <xm:sqref>I80:I84 I32:I34 I36:I78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C3E8-7AFC-4261-8696-B6D7BB76511B}">
  <dimension ref="A1:K2528"/>
  <sheetViews>
    <sheetView zoomScale="90" zoomScaleNormal="90" workbookViewId="0">
      <pane xSplit="4" ySplit="8" topLeftCell="E9" activePane="bottomRight" state="frozen"/>
      <selection activeCell="D20" sqref="D20"/>
      <selection pane="topRight" activeCell="D20" sqref="D20"/>
      <selection pane="bottomLeft" activeCell="D20" sqref="D20"/>
      <selection pane="bottomRight" activeCell="D11" sqref="D11"/>
    </sheetView>
  </sheetViews>
  <sheetFormatPr defaultColWidth="12.5703125" defaultRowHeight="15.75"/>
  <cols>
    <col min="1" max="1" width="5.5703125" style="295" bestFit="1" customWidth="1"/>
    <col min="2" max="2" width="17.140625" style="295" customWidth="1"/>
    <col min="3" max="3" width="7.5703125" style="295" bestFit="1" customWidth="1"/>
    <col min="4" max="4" width="21.7109375" style="295" customWidth="1"/>
    <col min="5" max="5" width="11.42578125" style="295" bestFit="1" customWidth="1"/>
    <col min="6" max="6" width="11.42578125" style="295" customWidth="1"/>
    <col min="7" max="7" width="20.7109375" style="295" bestFit="1" customWidth="1"/>
    <col min="8" max="8" width="19.85546875" style="295" bestFit="1" customWidth="1"/>
    <col min="9" max="9" width="25.140625" style="315" bestFit="1" customWidth="1"/>
    <col min="10" max="10" width="21.28515625" style="295" bestFit="1" customWidth="1"/>
    <col min="11" max="11" width="20.140625" style="316" customWidth="1"/>
    <col min="12" max="16384" width="12.5703125" style="295"/>
  </cols>
  <sheetData>
    <row r="1" spans="1:11" ht="25.5">
      <c r="A1" s="4" t="s">
        <v>206</v>
      </c>
    </row>
    <row r="2" spans="1:11" ht="22.5">
      <c r="A2" s="344" t="s">
        <v>203</v>
      </c>
    </row>
    <row r="3" spans="1:11" ht="22.5">
      <c r="A3" s="344" t="s">
        <v>204</v>
      </c>
    </row>
    <row r="4" spans="1:11" ht="22.5">
      <c r="A4" s="344"/>
    </row>
    <row r="5" spans="1:11" s="345" customFormat="1" ht="21">
      <c r="A5" s="348" t="s">
        <v>205</v>
      </c>
      <c r="B5" s="348"/>
      <c r="C5" s="348"/>
      <c r="D5" s="348"/>
      <c r="E5" s="348"/>
      <c r="F5" s="348"/>
      <c r="G5" s="348"/>
      <c r="I5" s="346"/>
      <c r="K5" s="347"/>
    </row>
    <row r="6" spans="1:11" s="317" customFormat="1" ht="18.75">
      <c r="A6" s="349" t="s">
        <v>116</v>
      </c>
      <c r="B6" s="349"/>
      <c r="C6" s="349"/>
      <c r="D6" s="349"/>
      <c r="E6" s="349"/>
      <c r="F6" s="317" t="s">
        <v>117</v>
      </c>
      <c r="H6" s="318" t="s">
        <v>118</v>
      </c>
    </row>
    <row r="8" spans="1:11" s="296" customFormat="1">
      <c r="A8" s="296" t="s">
        <v>119</v>
      </c>
      <c r="B8" s="296" t="s">
        <v>120</v>
      </c>
      <c r="C8" s="296" t="s">
        <v>121</v>
      </c>
      <c r="D8" s="296" t="s">
        <v>122</v>
      </c>
      <c r="E8" s="296" t="s">
        <v>123</v>
      </c>
      <c r="F8" s="296" t="s">
        <v>124</v>
      </c>
      <c r="G8" s="296" t="s">
        <v>125</v>
      </c>
      <c r="H8" s="296" t="s">
        <v>126</v>
      </c>
      <c r="I8" s="319" t="s">
        <v>127</v>
      </c>
      <c r="J8" s="296" t="s">
        <v>102</v>
      </c>
      <c r="K8" s="320" t="s">
        <v>128</v>
      </c>
    </row>
    <row r="9" spans="1:11">
      <c r="A9" s="295">
        <v>2</v>
      </c>
      <c r="B9" s="295">
        <f>A9-12</f>
        <v>-10</v>
      </c>
      <c r="C9" s="295">
        <v>1.1000000000000001</v>
      </c>
      <c r="D9" s="295" t="s">
        <v>112</v>
      </c>
      <c r="E9" s="295">
        <v>27</v>
      </c>
      <c r="F9" s="316">
        <f t="shared" ref="F9:F72" si="0">IF(ISBLANK(E9),"",E9/SUMIFS(E:E,C:C,C9,B:B,"0"))</f>
        <v>0.9642857142857143</v>
      </c>
      <c r="I9" s="315">
        <f>G9*(H9^2)*0.5</f>
        <v>0</v>
      </c>
      <c r="J9" s="316">
        <f t="shared" ref="J9:J72" si="1">IF(ISBLANK(I9),"",I9/SUMIFS(I:I,C:C,C9,B:B,"0"))</f>
        <v>0</v>
      </c>
    </row>
    <row r="10" spans="1:11">
      <c r="A10" s="295">
        <v>2</v>
      </c>
      <c r="B10" s="295">
        <f t="shared" ref="B10:B73" si="2">A10-12</f>
        <v>-10</v>
      </c>
      <c r="C10" s="295">
        <v>1.2</v>
      </c>
      <c r="D10" s="295" t="s">
        <v>113</v>
      </c>
      <c r="E10" s="295">
        <v>26</v>
      </c>
      <c r="F10" s="316">
        <f t="shared" si="0"/>
        <v>0.96296296296296291</v>
      </c>
      <c r="I10" s="315">
        <f t="shared" ref="I10:I40" si="3">G10*(H10^2)*0.5</f>
        <v>0</v>
      </c>
      <c r="J10" s="316">
        <f t="shared" si="1"/>
        <v>0</v>
      </c>
    </row>
    <row r="11" spans="1:11">
      <c r="A11" s="295">
        <v>2</v>
      </c>
      <c r="B11" s="295">
        <f t="shared" si="2"/>
        <v>-10</v>
      </c>
      <c r="C11" s="295">
        <v>1.3</v>
      </c>
      <c r="D11" s="295" t="s">
        <v>115</v>
      </c>
      <c r="E11" s="295">
        <v>27</v>
      </c>
      <c r="F11" s="316">
        <f t="shared" si="0"/>
        <v>1.125</v>
      </c>
      <c r="I11" s="315">
        <f t="shared" si="3"/>
        <v>0</v>
      </c>
      <c r="J11" s="316">
        <f t="shared" si="1"/>
        <v>0</v>
      </c>
    </row>
    <row r="12" spans="1:11">
      <c r="A12" s="295">
        <v>2</v>
      </c>
      <c r="B12" s="295">
        <f t="shared" si="2"/>
        <v>-10</v>
      </c>
      <c r="C12" s="295">
        <v>1.4</v>
      </c>
      <c r="D12" s="295" t="s">
        <v>115</v>
      </c>
      <c r="E12" s="295">
        <v>26</v>
      </c>
      <c r="F12" s="316">
        <f t="shared" si="0"/>
        <v>0.9285714285714286</v>
      </c>
      <c r="I12" s="315">
        <f t="shared" si="3"/>
        <v>0</v>
      </c>
      <c r="J12" s="316">
        <f t="shared" si="1"/>
        <v>0</v>
      </c>
    </row>
    <row r="13" spans="1:11">
      <c r="A13" s="295">
        <v>2</v>
      </c>
      <c r="B13" s="295">
        <f t="shared" si="2"/>
        <v>-10</v>
      </c>
      <c r="C13" s="295">
        <v>1.5</v>
      </c>
      <c r="D13" s="295" t="s">
        <v>112</v>
      </c>
      <c r="E13" s="295">
        <v>27</v>
      </c>
      <c r="F13" s="316">
        <f t="shared" si="0"/>
        <v>0.9642857142857143</v>
      </c>
      <c r="I13" s="315">
        <f t="shared" si="3"/>
        <v>0</v>
      </c>
      <c r="J13" s="316">
        <f t="shared" si="1"/>
        <v>0</v>
      </c>
    </row>
    <row r="14" spans="1:11">
      <c r="A14" s="295">
        <v>2</v>
      </c>
      <c r="B14" s="295">
        <f t="shared" si="2"/>
        <v>-10</v>
      </c>
      <c r="C14" s="295">
        <v>2.1</v>
      </c>
      <c r="D14" s="295" t="s">
        <v>114</v>
      </c>
      <c r="E14" s="295">
        <v>27</v>
      </c>
      <c r="F14" s="316">
        <f t="shared" si="0"/>
        <v>1.0384615384615385</v>
      </c>
      <c r="I14" s="315">
        <f t="shared" si="3"/>
        <v>0</v>
      </c>
      <c r="J14" s="316">
        <f t="shared" si="1"/>
        <v>0</v>
      </c>
    </row>
    <row r="15" spans="1:11">
      <c r="A15" s="295">
        <v>2</v>
      </c>
      <c r="B15" s="295">
        <f t="shared" si="2"/>
        <v>-10</v>
      </c>
      <c r="C15" s="295">
        <v>2.2000000000000002</v>
      </c>
      <c r="D15" s="295" t="s">
        <v>115</v>
      </c>
      <c r="E15" s="295">
        <v>26</v>
      </c>
      <c r="F15" s="316">
        <f t="shared" si="0"/>
        <v>0.9285714285714286</v>
      </c>
      <c r="I15" s="315">
        <f t="shared" si="3"/>
        <v>0</v>
      </c>
      <c r="J15" s="316">
        <f t="shared" si="1"/>
        <v>0</v>
      </c>
    </row>
    <row r="16" spans="1:11">
      <c r="A16" s="295">
        <v>2</v>
      </c>
      <c r="B16" s="295">
        <f t="shared" si="2"/>
        <v>-10</v>
      </c>
      <c r="C16" s="295">
        <v>2.2999999999999998</v>
      </c>
      <c r="D16" s="295" t="s">
        <v>112</v>
      </c>
      <c r="E16" s="295">
        <v>25</v>
      </c>
      <c r="F16" s="316">
        <f t="shared" si="0"/>
        <v>1</v>
      </c>
      <c r="I16" s="315">
        <f t="shared" si="3"/>
        <v>0</v>
      </c>
      <c r="J16" s="316">
        <f t="shared" si="1"/>
        <v>0</v>
      </c>
    </row>
    <row r="17" spans="1:10">
      <c r="A17" s="295">
        <v>2</v>
      </c>
      <c r="B17" s="295">
        <f t="shared" si="2"/>
        <v>-10</v>
      </c>
      <c r="C17" s="295">
        <v>2.4</v>
      </c>
      <c r="D17" s="295" t="s">
        <v>114</v>
      </c>
      <c r="E17" s="295">
        <v>24</v>
      </c>
      <c r="F17" s="316">
        <f t="shared" si="0"/>
        <v>0.96</v>
      </c>
      <c r="I17" s="315">
        <f t="shared" si="3"/>
        <v>0</v>
      </c>
      <c r="J17" s="316">
        <f t="shared" si="1"/>
        <v>0</v>
      </c>
    </row>
    <row r="18" spans="1:10">
      <c r="A18" s="295">
        <v>2</v>
      </c>
      <c r="B18" s="295">
        <f t="shared" si="2"/>
        <v>-10</v>
      </c>
      <c r="C18" s="295">
        <v>2.5</v>
      </c>
      <c r="D18" s="295" t="s">
        <v>113</v>
      </c>
      <c r="E18" s="295">
        <v>27</v>
      </c>
      <c r="F18" s="316">
        <f t="shared" si="0"/>
        <v>1</v>
      </c>
      <c r="I18" s="315">
        <f t="shared" si="3"/>
        <v>0</v>
      </c>
      <c r="J18" s="316">
        <f t="shared" si="1"/>
        <v>0</v>
      </c>
    </row>
    <row r="19" spans="1:10">
      <c r="A19" s="295">
        <v>2</v>
      </c>
      <c r="B19" s="295">
        <f t="shared" si="2"/>
        <v>-10</v>
      </c>
      <c r="C19" s="295">
        <v>3.1</v>
      </c>
      <c r="D19" s="295" t="s">
        <v>115</v>
      </c>
      <c r="E19" s="295">
        <v>23</v>
      </c>
      <c r="F19" s="316">
        <f t="shared" si="0"/>
        <v>0.95833333333333337</v>
      </c>
      <c r="I19" s="315">
        <f t="shared" si="3"/>
        <v>0</v>
      </c>
      <c r="J19" s="316">
        <f t="shared" si="1"/>
        <v>0</v>
      </c>
    </row>
    <row r="20" spans="1:10" s="316" customFormat="1">
      <c r="A20" s="295">
        <v>2</v>
      </c>
      <c r="B20" s="295">
        <f t="shared" si="2"/>
        <v>-10</v>
      </c>
      <c r="C20" s="295">
        <v>3.2</v>
      </c>
      <c r="D20" s="295" t="s">
        <v>113</v>
      </c>
      <c r="E20" s="295">
        <v>30</v>
      </c>
      <c r="F20" s="316">
        <f t="shared" si="0"/>
        <v>1</v>
      </c>
      <c r="G20" s="295"/>
      <c r="H20" s="295"/>
      <c r="I20" s="315">
        <f t="shared" si="3"/>
        <v>0</v>
      </c>
      <c r="J20" s="316">
        <f t="shared" si="1"/>
        <v>0</v>
      </c>
    </row>
    <row r="21" spans="1:10" s="316" customFormat="1">
      <c r="A21" s="295">
        <v>2</v>
      </c>
      <c r="B21" s="295">
        <f t="shared" si="2"/>
        <v>-10</v>
      </c>
      <c r="C21" s="295">
        <v>3.3</v>
      </c>
      <c r="D21" s="295" t="s">
        <v>114</v>
      </c>
      <c r="E21" s="295">
        <v>24</v>
      </c>
      <c r="F21" s="316">
        <f t="shared" si="0"/>
        <v>0.96</v>
      </c>
      <c r="G21" s="295"/>
      <c r="H21" s="295"/>
      <c r="I21" s="315">
        <f t="shared" si="3"/>
        <v>0</v>
      </c>
      <c r="J21" s="316">
        <f t="shared" si="1"/>
        <v>0</v>
      </c>
    </row>
    <row r="22" spans="1:10" s="316" customFormat="1">
      <c r="A22" s="295">
        <v>2</v>
      </c>
      <c r="B22" s="295">
        <f t="shared" si="2"/>
        <v>-10</v>
      </c>
      <c r="C22" s="295">
        <v>3.4</v>
      </c>
      <c r="D22" s="295" t="s">
        <v>114</v>
      </c>
      <c r="E22" s="295">
        <v>24</v>
      </c>
      <c r="F22" s="316">
        <f t="shared" si="0"/>
        <v>0.96</v>
      </c>
      <c r="G22" s="295"/>
      <c r="H22" s="295"/>
      <c r="I22" s="315">
        <f t="shared" si="3"/>
        <v>0</v>
      </c>
      <c r="J22" s="316">
        <f t="shared" si="1"/>
        <v>0</v>
      </c>
    </row>
    <row r="23" spans="1:10" s="316" customFormat="1">
      <c r="A23" s="295">
        <v>2</v>
      </c>
      <c r="B23" s="295">
        <f t="shared" si="2"/>
        <v>-10</v>
      </c>
      <c r="C23" s="295">
        <v>3.5</v>
      </c>
      <c r="D23" s="295" t="s">
        <v>115</v>
      </c>
      <c r="E23" s="295">
        <v>26</v>
      </c>
      <c r="F23" s="316">
        <f t="shared" si="0"/>
        <v>0.96296296296296291</v>
      </c>
      <c r="G23" s="295"/>
      <c r="H23" s="295"/>
      <c r="I23" s="315">
        <f t="shared" si="3"/>
        <v>0</v>
      </c>
      <c r="J23" s="316">
        <f t="shared" si="1"/>
        <v>0</v>
      </c>
    </row>
    <row r="24" spans="1:10" s="316" customFormat="1">
      <c r="A24" s="295">
        <v>2</v>
      </c>
      <c r="B24" s="295">
        <f t="shared" si="2"/>
        <v>-10</v>
      </c>
      <c r="C24" s="295">
        <v>4.0999999999999996</v>
      </c>
      <c r="D24" s="295" t="s">
        <v>111</v>
      </c>
      <c r="E24" s="295">
        <v>28</v>
      </c>
      <c r="F24" s="316">
        <f t="shared" si="0"/>
        <v>1</v>
      </c>
      <c r="G24" s="295"/>
      <c r="H24" s="295"/>
      <c r="I24" s="315">
        <f t="shared" si="3"/>
        <v>0</v>
      </c>
      <c r="J24" s="316">
        <f t="shared" si="1"/>
        <v>0</v>
      </c>
    </row>
    <row r="25" spans="1:10" s="316" customFormat="1">
      <c r="A25" s="295">
        <v>2</v>
      </c>
      <c r="B25" s="295">
        <f t="shared" si="2"/>
        <v>-10</v>
      </c>
      <c r="C25" s="295">
        <v>4.2</v>
      </c>
      <c r="D25" s="295" t="s">
        <v>112</v>
      </c>
      <c r="E25" s="295">
        <v>28</v>
      </c>
      <c r="F25" s="316">
        <f t="shared" si="0"/>
        <v>0.96551724137931039</v>
      </c>
      <c r="G25" s="295"/>
      <c r="H25" s="295"/>
      <c r="I25" s="315">
        <f t="shared" si="3"/>
        <v>0</v>
      </c>
      <c r="J25" s="316">
        <f t="shared" si="1"/>
        <v>0</v>
      </c>
    </row>
    <row r="26" spans="1:10" s="316" customFormat="1">
      <c r="A26" s="295">
        <v>2</v>
      </c>
      <c r="B26" s="295">
        <f t="shared" si="2"/>
        <v>-10</v>
      </c>
      <c r="C26" s="295">
        <v>4.3</v>
      </c>
      <c r="D26" s="295" t="s">
        <v>113</v>
      </c>
      <c r="E26" s="295">
        <v>25</v>
      </c>
      <c r="F26" s="316">
        <f t="shared" si="0"/>
        <v>0.96153846153846156</v>
      </c>
      <c r="G26" s="295"/>
      <c r="H26" s="295"/>
      <c r="I26" s="315">
        <f t="shared" si="3"/>
        <v>0</v>
      </c>
      <c r="J26" s="316">
        <f t="shared" si="1"/>
        <v>0</v>
      </c>
    </row>
    <row r="27" spans="1:10" s="316" customFormat="1">
      <c r="A27" s="295">
        <v>2</v>
      </c>
      <c r="B27" s="295">
        <f t="shared" si="2"/>
        <v>-10</v>
      </c>
      <c r="C27" s="295">
        <v>4.4000000000000004</v>
      </c>
      <c r="D27" s="295" t="s">
        <v>112</v>
      </c>
      <c r="E27" s="295">
        <v>31</v>
      </c>
      <c r="F27" s="316">
        <f t="shared" si="0"/>
        <v>1</v>
      </c>
      <c r="G27" s="295"/>
      <c r="H27" s="295"/>
      <c r="I27" s="315">
        <f>G27*(H27^2)*0.5</f>
        <v>0</v>
      </c>
      <c r="J27" s="316">
        <f t="shared" si="1"/>
        <v>0</v>
      </c>
    </row>
    <row r="28" spans="1:10" s="316" customFormat="1">
      <c r="A28" s="295">
        <v>2</v>
      </c>
      <c r="B28" s="295">
        <f t="shared" si="2"/>
        <v>-10</v>
      </c>
      <c r="C28" s="295">
        <v>4.5</v>
      </c>
      <c r="D28" s="295" t="s">
        <v>112</v>
      </c>
      <c r="E28" s="295">
        <v>26</v>
      </c>
      <c r="F28" s="316">
        <f t="shared" si="0"/>
        <v>0.96296296296296291</v>
      </c>
      <c r="G28" s="295"/>
      <c r="H28" s="295"/>
      <c r="I28" s="315">
        <f t="shared" si="3"/>
        <v>0</v>
      </c>
      <c r="J28" s="316">
        <f t="shared" si="1"/>
        <v>0</v>
      </c>
    </row>
    <row r="29" spans="1:10" s="316" customFormat="1">
      <c r="A29" s="295">
        <v>2</v>
      </c>
      <c r="B29" s="295">
        <f t="shared" si="2"/>
        <v>-10</v>
      </c>
      <c r="C29" s="295">
        <v>5.0999999999999996</v>
      </c>
      <c r="D29" s="295" t="s">
        <v>113</v>
      </c>
      <c r="E29" s="295">
        <v>27</v>
      </c>
      <c r="F29" s="316">
        <f t="shared" si="0"/>
        <v>1.125</v>
      </c>
      <c r="G29" s="295"/>
      <c r="H29" s="295"/>
      <c r="I29" s="315">
        <f t="shared" si="3"/>
        <v>0</v>
      </c>
      <c r="J29" s="316">
        <f t="shared" si="1"/>
        <v>0</v>
      </c>
    </row>
    <row r="30" spans="1:10" s="316" customFormat="1">
      <c r="A30" s="295">
        <v>2</v>
      </c>
      <c r="B30" s="295">
        <f t="shared" si="2"/>
        <v>-10</v>
      </c>
      <c r="C30" s="295">
        <v>5.2</v>
      </c>
      <c r="D30" s="295" t="s">
        <v>114</v>
      </c>
      <c r="E30" s="295">
        <v>26</v>
      </c>
      <c r="F30" s="316">
        <f t="shared" si="0"/>
        <v>0.96296296296296291</v>
      </c>
      <c r="G30" s="295"/>
      <c r="H30" s="295"/>
      <c r="I30" s="315">
        <f t="shared" si="3"/>
        <v>0</v>
      </c>
      <c r="J30" s="316">
        <f t="shared" si="1"/>
        <v>0</v>
      </c>
    </row>
    <row r="31" spans="1:10" s="316" customFormat="1">
      <c r="A31" s="295">
        <v>2</v>
      </c>
      <c r="B31" s="295">
        <f t="shared" si="2"/>
        <v>-10</v>
      </c>
      <c r="C31" s="295">
        <v>5.3</v>
      </c>
      <c r="D31" s="295" t="s">
        <v>112</v>
      </c>
      <c r="E31" s="295">
        <v>29</v>
      </c>
      <c r="F31" s="316">
        <f t="shared" si="0"/>
        <v>1.0357142857142858</v>
      </c>
      <c r="G31" s="295"/>
      <c r="H31" s="295"/>
      <c r="I31" s="315">
        <f t="shared" si="3"/>
        <v>0</v>
      </c>
      <c r="J31" s="316">
        <f t="shared" si="1"/>
        <v>0</v>
      </c>
    </row>
    <row r="32" spans="1:10" s="316" customFormat="1">
      <c r="A32" s="295">
        <v>2</v>
      </c>
      <c r="B32" s="295">
        <f t="shared" si="2"/>
        <v>-10</v>
      </c>
      <c r="C32" s="295">
        <v>5.4</v>
      </c>
      <c r="D32" s="295" t="s">
        <v>113</v>
      </c>
      <c r="E32" s="295">
        <v>24</v>
      </c>
      <c r="F32" s="316">
        <f t="shared" si="0"/>
        <v>0.92307692307692313</v>
      </c>
      <c r="G32" s="295"/>
      <c r="H32" s="295"/>
      <c r="I32" s="315">
        <f t="shared" si="3"/>
        <v>0</v>
      </c>
      <c r="J32" s="316">
        <f t="shared" si="1"/>
        <v>0</v>
      </c>
    </row>
    <row r="33" spans="1:10" s="316" customFormat="1">
      <c r="A33" s="295">
        <v>2</v>
      </c>
      <c r="B33" s="295">
        <f t="shared" si="2"/>
        <v>-10</v>
      </c>
      <c r="C33" s="295">
        <v>5.5</v>
      </c>
      <c r="D33" s="295" t="s">
        <v>114</v>
      </c>
      <c r="E33" s="295">
        <v>23</v>
      </c>
      <c r="F33" s="316">
        <f t="shared" si="0"/>
        <v>1.0454545454545454</v>
      </c>
      <c r="G33" s="295"/>
      <c r="H33" s="295"/>
      <c r="I33" s="315">
        <f t="shared" si="3"/>
        <v>0</v>
      </c>
      <c r="J33" s="316">
        <f t="shared" si="1"/>
        <v>0</v>
      </c>
    </row>
    <row r="34" spans="1:10" s="316" customFormat="1">
      <c r="A34" s="295">
        <v>2</v>
      </c>
      <c r="B34" s="295">
        <f t="shared" si="2"/>
        <v>-10</v>
      </c>
      <c r="C34" s="295">
        <v>6.1</v>
      </c>
      <c r="D34" s="295" t="s">
        <v>115</v>
      </c>
      <c r="E34" s="295">
        <v>26</v>
      </c>
      <c r="F34" s="316">
        <f t="shared" si="0"/>
        <v>1.04</v>
      </c>
      <c r="G34" s="295"/>
      <c r="H34" s="295"/>
      <c r="I34" s="315">
        <f t="shared" si="3"/>
        <v>0</v>
      </c>
      <c r="J34" s="316">
        <f t="shared" si="1"/>
        <v>0</v>
      </c>
    </row>
    <row r="35" spans="1:10" s="316" customFormat="1">
      <c r="A35" s="295">
        <v>2</v>
      </c>
      <c r="B35" s="295">
        <f t="shared" si="2"/>
        <v>-10</v>
      </c>
      <c r="C35" s="295">
        <v>6.2</v>
      </c>
      <c r="D35" s="295" t="s">
        <v>115</v>
      </c>
      <c r="E35" s="295">
        <v>24</v>
      </c>
      <c r="F35" s="316">
        <f t="shared" si="0"/>
        <v>0.88888888888888884</v>
      </c>
      <c r="G35" s="295"/>
      <c r="H35" s="295"/>
      <c r="I35" s="315">
        <f t="shared" si="3"/>
        <v>0</v>
      </c>
      <c r="J35" s="316">
        <f t="shared" si="1"/>
        <v>0</v>
      </c>
    </row>
    <row r="36" spans="1:10" s="316" customFormat="1">
      <c r="A36" s="295">
        <v>2</v>
      </c>
      <c r="B36" s="295">
        <f t="shared" si="2"/>
        <v>-10</v>
      </c>
      <c r="C36" s="295">
        <v>6.3</v>
      </c>
      <c r="D36" s="295" t="s">
        <v>114</v>
      </c>
      <c r="E36" s="295">
        <v>23</v>
      </c>
      <c r="F36" s="316">
        <f t="shared" si="0"/>
        <v>0.95833333333333337</v>
      </c>
      <c r="G36" s="295"/>
      <c r="H36" s="295"/>
      <c r="I36" s="315">
        <f t="shared" si="3"/>
        <v>0</v>
      </c>
      <c r="J36" s="316">
        <f t="shared" si="1"/>
        <v>0</v>
      </c>
    </row>
    <row r="37" spans="1:10" s="316" customFormat="1">
      <c r="A37" s="295">
        <v>2</v>
      </c>
      <c r="B37" s="295">
        <f t="shared" si="2"/>
        <v>-10</v>
      </c>
      <c r="C37" s="295">
        <v>6.4</v>
      </c>
      <c r="D37" s="295" t="s">
        <v>112</v>
      </c>
      <c r="E37" s="295">
        <v>28</v>
      </c>
      <c r="F37" s="316">
        <f t="shared" si="0"/>
        <v>0.96551724137931039</v>
      </c>
      <c r="G37" s="295"/>
      <c r="H37" s="295"/>
      <c r="I37" s="315">
        <f t="shared" si="3"/>
        <v>0</v>
      </c>
      <c r="J37" s="316">
        <f t="shared" si="1"/>
        <v>0</v>
      </c>
    </row>
    <row r="38" spans="1:10" s="316" customFormat="1">
      <c r="A38" s="295">
        <v>2</v>
      </c>
      <c r="B38" s="295">
        <f t="shared" si="2"/>
        <v>-10</v>
      </c>
      <c r="C38" s="295">
        <v>6.5</v>
      </c>
      <c r="D38" s="295" t="s">
        <v>113</v>
      </c>
      <c r="E38" s="295">
        <v>20</v>
      </c>
      <c r="F38" s="316">
        <f t="shared" si="0"/>
        <v>0.83333333333333337</v>
      </c>
      <c r="G38" s="295"/>
      <c r="H38" s="295"/>
      <c r="I38" s="315">
        <f t="shared" si="3"/>
        <v>0</v>
      </c>
      <c r="J38" s="316">
        <f t="shared" si="1"/>
        <v>0</v>
      </c>
    </row>
    <row r="39" spans="1:10" s="316" customFormat="1">
      <c r="A39" s="295">
        <v>2</v>
      </c>
      <c r="B39" s="295">
        <f t="shared" si="2"/>
        <v>-10</v>
      </c>
      <c r="C39" s="295">
        <v>7.1</v>
      </c>
      <c r="D39" s="295" t="s">
        <v>114</v>
      </c>
      <c r="E39" s="295">
        <v>27</v>
      </c>
      <c r="F39" s="316">
        <f t="shared" si="0"/>
        <v>1</v>
      </c>
      <c r="G39" s="295"/>
      <c r="H39" s="295"/>
      <c r="I39" s="315">
        <f t="shared" si="3"/>
        <v>0</v>
      </c>
      <c r="J39" s="316">
        <f t="shared" si="1"/>
        <v>0</v>
      </c>
    </row>
    <row r="40" spans="1:10" s="316" customFormat="1">
      <c r="A40" s="295">
        <v>2</v>
      </c>
      <c r="B40" s="295">
        <f t="shared" si="2"/>
        <v>-10</v>
      </c>
      <c r="C40" s="295">
        <v>7.2</v>
      </c>
      <c r="D40" s="295" t="s">
        <v>111</v>
      </c>
      <c r="E40" s="295">
        <v>29</v>
      </c>
      <c r="F40" s="316">
        <f t="shared" si="0"/>
        <v>1</v>
      </c>
      <c r="G40" s="295"/>
      <c r="H40" s="295"/>
      <c r="I40" s="315">
        <f t="shared" si="3"/>
        <v>0</v>
      </c>
      <c r="J40" s="316">
        <f t="shared" si="1"/>
        <v>0</v>
      </c>
    </row>
    <row r="41" spans="1:10" s="316" customFormat="1">
      <c r="A41" s="295">
        <v>2</v>
      </c>
      <c r="B41" s="295">
        <f t="shared" si="2"/>
        <v>-10</v>
      </c>
      <c r="C41" s="295">
        <v>7.3</v>
      </c>
      <c r="D41" s="295" t="s">
        <v>113</v>
      </c>
      <c r="E41" s="295">
        <v>29</v>
      </c>
      <c r="F41" s="316">
        <f t="shared" si="0"/>
        <v>1.0740740740740742</v>
      </c>
      <c r="G41" s="295"/>
      <c r="H41" s="295"/>
      <c r="I41" s="315" cm="1">
        <f t="array" aca="1" ref="I41" ca="1">I41:I2491=G41*(H41^2)*0.5</f>
        <v>0</v>
      </c>
      <c r="J41" s="316">
        <f t="shared" ca="1" si="1"/>
        <v>0</v>
      </c>
    </row>
    <row r="42" spans="1:10" s="316" customFormat="1">
      <c r="A42" s="295">
        <v>2</v>
      </c>
      <c r="B42" s="295">
        <f t="shared" si="2"/>
        <v>-10</v>
      </c>
      <c r="C42" s="295">
        <v>7.4</v>
      </c>
      <c r="D42" s="295" t="s">
        <v>115</v>
      </c>
      <c r="E42" s="295">
        <v>27</v>
      </c>
      <c r="F42" s="316">
        <f t="shared" si="0"/>
        <v>1</v>
      </c>
      <c r="G42" s="295"/>
      <c r="H42" s="295"/>
      <c r="I42" s="315">
        <f t="shared" ref="I42:I43" si="4">G42*(H42^2)*0.5</f>
        <v>0</v>
      </c>
      <c r="J42" s="316">
        <f t="shared" si="1"/>
        <v>0</v>
      </c>
    </row>
    <row r="43" spans="1:10" s="316" customFormat="1">
      <c r="A43" s="295">
        <v>2</v>
      </c>
      <c r="B43" s="295">
        <f t="shared" si="2"/>
        <v>-10</v>
      </c>
      <c r="C43" s="295">
        <v>7.5</v>
      </c>
      <c r="D43" s="295" t="s">
        <v>111</v>
      </c>
      <c r="E43" s="295">
        <v>23</v>
      </c>
      <c r="F43" s="316">
        <f t="shared" si="0"/>
        <v>0.7931034482758621</v>
      </c>
      <c r="G43" s="295"/>
      <c r="H43" s="295"/>
      <c r="I43" s="315">
        <f t="shared" si="4"/>
        <v>0</v>
      </c>
      <c r="J43" s="316">
        <f t="shared" si="1"/>
        <v>0</v>
      </c>
    </row>
    <row r="44" spans="1:10" s="316" customFormat="1">
      <c r="A44" s="295">
        <v>6</v>
      </c>
      <c r="B44" s="295">
        <f t="shared" si="2"/>
        <v>-6</v>
      </c>
      <c r="C44" s="295">
        <v>1.1000000000000001</v>
      </c>
      <c r="D44" s="295" t="s">
        <v>112</v>
      </c>
      <c r="E44" s="295">
        <v>28</v>
      </c>
      <c r="F44" s="316">
        <f t="shared" si="0"/>
        <v>1</v>
      </c>
      <c r="G44" s="295">
        <v>5.4</v>
      </c>
      <c r="H44" s="295">
        <v>4.4000000000000004</v>
      </c>
      <c r="I44" s="315">
        <f>G44*(H44^2)*0.5</f>
        <v>52.272000000000013</v>
      </c>
      <c r="J44" s="316">
        <f t="shared" si="1"/>
        <v>0.23204773066268919</v>
      </c>
    </row>
    <row r="45" spans="1:10" s="316" customFormat="1">
      <c r="A45" s="295">
        <v>6</v>
      </c>
      <c r="B45" s="295">
        <f t="shared" si="2"/>
        <v>-6</v>
      </c>
      <c r="C45" s="295">
        <v>1.2</v>
      </c>
      <c r="D45" s="295" t="s">
        <v>113</v>
      </c>
      <c r="E45" s="295">
        <v>27</v>
      </c>
      <c r="F45" s="316">
        <f t="shared" si="0"/>
        <v>1</v>
      </c>
      <c r="G45" s="295">
        <v>6.3</v>
      </c>
      <c r="H45" s="295">
        <v>4.5999999999999996</v>
      </c>
      <c r="I45" s="315">
        <f t="shared" ref="I45:I78" si="5">G45*(H45^2)*0.5</f>
        <v>66.653999999999982</v>
      </c>
      <c r="J45" s="316">
        <f t="shared" si="1"/>
        <v>0.31861148223124586</v>
      </c>
    </row>
    <row r="46" spans="1:10" s="316" customFormat="1">
      <c r="A46" s="295">
        <v>6</v>
      </c>
      <c r="B46" s="295">
        <f t="shared" si="2"/>
        <v>-6</v>
      </c>
      <c r="C46" s="295">
        <v>1.3</v>
      </c>
      <c r="D46" s="295" t="s">
        <v>115</v>
      </c>
      <c r="E46" s="295">
        <v>24</v>
      </c>
      <c r="F46" s="316">
        <f t="shared" si="0"/>
        <v>1</v>
      </c>
      <c r="G46" s="295">
        <v>5.8</v>
      </c>
      <c r="H46" s="295">
        <v>3.9</v>
      </c>
      <c r="I46" s="315">
        <f t="shared" si="5"/>
        <v>44.108999999999995</v>
      </c>
      <c r="J46" s="316">
        <f t="shared" si="1"/>
        <v>0.44489832970225118</v>
      </c>
    </row>
    <row r="47" spans="1:10" s="316" customFormat="1">
      <c r="A47" s="295">
        <v>6</v>
      </c>
      <c r="B47" s="295">
        <f t="shared" si="2"/>
        <v>-6</v>
      </c>
      <c r="C47" s="295">
        <v>1.4</v>
      </c>
      <c r="D47" s="295" t="s">
        <v>115</v>
      </c>
      <c r="E47" s="295">
        <v>26</v>
      </c>
      <c r="F47" s="316">
        <f t="shared" si="0"/>
        <v>0.9285714285714286</v>
      </c>
      <c r="G47" s="295">
        <v>5.3</v>
      </c>
      <c r="H47" s="295">
        <v>3.7</v>
      </c>
      <c r="I47" s="315">
        <f t="shared" si="5"/>
        <v>36.278500000000001</v>
      </c>
      <c r="J47" s="316">
        <f t="shared" si="1"/>
        <v>0.19990797681236086</v>
      </c>
    </row>
    <row r="48" spans="1:10" s="316" customFormat="1">
      <c r="A48" s="295">
        <v>6</v>
      </c>
      <c r="B48" s="295">
        <f t="shared" si="2"/>
        <v>-6</v>
      </c>
      <c r="C48" s="295">
        <v>1.5</v>
      </c>
      <c r="D48" s="295" t="s">
        <v>112</v>
      </c>
      <c r="E48" s="295">
        <v>24</v>
      </c>
      <c r="F48" s="316">
        <f t="shared" si="0"/>
        <v>0.8571428571428571</v>
      </c>
      <c r="G48" s="295">
        <v>4.8</v>
      </c>
      <c r="H48" s="295">
        <v>4.5</v>
      </c>
      <c r="I48" s="315">
        <f t="shared" si="5"/>
        <v>48.6</v>
      </c>
      <c r="J48" s="316">
        <f t="shared" si="1"/>
        <v>0.34897748161764702</v>
      </c>
    </row>
    <row r="49" spans="1:10" s="316" customFormat="1">
      <c r="A49" s="295">
        <v>6</v>
      </c>
      <c r="B49" s="295">
        <f t="shared" si="2"/>
        <v>-6</v>
      </c>
      <c r="C49" s="295">
        <v>2.1</v>
      </c>
      <c r="D49" s="295" t="s">
        <v>114</v>
      </c>
      <c r="E49" s="295">
        <v>26</v>
      </c>
      <c r="F49" s="316">
        <f t="shared" si="0"/>
        <v>1</v>
      </c>
      <c r="G49" s="295">
        <v>5</v>
      </c>
      <c r="H49" s="295">
        <v>5</v>
      </c>
      <c r="I49" s="315">
        <f t="shared" si="5"/>
        <v>62.5</v>
      </c>
      <c r="J49" s="316">
        <f t="shared" si="1"/>
        <v>0.33234162592158323</v>
      </c>
    </row>
    <row r="50" spans="1:10" s="316" customFormat="1">
      <c r="A50" s="295">
        <v>6</v>
      </c>
      <c r="B50" s="295">
        <f t="shared" si="2"/>
        <v>-6</v>
      </c>
      <c r="C50" s="295">
        <v>2.2000000000000002</v>
      </c>
      <c r="D50" s="295" t="s">
        <v>115</v>
      </c>
      <c r="E50" s="295">
        <v>28</v>
      </c>
      <c r="F50" s="316">
        <f t="shared" si="0"/>
        <v>1</v>
      </c>
      <c r="G50" s="295">
        <v>4.8</v>
      </c>
      <c r="H50" s="295">
        <v>4.7</v>
      </c>
      <c r="I50" s="315">
        <f t="shared" si="5"/>
        <v>53.016000000000005</v>
      </c>
      <c r="J50" s="316">
        <f t="shared" si="1"/>
        <v>0.60434311769734972</v>
      </c>
    </row>
    <row r="51" spans="1:10" s="316" customFormat="1">
      <c r="A51" s="295">
        <v>6</v>
      </c>
      <c r="B51" s="295">
        <f t="shared" si="2"/>
        <v>-6</v>
      </c>
      <c r="C51" s="295">
        <v>2.2999999999999998</v>
      </c>
      <c r="D51" s="295" t="s">
        <v>112</v>
      </c>
      <c r="E51" s="295">
        <v>26</v>
      </c>
      <c r="F51" s="316">
        <f t="shared" si="0"/>
        <v>1.04</v>
      </c>
      <c r="G51" s="295">
        <v>5</v>
      </c>
      <c r="H51" s="295">
        <v>4.8</v>
      </c>
      <c r="I51" s="315">
        <f t="shared" si="5"/>
        <v>57.599999999999994</v>
      </c>
      <c r="J51" s="316">
        <f t="shared" si="1"/>
        <v>0.34679366379076776</v>
      </c>
    </row>
    <row r="52" spans="1:10" s="316" customFormat="1">
      <c r="A52" s="295">
        <v>6</v>
      </c>
      <c r="B52" s="295">
        <f t="shared" si="2"/>
        <v>-6</v>
      </c>
      <c r="C52" s="295">
        <v>2.4</v>
      </c>
      <c r="D52" s="295" t="s">
        <v>114</v>
      </c>
      <c r="E52" s="295">
        <v>25</v>
      </c>
      <c r="F52" s="316">
        <f t="shared" si="0"/>
        <v>1</v>
      </c>
      <c r="G52" s="295">
        <v>5.5</v>
      </c>
      <c r="H52" s="295">
        <v>4.5999999999999996</v>
      </c>
      <c r="I52" s="315">
        <f t="shared" si="5"/>
        <v>58.189999999999991</v>
      </c>
      <c r="J52" s="316">
        <f t="shared" si="1"/>
        <v>0.54130232558139524</v>
      </c>
    </row>
    <row r="53" spans="1:10" s="316" customFormat="1">
      <c r="A53" s="295">
        <v>6</v>
      </c>
      <c r="B53" s="295">
        <f t="shared" si="2"/>
        <v>-6</v>
      </c>
      <c r="C53" s="295">
        <v>2.5</v>
      </c>
      <c r="D53" s="295" t="s">
        <v>113</v>
      </c>
      <c r="E53" s="295">
        <v>27</v>
      </c>
      <c r="F53" s="316">
        <f t="shared" si="0"/>
        <v>1</v>
      </c>
      <c r="G53" s="295">
        <v>5</v>
      </c>
      <c r="H53" s="295">
        <v>4.9000000000000004</v>
      </c>
      <c r="I53" s="315">
        <f t="shared" si="5"/>
        <v>60.025000000000013</v>
      </c>
      <c r="J53" s="316">
        <f t="shared" si="1"/>
        <v>0.35188355160567947</v>
      </c>
    </row>
    <row r="54" spans="1:10" s="316" customFormat="1">
      <c r="A54" s="295">
        <v>6</v>
      </c>
      <c r="B54" s="295">
        <f t="shared" si="2"/>
        <v>-6</v>
      </c>
      <c r="C54" s="295">
        <v>3.1</v>
      </c>
      <c r="D54" s="295" t="s">
        <v>115</v>
      </c>
      <c r="E54" s="295">
        <v>24</v>
      </c>
      <c r="F54" s="316">
        <f t="shared" si="0"/>
        <v>1</v>
      </c>
      <c r="G54" s="295">
        <v>5.6</v>
      </c>
      <c r="H54" s="295">
        <v>3.8</v>
      </c>
      <c r="I54" s="315">
        <f t="shared" si="5"/>
        <v>40.431999999999995</v>
      </c>
      <c r="J54" s="316">
        <f t="shared" si="1"/>
        <v>0.22255125911655427</v>
      </c>
    </row>
    <row r="55" spans="1:10" s="316" customFormat="1">
      <c r="A55" s="295">
        <v>6</v>
      </c>
      <c r="B55" s="295">
        <f t="shared" si="2"/>
        <v>-6</v>
      </c>
      <c r="C55" s="295">
        <v>3.2</v>
      </c>
      <c r="D55" s="295" t="s">
        <v>113</v>
      </c>
      <c r="E55" s="295">
        <v>30</v>
      </c>
      <c r="F55" s="316">
        <f t="shared" si="0"/>
        <v>1</v>
      </c>
      <c r="G55" s="295">
        <v>4.7</v>
      </c>
      <c r="H55" s="295">
        <v>4.7</v>
      </c>
      <c r="I55" s="315">
        <f t="shared" si="5"/>
        <v>51.911500000000011</v>
      </c>
      <c r="J55" s="316">
        <f t="shared" si="1"/>
        <v>0.27051892691874774</v>
      </c>
    </row>
    <row r="56" spans="1:10" s="316" customFormat="1">
      <c r="A56" s="295">
        <v>6</v>
      </c>
      <c r="B56" s="295">
        <f t="shared" si="2"/>
        <v>-6</v>
      </c>
      <c r="C56" s="295">
        <v>3.3</v>
      </c>
      <c r="D56" s="295" t="s">
        <v>114</v>
      </c>
      <c r="E56" s="295">
        <v>25</v>
      </c>
      <c r="F56" s="316">
        <f t="shared" si="0"/>
        <v>1</v>
      </c>
      <c r="G56" s="295">
        <v>6.5</v>
      </c>
      <c r="H56" s="295">
        <v>5.2</v>
      </c>
      <c r="I56" s="315">
        <f t="shared" si="5"/>
        <v>87.88000000000001</v>
      </c>
      <c r="J56" s="316">
        <f t="shared" si="1"/>
        <v>0.42701652089407194</v>
      </c>
    </row>
    <row r="57" spans="1:10" s="316" customFormat="1">
      <c r="A57" s="295">
        <v>6</v>
      </c>
      <c r="B57" s="295">
        <f t="shared" si="2"/>
        <v>-6</v>
      </c>
      <c r="C57" s="295">
        <v>3.4</v>
      </c>
      <c r="D57" s="295" t="s">
        <v>114</v>
      </c>
      <c r="E57" s="295">
        <v>25</v>
      </c>
      <c r="F57" s="316">
        <f t="shared" si="0"/>
        <v>1</v>
      </c>
      <c r="G57" s="295">
        <v>6.7</v>
      </c>
      <c r="H57" s="295">
        <v>6.1</v>
      </c>
      <c r="I57" s="315">
        <f t="shared" si="5"/>
        <v>124.65349999999998</v>
      </c>
      <c r="J57" s="316">
        <f t="shared" si="1"/>
        <v>0.53162583803886099</v>
      </c>
    </row>
    <row r="58" spans="1:10" s="316" customFormat="1">
      <c r="A58" s="295">
        <v>6</v>
      </c>
      <c r="B58" s="295">
        <f t="shared" si="2"/>
        <v>-6</v>
      </c>
      <c r="C58" s="295">
        <v>3.5</v>
      </c>
      <c r="D58" s="295" t="s">
        <v>115</v>
      </c>
      <c r="E58" s="295">
        <v>27</v>
      </c>
      <c r="F58" s="316">
        <f t="shared" si="0"/>
        <v>1</v>
      </c>
      <c r="G58" s="295">
        <v>5.8</v>
      </c>
      <c r="H58" s="295">
        <v>5.5</v>
      </c>
      <c r="I58" s="315">
        <f t="shared" si="5"/>
        <v>87.724999999999994</v>
      </c>
      <c r="J58" s="316">
        <f t="shared" si="1"/>
        <v>0.37693894212177198</v>
      </c>
    </row>
    <row r="59" spans="1:10" s="316" customFormat="1">
      <c r="A59" s="295">
        <v>6</v>
      </c>
      <c r="B59" s="295">
        <f t="shared" si="2"/>
        <v>-6</v>
      </c>
      <c r="C59" s="295">
        <v>4.0999999999999996</v>
      </c>
      <c r="D59" s="295" t="s">
        <v>111</v>
      </c>
      <c r="E59" s="295">
        <v>28</v>
      </c>
      <c r="F59" s="316">
        <f t="shared" si="0"/>
        <v>1</v>
      </c>
      <c r="G59" s="295">
        <v>5.2</v>
      </c>
      <c r="H59" s="295">
        <v>4.4000000000000004</v>
      </c>
      <c r="I59" s="315">
        <f t="shared" si="5"/>
        <v>50.336000000000013</v>
      </c>
      <c r="J59" s="316">
        <f t="shared" si="1"/>
        <v>1.8677551020408165</v>
      </c>
    </row>
    <row r="60" spans="1:10" s="316" customFormat="1">
      <c r="A60" s="295">
        <v>6</v>
      </c>
      <c r="B60" s="295">
        <f t="shared" si="2"/>
        <v>-6</v>
      </c>
      <c r="C60" s="295">
        <v>4.2</v>
      </c>
      <c r="D60" s="295" t="s">
        <v>112</v>
      </c>
      <c r="E60" s="295">
        <v>30</v>
      </c>
      <c r="F60" s="316">
        <f t="shared" si="0"/>
        <v>1.0344827586206897</v>
      </c>
      <c r="G60" s="295">
        <v>6.2</v>
      </c>
      <c r="H60" s="295">
        <v>5.7</v>
      </c>
      <c r="I60" s="315">
        <f t="shared" si="5"/>
        <v>100.71900000000001</v>
      </c>
      <c r="J60" s="316">
        <f t="shared" si="1"/>
        <v>0.30260667351684611</v>
      </c>
    </row>
    <row r="61" spans="1:10" s="316" customFormat="1">
      <c r="A61" s="295">
        <v>6</v>
      </c>
      <c r="B61" s="295">
        <f t="shared" si="2"/>
        <v>-6</v>
      </c>
      <c r="C61" s="295">
        <v>4.3</v>
      </c>
      <c r="D61" s="295" t="s">
        <v>113</v>
      </c>
      <c r="E61" s="295">
        <v>27</v>
      </c>
      <c r="F61" s="316">
        <f t="shared" si="0"/>
        <v>1.0384615384615385</v>
      </c>
      <c r="G61" s="295">
        <v>5.9</v>
      </c>
      <c r="H61" s="295">
        <v>3.2</v>
      </c>
      <c r="I61" s="315">
        <f t="shared" si="5"/>
        <v>30.208000000000009</v>
      </c>
      <c r="J61" s="316">
        <f t="shared" si="1"/>
        <v>0.21691176470588241</v>
      </c>
    </row>
    <row r="62" spans="1:10" s="316" customFormat="1">
      <c r="A62" s="295">
        <v>6</v>
      </c>
      <c r="B62" s="295">
        <f t="shared" si="2"/>
        <v>-6</v>
      </c>
      <c r="C62" s="295">
        <v>4.4000000000000004</v>
      </c>
      <c r="D62" s="295" t="s">
        <v>112</v>
      </c>
      <c r="E62" s="295">
        <v>31</v>
      </c>
      <c r="F62" s="316">
        <f t="shared" si="0"/>
        <v>1</v>
      </c>
      <c r="G62" s="295">
        <v>6.4</v>
      </c>
      <c r="H62" s="295">
        <v>5.0999999999999996</v>
      </c>
      <c r="I62" s="315">
        <f t="shared" si="5"/>
        <v>83.231999999999999</v>
      </c>
      <c r="J62" s="316">
        <f t="shared" si="1"/>
        <v>0.4426939698158367</v>
      </c>
    </row>
    <row r="63" spans="1:10" s="316" customFormat="1">
      <c r="A63" s="295">
        <v>6</v>
      </c>
      <c r="B63" s="295">
        <f t="shared" si="2"/>
        <v>-6</v>
      </c>
      <c r="C63" s="295">
        <v>4.5</v>
      </c>
      <c r="D63" s="295" t="s">
        <v>112</v>
      </c>
      <c r="E63" s="295">
        <v>29</v>
      </c>
      <c r="F63" s="316">
        <f t="shared" si="0"/>
        <v>1.0740740740740742</v>
      </c>
      <c r="G63" s="295">
        <v>5.3</v>
      </c>
      <c r="H63" s="295">
        <v>3.5</v>
      </c>
      <c r="I63" s="315">
        <f t="shared" si="5"/>
        <v>32.462499999999999</v>
      </c>
      <c r="J63" s="316">
        <f t="shared" si="1"/>
        <v>0.145039719772315</v>
      </c>
    </row>
    <row r="64" spans="1:10" s="316" customFormat="1">
      <c r="A64" s="295">
        <v>6</v>
      </c>
      <c r="B64" s="295">
        <f t="shared" si="2"/>
        <v>-6</v>
      </c>
      <c r="C64" s="295">
        <v>5.0999999999999996</v>
      </c>
      <c r="D64" s="295" t="s">
        <v>113</v>
      </c>
      <c r="E64" s="295">
        <v>24</v>
      </c>
      <c r="F64" s="316">
        <f t="shared" si="0"/>
        <v>1</v>
      </c>
      <c r="G64" s="295">
        <v>4.8</v>
      </c>
      <c r="H64" s="295">
        <v>3.3</v>
      </c>
      <c r="I64" s="315">
        <f t="shared" si="5"/>
        <v>26.135999999999996</v>
      </c>
      <c r="J64" s="316">
        <f t="shared" si="1"/>
        <v>0.15735762494506086</v>
      </c>
    </row>
    <row r="65" spans="1:10" s="316" customFormat="1">
      <c r="A65" s="295">
        <v>6</v>
      </c>
      <c r="B65" s="295">
        <f t="shared" si="2"/>
        <v>-6</v>
      </c>
      <c r="C65" s="295">
        <v>5.2</v>
      </c>
      <c r="D65" s="295" t="s">
        <v>114</v>
      </c>
      <c r="E65" s="295">
        <v>27</v>
      </c>
      <c r="F65" s="316">
        <f t="shared" si="0"/>
        <v>1</v>
      </c>
      <c r="G65" s="295">
        <v>4.5</v>
      </c>
      <c r="H65" s="295">
        <v>4.2</v>
      </c>
      <c r="I65" s="315">
        <f t="shared" si="5"/>
        <v>39.69</v>
      </c>
      <c r="J65" s="316">
        <f t="shared" si="1"/>
        <v>0.23977816441931279</v>
      </c>
    </row>
    <row r="66" spans="1:10" s="316" customFormat="1">
      <c r="A66" s="295">
        <v>6</v>
      </c>
      <c r="B66" s="295">
        <f t="shared" si="2"/>
        <v>-6</v>
      </c>
      <c r="C66" s="295">
        <v>5.3</v>
      </c>
      <c r="D66" s="295" t="s">
        <v>112</v>
      </c>
      <c r="E66" s="295">
        <v>30</v>
      </c>
      <c r="F66" s="316">
        <f t="shared" si="0"/>
        <v>1.0714285714285714</v>
      </c>
      <c r="G66" s="295">
        <v>4.7</v>
      </c>
      <c r="H66" s="295">
        <v>4.3</v>
      </c>
      <c r="I66" s="315">
        <f t="shared" si="5"/>
        <v>43.451499999999996</v>
      </c>
      <c r="J66" s="316">
        <f t="shared" si="1"/>
        <v>0.1831264013216676</v>
      </c>
    </row>
    <row r="67" spans="1:10" s="316" customFormat="1">
      <c r="A67" s="295">
        <v>6</v>
      </c>
      <c r="B67" s="295">
        <f t="shared" si="2"/>
        <v>-6</v>
      </c>
      <c r="C67" s="295">
        <v>5.4</v>
      </c>
      <c r="D67" s="295" t="s">
        <v>113</v>
      </c>
      <c r="E67" s="295">
        <v>26</v>
      </c>
      <c r="F67" s="316">
        <f t="shared" si="0"/>
        <v>1</v>
      </c>
      <c r="G67" s="295">
        <v>6.9</v>
      </c>
      <c r="H67" s="295">
        <v>4.4000000000000004</v>
      </c>
      <c r="I67" s="315">
        <f t="shared" si="5"/>
        <v>66.792000000000016</v>
      </c>
      <c r="J67" s="316">
        <f t="shared" si="1"/>
        <v>0.37345261392228135</v>
      </c>
    </row>
    <row r="68" spans="1:10" s="316" customFormat="1">
      <c r="A68" s="295">
        <v>6</v>
      </c>
      <c r="B68" s="295">
        <f t="shared" si="2"/>
        <v>-6</v>
      </c>
      <c r="C68" s="295">
        <v>5.5</v>
      </c>
      <c r="D68" s="295" t="s">
        <v>114</v>
      </c>
      <c r="E68" s="295">
        <v>23</v>
      </c>
      <c r="F68" s="316">
        <f t="shared" si="0"/>
        <v>1.0454545454545454</v>
      </c>
      <c r="G68" s="295">
        <v>5.4</v>
      </c>
      <c r="H68" s="295">
        <v>5.0999999999999996</v>
      </c>
      <c r="I68" s="315">
        <f t="shared" si="5"/>
        <v>70.227000000000004</v>
      </c>
      <c r="J68" s="316">
        <f t="shared" si="1"/>
        <v>0.69806763285024143</v>
      </c>
    </row>
    <row r="69" spans="1:10" s="316" customFormat="1">
      <c r="A69" s="295">
        <v>6</v>
      </c>
      <c r="B69" s="295">
        <f t="shared" si="2"/>
        <v>-6</v>
      </c>
      <c r="C69" s="295">
        <v>6.1</v>
      </c>
      <c r="D69" s="295" t="s">
        <v>115</v>
      </c>
      <c r="E69" s="295">
        <v>26</v>
      </c>
      <c r="F69" s="316">
        <f t="shared" si="0"/>
        <v>1.04</v>
      </c>
      <c r="G69" s="295">
        <v>6.3</v>
      </c>
      <c r="H69" s="295">
        <v>5.0999999999999996</v>
      </c>
      <c r="I69" s="315">
        <f t="shared" si="5"/>
        <v>81.931499999999986</v>
      </c>
      <c r="J69" s="316">
        <f t="shared" si="1"/>
        <v>0.60897502601456799</v>
      </c>
    </row>
    <row r="70" spans="1:10" s="316" customFormat="1">
      <c r="A70" s="295">
        <v>6</v>
      </c>
      <c r="B70" s="295">
        <f t="shared" si="2"/>
        <v>-6</v>
      </c>
      <c r="C70" s="295">
        <v>6.2</v>
      </c>
      <c r="D70" s="295" t="s">
        <v>115</v>
      </c>
      <c r="E70" s="295">
        <v>28</v>
      </c>
      <c r="F70" s="316">
        <f t="shared" si="0"/>
        <v>1.037037037037037</v>
      </c>
      <c r="G70" s="295">
        <v>5.7</v>
      </c>
      <c r="H70" s="295">
        <v>4.3</v>
      </c>
      <c r="I70" s="315">
        <f t="shared" si="5"/>
        <v>52.6965</v>
      </c>
      <c r="J70" s="316">
        <f t="shared" si="1"/>
        <v>0.42274384594094838</v>
      </c>
    </row>
    <row r="71" spans="1:10" s="316" customFormat="1">
      <c r="A71" s="295">
        <v>6</v>
      </c>
      <c r="B71" s="295">
        <f t="shared" si="2"/>
        <v>-6</v>
      </c>
      <c r="C71" s="295">
        <v>6.3</v>
      </c>
      <c r="D71" s="295" t="s">
        <v>114</v>
      </c>
      <c r="E71" s="295">
        <v>25</v>
      </c>
      <c r="F71" s="316">
        <f t="shared" si="0"/>
        <v>1.0416666666666667</v>
      </c>
      <c r="G71" s="295">
        <v>5.6</v>
      </c>
      <c r="H71" s="295">
        <v>5.5</v>
      </c>
      <c r="I71" s="315">
        <f t="shared" si="5"/>
        <v>84.699999999999989</v>
      </c>
      <c r="J71" s="316">
        <f t="shared" si="1"/>
        <v>0.56323417441640078</v>
      </c>
    </row>
    <row r="72" spans="1:10" s="316" customFormat="1">
      <c r="A72" s="295">
        <v>6</v>
      </c>
      <c r="B72" s="295">
        <f t="shared" si="2"/>
        <v>-6</v>
      </c>
      <c r="C72" s="295">
        <v>6.4</v>
      </c>
      <c r="D72" s="295" t="s">
        <v>112</v>
      </c>
      <c r="E72" s="295">
        <v>29</v>
      </c>
      <c r="F72" s="316">
        <f t="shared" si="0"/>
        <v>1</v>
      </c>
      <c r="G72" s="295">
        <v>4.7</v>
      </c>
      <c r="H72" s="295">
        <v>4.3</v>
      </c>
      <c r="I72" s="315">
        <f t="shared" si="5"/>
        <v>43.451499999999996</v>
      </c>
      <c r="J72" s="316">
        <f t="shared" si="1"/>
        <v>0.74813188705234135</v>
      </c>
    </row>
    <row r="73" spans="1:10" s="316" customFormat="1">
      <c r="A73" s="295">
        <v>6</v>
      </c>
      <c r="B73" s="295">
        <f t="shared" si="2"/>
        <v>-6</v>
      </c>
      <c r="C73" s="295">
        <v>6.5</v>
      </c>
      <c r="D73" s="295" t="s">
        <v>113</v>
      </c>
      <c r="E73" s="295">
        <v>23</v>
      </c>
      <c r="F73" s="316">
        <f t="shared" ref="F73:F136" si="6">IF(ISBLANK(E73),"",E73/SUMIFS(E:E,C:C,C73,B:B,"0"))</f>
        <v>0.95833333333333337</v>
      </c>
      <c r="G73" s="295">
        <v>5.2</v>
      </c>
      <c r="H73" s="295">
        <v>4.0999999999999996</v>
      </c>
      <c r="I73" s="315">
        <f t="shared" si="5"/>
        <v>43.705999999999996</v>
      </c>
      <c r="J73" s="316">
        <f t="shared" ref="J73:J136" si="7">IF(ISBLANK(I73),"",I73/SUMIFS(I:I,C:C,C73,B:B,"0"))</f>
        <v>0.86332839506172832</v>
      </c>
    </row>
    <row r="74" spans="1:10" s="316" customFormat="1">
      <c r="A74" s="295">
        <v>6</v>
      </c>
      <c r="B74" s="295">
        <f t="shared" ref="B74:B137" si="8">A74-12</f>
        <v>-6</v>
      </c>
      <c r="C74" s="295">
        <v>7.1</v>
      </c>
      <c r="D74" s="295" t="s">
        <v>114</v>
      </c>
      <c r="E74" s="295">
        <v>28</v>
      </c>
      <c r="F74" s="316">
        <f t="shared" si="6"/>
        <v>1.037037037037037</v>
      </c>
      <c r="G74" s="295">
        <v>6.3</v>
      </c>
      <c r="H74" s="295">
        <v>5.2</v>
      </c>
      <c r="I74" s="315">
        <f t="shared" si="5"/>
        <v>85.176000000000002</v>
      </c>
      <c r="J74" s="316">
        <f t="shared" si="7"/>
        <v>0.63093333333333335</v>
      </c>
    </row>
    <row r="75" spans="1:10" s="316" customFormat="1">
      <c r="A75" s="295">
        <v>6</v>
      </c>
      <c r="B75" s="295">
        <f t="shared" si="8"/>
        <v>-6</v>
      </c>
      <c r="C75" s="295">
        <v>7.2</v>
      </c>
      <c r="D75" s="295" t="s">
        <v>111</v>
      </c>
      <c r="E75" s="295">
        <v>29</v>
      </c>
      <c r="F75" s="316">
        <f t="shared" si="6"/>
        <v>1</v>
      </c>
      <c r="G75" s="295">
        <v>4</v>
      </c>
      <c r="H75" s="295">
        <v>2.7</v>
      </c>
      <c r="I75" s="315">
        <f t="shared" si="5"/>
        <v>14.580000000000002</v>
      </c>
      <c r="J75" s="316">
        <f t="shared" si="7"/>
        <v>0.96313912009512503</v>
      </c>
    </row>
    <row r="76" spans="1:10" s="316" customFormat="1">
      <c r="A76" s="295">
        <v>6</v>
      </c>
      <c r="B76" s="295">
        <f t="shared" si="8"/>
        <v>-6</v>
      </c>
      <c r="C76" s="295">
        <v>7.3</v>
      </c>
      <c r="D76" s="295" t="s">
        <v>113</v>
      </c>
      <c r="E76" s="295">
        <v>28</v>
      </c>
      <c r="F76" s="316">
        <f t="shared" si="6"/>
        <v>1.037037037037037</v>
      </c>
      <c r="G76" s="295">
        <v>6.7</v>
      </c>
      <c r="H76" s="295">
        <v>5.2</v>
      </c>
      <c r="I76" s="315">
        <f t="shared" si="5"/>
        <v>90.584000000000017</v>
      </c>
      <c r="J76" s="316">
        <f t="shared" si="7"/>
        <v>0.63396881386299397</v>
      </c>
    </row>
    <row r="77" spans="1:10" s="316" customFormat="1">
      <c r="A77" s="295">
        <v>6</v>
      </c>
      <c r="B77" s="295">
        <f t="shared" si="8"/>
        <v>-6</v>
      </c>
      <c r="C77" s="295">
        <v>7.4</v>
      </c>
      <c r="D77" s="295" t="s">
        <v>115</v>
      </c>
      <c r="E77" s="295">
        <v>25</v>
      </c>
      <c r="F77" s="316">
        <f t="shared" si="6"/>
        <v>0.92592592592592593</v>
      </c>
      <c r="G77" s="295">
        <v>5.9</v>
      </c>
      <c r="H77" s="295">
        <v>4.4000000000000004</v>
      </c>
      <c r="I77" s="315">
        <f t="shared" si="5"/>
        <v>57.112000000000009</v>
      </c>
      <c r="J77" s="316">
        <f t="shared" si="7"/>
        <v>0.48255234297108685</v>
      </c>
    </row>
    <row r="78" spans="1:10" s="316" customFormat="1">
      <c r="A78" s="295">
        <v>6</v>
      </c>
      <c r="B78" s="295">
        <f t="shared" si="8"/>
        <v>-6</v>
      </c>
      <c r="C78" s="295">
        <v>7.5</v>
      </c>
      <c r="D78" s="295" t="s">
        <v>111</v>
      </c>
      <c r="E78" s="295">
        <v>29</v>
      </c>
      <c r="F78" s="316">
        <f t="shared" si="6"/>
        <v>1</v>
      </c>
      <c r="G78" s="295">
        <v>4</v>
      </c>
      <c r="H78" s="295">
        <v>3.7</v>
      </c>
      <c r="I78" s="315">
        <f t="shared" si="5"/>
        <v>27.380000000000003</v>
      </c>
      <c r="J78" s="316">
        <f t="shared" si="7"/>
        <v>0.44266959839617154</v>
      </c>
    </row>
    <row r="79" spans="1:10" s="316" customFormat="1">
      <c r="A79" s="295">
        <v>7</v>
      </c>
      <c r="B79" s="295">
        <f t="shared" si="8"/>
        <v>-5</v>
      </c>
      <c r="C79" s="295">
        <v>1.1000000000000001</v>
      </c>
      <c r="D79" s="295" t="s">
        <v>112</v>
      </c>
      <c r="E79" s="295">
        <v>28</v>
      </c>
      <c r="F79" s="316">
        <f t="shared" si="6"/>
        <v>1</v>
      </c>
      <c r="G79" s="295">
        <v>6.3</v>
      </c>
      <c r="H79" s="295">
        <v>6</v>
      </c>
      <c r="I79" s="315">
        <f>G79*(H79^2)*0.5</f>
        <v>113.39999999999999</v>
      </c>
      <c r="J79" s="316">
        <f t="shared" si="7"/>
        <v>0.5034093330492222</v>
      </c>
    </row>
    <row r="80" spans="1:10" s="316" customFormat="1">
      <c r="A80" s="295">
        <v>7</v>
      </c>
      <c r="B80" s="295">
        <f t="shared" si="8"/>
        <v>-5</v>
      </c>
      <c r="C80" s="295">
        <v>1.2</v>
      </c>
      <c r="D80" s="295" t="s">
        <v>113</v>
      </c>
      <c r="E80" s="295">
        <v>28</v>
      </c>
      <c r="F80" s="316">
        <f t="shared" si="6"/>
        <v>1.037037037037037</v>
      </c>
      <c r="G80" s="295">
        <v>5.5</v>
      </c>
      <c r="H80" s="295">
        <v>5.0999999999999996</v>
      </c>
      <c r="I80" s="315">
        <f t="shared" ref="I80:I113" si="9">G80*(H80^2)*0.5</f>
        <v>71.527499999999989</v>
      </c>
      <c r="J80" s="316">
        <f t="shared" si="7"/>
        <v>0.34190720429824828</v>
      </c>
    </row>
    <row r="81" spans="1:10" s="316" customFormat="1">
      <c r="A81" s="295">
        <v>7</v>
      </c>
      <c r="B81" s="295">
        <f t="shared" si="8"/>
        <v>-5</v>
      </c>
      <c r="C81" s="295">
        <v>1.3</v>
      </c>
      <c r="D81" s="295" t="s">
        <v>115</v>
      </c>
      <c r="E81" s="295">
        <v>25</v>
      </c>
      <c r="F81" s="316">
        <f t="shared" si="6"/>
        <v>1.0416666666666667</v>
      </c>
      <c r="G81" s="295">
        <v>5.4</v>
      </c>
      <c r="H81" s="295">
        <v>4.3</v>
      </c>
      <c r="I81" s="315">
        <f t="shared" si="9"/>
        <v>49.923000000000002</v>
      </c>
      <c r="J81" s="316">
        <f t="shared" si="7"/>
        <v>0.5035403050108932</v>
      </c>
    </row>
    <row r="82" spans="1:10" s="316" customFormat="1">
      <c r="A82" s="295">
        <v>7</v>
      </c>
      <c r="B82" s="295">
        <f t="shared" si="8"/>
        <v>-5</v>
      </c>
      <c r="C82" s="295">
        <v>1.4</v>
      </c>
      <c r="D82" s="295" t="s">
        <v>115</v>
      </c>
      <c r="E82" s="295">
        <v>27</v>
      </c>
      <c r="F82" s="316">
        <f t="shared" si="6"/>
        <v>0.9642857142857143</v>
      </c>
      <c r="G82" s="295">
        <v>4.5999999999999996</v>
      </c>
      <c r="H82" s="295">
        <v>4.5</v>
      </c>
      <c r="I82" s="315">
        <f t="shared" si="9"/>
        <v>46.574999999999996</v>
      </c>
      <c r="J82" s="316">
        <f t="shared" si="7"/>
        <v>0.25664550684388016</v>
      </c>
    </row>
    <row r="83" spans="1:10" s="316" customFormat="1">
      <c r="A83" s="295">
        <v>7</v>
      </c>
      <c r="B83" s="295">
        <f t="shared" si="8"/>
        <v>-5</v>
      </c>
      <c r="C83" s="295">
        <v>1.5</v>
      </c>
      <c r="D83" s="295" t="s">
        <v>112</v>
      </c>
      <c r="E83" s="295">
        <v>28</v>
      </c>
      <c r="F83" s="316">
        <f t="shared" si="6"/>
        <v>1</v>
      </c>
      <c r="G83" s="295">
        <v>4.9000000000000004</v>
      </c>
      <c r="H83" s="295">
        <v>4.5</v>
      </c>
      <c r="I83" s="315">
        <f t="shared" si="9"/>
        <v>49.612500000000004</v>
      </c>
      <c r="J83" s="316">
        <f t="shared" si="7"/>
        <v>0.35624784581801472</v>
      </c>
    </row>
    <row r="84" spans="1:10" s="316" customFormat="1">
      <c r="A84" s="295">
        <v>7</v>
      </c>
      <c r="B84" s="295">
        <f t="shared" si="8"/>
        <v>-5</v>
      </c>
      <c r="C84" s="295">
        <v>2.1</v>
      </c>
      <c r="D84" s="295" t="s">
        <v>114</v>
      </c>
      <c r="E84" s="295">
        <v>28</v>
      </c>
      <c r="F84" s="316">
        <f t="shared" si="6"/>
        <v>1.0769230769230769</v>
      </c>
      <c r="G84" s="295">
        <v>5.7</v>
      </c>
      <c r="H84" s="295">
        <v>4.5999999999999996</v>
      </c>
      <c r="I84" s="315">
        <f t="shared" si="9"/>
        <v>60.30599999999999</v>
      </c>
      <c r="J84" s="316">
        <f t="shared" si="7"/>
        <v>0.32067510548523193</v>
      </c>
    </row>
    <row r="85" spans="1:10" s="316" customFormat="1">
      <c r="A85" s="295">
        <v>7</v>
      </c>
      <c r="B85" s="295">
        <f t="shared" si="8"/>
        <v>-5</v>
      </c>
      <c r="C85" s="295">
        <v>2.2000000000000002</v>
      </c>
      <c r="D85" s="295" t="s">
        <v>115</v>
      </c>
      <c r="E85" s="295">
        <v>29</v>
      </c>
      <c r="F85" s="316">
        <f t="shared" si="6"/>
        <v>1.0357142857142858</v>
      </c>
      <c r="G85" s="295">
        <v>4.5</v>
      </c>
      <c r="H85" s="295">
        <v>3.6</v>
      </c>
      <c r="I85" s="315">
        <f t="shared" si="9"/>
        <v>29.160000000000004</v>
      </c>
      <c r="J85" s="316">
        <f t="shared" si="7"/>
        <v>0.33240239384440018</v>
      </c>
    </row>
    <row r="86" spans="1:10" s="316" customFormat="1">
      <c r="A86" s="295">
        <v>7</v>
      </c>
      <c r="B86" s="295">
        <f t="shared" si="8"/>
        <v>-5</v>
      </c>
      <c r="C86" s="295">
        <v>2.2999999999999998</v>
      </c>
      <c r="D86" s="295" t="s">
        <v>112</v>
      </c>
      <c r="E86" s="295">
        <v>26</v>
      </c>
      <c r="F86" s="316">
        <f t="shared" si="6"/>
        <v>1.04</v>
      </c>
      <c r="G86" s="295">
        <v>4.5</v>
      </c>
      <c r="H86" s="295">
        <v>4.2</v>
      </c>
      <c r="I86" s="315">
        <f t="shared" si="9"/>
        <v>39.69</v>
      </c>
      <c r="J86" s="316">
        <f t="shared" si="7"/>
        <v>0.23896250895582591</v>
      </c>
    </row>
    <row r="87" spans="1:10" s="316" customFormat="1">
      <c r="A87" s="295">
        <v>7</v>
      </c>
      <c r="B87" s="295">
        <f t="shared" si="8"/>
        <v>-5</v>
      </c>
      <c r="C87" s="295">
        <v>2.4</v>
      </c>
      <c r="D87" s="295" t="s">
        <v>114</v>
      </c>
      <c r="E87" s="295">
        <v>26</v>
      </c>
      <c r="F87" s="316">
        <f t="shared" si="6"/>
        <v>1.04</v>
      </c>
      <c r="G87" s="295">
        <v>5.4</v>
      </c>
      <c r="H87" s="295">
        <v>4.5</v>
      </c>
      <c r="I87" s="315">
        <f t="shared" si="9"/>
        <v>54.675000000000004</v>
      </c>
      <c r="J87" s="316">
        <f t="shared" si="7"/>
        <v>0.50860465116279074</v>
      </c>
    </row>
    <row r="88" spans="1:10" s="316" customFormat="1">
      <c r="A88" s="295">
        <v>7</v>
      </c>
      <c r="B88" s="295">
        <f t="shared" si="8"/>
        <v>-5</v>
      </c>
      <c r="C88" s="295">
        <v>2.5</v>
      </c>
      <c r="D88" s="295" t="s">
        <v>113</v>
      </c>
      <c r="E88" s="295">
        <v>25</v>
      </c>
      <c r="F88" s="316">
        <f t="shared" si="6"/>
        <v>0.92592592592592593</v>
      </c>
      <c r="G88" s="295">
        <v>4.4000000000000004</v>
      </c>
      <c r="H88" s="295">
        <v>2.6</v>
      </c>
      <c r="I88" s="315">
        <f t="shared" si="9"/>
        <v>14.872000000000003</v>
      </c>
      <c r="J88" s="316">
        <f t="shared" si="7"/>
        <v>8.7183876376171018E-2</v>
      </c>
    </row>
    <row r="89" spans="1:10" s="316" customFormat="1">
      <c r="A89" s="295">
        <v>7</v>
      </c>
      <c r="B89" s="295">
        <f t="shared" si="8"/>
        <v>-5</v>
      </c>
      <c r="C89" s="295">
        <v>3.1</v>
      </c>
      <c r="D89" s="295" t="s">
        <v>115</v>
      </c>
      <c r="E89" s="295">
        <v>25</v>
      </c>
      <c r="F89" s="316">
        <f t="shared" si="6"/>
        <v>1.0416666666666667</v>
      </c>
      <c r="G89" s="295">
        <v>5.3</v>
      </c>
      <c r="H89" s="295">
        <v>5</v>
      </c>
      <c r="I89" s="315">
        <f t="shared" si="9"/>
        <v>66.25</v>
      </c>
      <c r="J89" s="316">
        <f t="shared" si="7"/>
        <v>0.36466217146002483</v>
      </c>
    </row>
    <row r="90" spans="1:10" s="316" customFormat="1">
      <c r="A90" s="295">
        <v>7</v>
      </c>
      <c r="B90" s="295">
        <f t="shared" si="8"/>
        <v>-5</v>
      </c>
      <c r="C90" s="295">
        <v>3.2</v>
      </c>
      <c r="D90" s="295" t="s">
        <v>113</v>
      </c>
      <c r="E90" s="295">
        <v>31</v>
      </c>
      <c r="F90" s="316">
        <f t="shared" si="6"/>
        <v>1.0333333333333334</v>
      </c>
      <c r="G90" s="295">
        <v>6.2</v>
      </c>
      <c r="H90" s="295">
        <v>6.1</v>
      </c>
      <c r="I90" s="315">
        <f t="shared" si="9"/>
        <v>115.35099999999998</v>
      </c>
      <c r="J90" s="316">
        <f t="shared" si="7"/>
        <v>0.60111206069954559</v>
      </c>
    </row>
    <row r="91" spans="1:10" s="316" customFormat="1">
      <c r="A91" s="295">
        <v>7</v>
      </c>
      <c r="B91" s="295">
        <f t="shared" si="8"/>
        <v>-5</v>
      </c>
      <c r="C91" s="295">
        <v>3.3</v>
      </c>
      <c r="D91" s="295" t="s">
        <v>114</v>
      </c>
      <c r="E91" s="295">
        <v>26</v>
      </c>
      <c r="F91" s="316">
        <f t="shared" si="6"/>
        <v>1.04</v>
      </c>
      <c r="G91" s="295">
        <v>6</v>
      </c>
      <c r="H91" s="295">
        <v>6</v>
      </c>
      <c r="I91" s="315">
        <f t="shared" si="9"/>
        <v>108</v>
      </c>
      <c r="J91" s="316">
        <f t="shared" si="7"/>
        <v>0.52478134110787167</v>
      </c>
    </row>
    <row r="92" spans="1:10" s="316" customFormat="1">
      <c r="A92" s="295">
        <v>7</v>
      </c>
      <c r="B92" s="295">
        <f t="shared" si="8"/>
        <v>-5</v>
      </c>
      <c r="C92" s="295">
        <v>3.4</v>
      </c>
      <c r="D92" s="295" t="s">
        <v>114</v>
      </c>
      <c r="E92" s="295">
        <v>26</v>
      </c>
      <c r="F92" s="316">
        <f t="shared" si="6"/>
        <v>1.04</v>
      </c>
      <c r="G92" s="295">
        <v>5.5</v>
      </c>
      <c r="H92" s="295">
        <v>5.3</v>
      </c>
      <c r="I92" s="315">
        <f t="shared" si="9"/>
        <v>77.247500000000002</v>
      </c>
      <c r="J92" s="316">
        <f t="shared" si="7"/>
        <v>0.32944736348282977</v>
      </c>
    </row>
    <row r="93" spans="1:10" s="316" customFormat="1">
      <c r="A93" s="295">
        <v>7</v>
      </c>
      <c r="B93" s="295">
        <f t="shared" si="8"/>
        <v>-5</v>
      </c>
      <c r="C93" s="295">
        <v>3.5</v>
      </c>
      <c r="D93" s="295" t="s">
        <v>115</v>
      </c>
      <c r="E93" s="295">
        <v>28</v>
      </c>
      <c r="F93" s="316">
        <f t="shared" si="6"/>
        <v>1.037037037037037</v>
      </c>
      <c r="G93" s="295">
        <v>4.9000000000000004</v>
      </c>
      <c r="H93" s="295">
        <v>4.8</v>
      </c>
      <c r="I93" s="315">
        <f t="shared" si="9"/>
        <v>56.448</v>
      </c>
      <c r="J93" s="316">
        <f t="shared" si="7"/>
        <v>0.24254715765049625</v>
      </c>
    </row>
    <row r="94" spans="1:10" s="316" customFormat="1">
      <c r="A94" s="295">
        <v>7</v>
      </c>
      <c r="B94" s="295">
        <f t="shared" si="8"/>
        <v>-5</v>
      </c>
      <c r="C94" s="295">
        <v>4.0999999999999996</v>
      </c>
      <c r="D94" s="295" t="s">
        <v>111</v>
      </c>
      <c r="E94" s="295">
        <v>30</v>
      </c>
      <c r="F94" s="316">
        <f t="shared" si="6"/>
        <v>1.0714285714285714</v>
      </c>
      <c r="G94" s="295">
        <v>4</v>
      </c>
      <c r="H94" s="295">
        <v>3.8</v>
      </c>
      <c r="I94" s="315">
        <f t="shared" si="9"/>
        <v>28.88</v>
      </c>
      <c r="J94" s="316">
        <f t="shared" si="7"/>
        <v>1.0716141001855286</v>
      </c>
    </row>
    <row r="95" spans="1:10" s="316" customFormat="1">
      <c r="A95" s="295">
        <v>7</v>
      </c>
      <c r="B95" s="295">
        <f t="shared" si="8"/>
        <v>-5</v>
      </c>
      <c r="C95" s="295">
        <v>4.2</v>
      </c>
      <c r="D95" s="295" t="s">
        <v>112</v>
      </c>
      <c r="E95" s="295">
        <v>30</v>
      </c>
      <c r="F95" s="316">
        <f t="shared" si="6"/>
        <v>1.0344827586206897</v>
      </c>
      <c r="G95" s="295">
        <v>5.8</v>
      </c>
      <c r="H95" s="295">
        <v>4.5</v>
      </c>
      <c r="I95" s="315">
        <f t="shared" si="9"/>
        <v>58.725000000000001</v>
      </c>
      <c r="J95" s="316">
        <f t="shared" si="7"/>
        <v>0.17643718565788766</v>
      </c>
    </row>
    <row r="96" spans="1:10" s="316" customFormat="1">
      <c r="A96" s="295">
        <v>7</v>
      </c>
      <c r="B96" s="295">
        <f t="shared" si="8"/>
        <v>-5</v>
      </c>
      <c r="C96" s="295">
        <v>4.3</v>
      </c>
      <c r="D96" s="295" t="s">
        <v>113</v>
      </c>
      <c r="E96" s="295">
        <v>27</v>
      </c>
      <c r="F96" s="316">
        <f t="shared" si="6"/>
        <v>1.0384615384615385</v>
      </c>
      <c r="G96" s="295">
        <v>4.5</v>
      </c>
      <c r="H96" s="295">
        <v>4.5</v>
      </c>
      <c r="I96" s="315">
        <f t="shared" si="9"/>
        <v>45.5625</v>
      </c>
      <c r="J96" s="316">
        <f t="shared" si="7"/>
        <v>0.3271663890165441</v>
      </c>
    </row>
    <row r="97" spans="1:10" s="316" customFormat="1">
      <c r="A97" s="295">
        <v>7</v>
      </c>
      <c r="B97" s="295">
        <f t="shared" si="8"/>
        <v>-5</v>
      </c>
      <c r="C97" s="295">
        <v>4.4000000000000004</v>
      </c>
      <c r="D97" s="295" t="s">
        <v>112</v>
      </c>
      <c r="E97" s="295">
        <v>32</v>
      </c>
      <c r="F97" s="316">
        <f t="shared" si="6"/>
        <v>1.032258064516129</v>
      </c>
      <c r="G97" s="295">
        <v>5.3</v>
      </c>
      <c r="H97" s="295">
        <v>4.9000000000000004</v>
      </c>
      <c r="I97" s="315">
        <f t="shared" si="9"/>
        <v>63.626500000000014</v>
      </c>
      <c r="J97" s="316">
        <f t="shared" si="7"/>
        <v>0.33841632870154914</v>
      </c>
    </row>
    <row r="98" spans="1:10" s="316" customFormat="1">
      <c r="A98" s="295">
        <v>7</v>
      </c>
      <c r="B98" s="295">
        <f t="shared" si="8"/>
        <v>-5</v>
      </c>
      <c r="C98" s="295">
        <v>4.5</v>
      </c>
      <c r="D98" s="295" t="s">
        <v>112</v>
      </c>
      <c r="E98" s="295">
        <v>28</v>
      </c>
      <c r="F98" s="316">
        <f t="shared" si="6"/>
        <v>1.037037037037037</v>
      </c>
      <c r="G98" s="295">
        <v>5.5</v>
      </c>
      <c r="H98" s="295">
        <v>4.4000000000000004</v>
      </c>
      <c r="I98" s="315">
        <f t="shared" si="9"/>
        <v>53.240000000000009</v>
      </c>
      <c r="J98" s="316">
        <f t="shared" si="7"/>
        <v>0.23787184230044056</v>
      </c>
    </row>
    <row r="99" spans="1:10" s="316" customFormat="1">
      <c r="A99" s="295">
        <v>7</v>
      </c>
      <c r="B99" s="295">
        <f t="shared" si="8"/>
        <v>-5</v>
      </c>
      <c r="C99" s="295">
        <v>5.0999999999999996</v>
      </c>
      <c r="D99" s="295" t="s">
        <v>113</v>
      </c>
      <c r="E99" s="295">
        <v>25</v>
      </c>
      <c r="F99" s="316">
        <f t="shared" si="6"/>
        <v>1.0416666666666667</v>
      </c>
      <c r="G99" s="295">
        <v>4.8</v>
      </c>
      <c r="H99" s="295">
        <v>4.7</v>
      </c>
      <c r="I99" s="315">
        <f t="shared" si="9"/>
        <v>53.016000000000005</v>
      </c>
      <c r="J99" s="316">
        <f t="shared" si="7"/>
        <v>0.31919466804741919</v>
      </c>
    </row>
    <row r="100" spans="1:10" s="316" customFormat="1">
      <c r="A100" s="295">
        <v>7</v>
      </c>
      <c r="B100" s="295">
        <f t="shared" si="8"/>
        <v>-5</v>
      </c>
      <c r="C100" s="295">
        <v>5.2</v>
      </c>
      <c r="D100" s="295" t="s">
        <v>114</v>
      </c>
      <c r="E100" s="295">
        <v>28</v>
      </c>
      <c r="F100" s="316">
        <f t="shared" si="6"/>
        <v>1.037037037037037</v>
      </c>
      <c r="G100" s="295">
        <v>5.2</v>
      </c>
      <c r="H100" s="295">
        <v>4.0999999999999996</v>
      </c>
      <c r="I100" s="315">
        <f t="shared" si="9"/>
        <v>43.705999999999996</v>
      </c>
      <c r="J100" s="316">
        <f t="shared" si="7"/>
        <v>0.26403992073848537</v>
      </c>
    </row>
    <row r="101" spans="1:10" s="316" customFormat="1">
      <c r="A101" s="295">
        <v>7</v>
      </c>
      <c r="B101" s="295">
        <f t="shared" si="8"/>
        <v>-5</v>
      </c>
      <c r="C101" s="295">
        <v>5.3</v>
      </c>
      <c r="D101" s="295" t="s">
        <v>112</v>
      </c>
      <c r="E101" s="295">
        <v>31</v>
      </c>
      <c r="F101" s="316">
        <f t="shared" si="6"/>
        <v>1.1071428571428572</v>
      </c>
      <c r="G101" s="295">
        <v>4.8</v>
      </c>
      <c r="H101" s="295">
        <v>4</v>
      </c>
      <c r="I101" s="315">
        <f t="shared" si="9"/>
        <v>38.4</v>
      </c>
      <c r="J101" s="316">
        <f t="shared" si="7"/>
        <v>0.16183684822738079</v>
      </c>
    </row>
    <row r="102" spans="1:10" s="316" customFormat="1">
      <c r="A102" s="295">
        <v>7</v>
      </c>
      <c r="B102" s="295">
        <f t="shared" si="8"/>
        <v>-5</v>
      </c>
      <c r="C102" s="295">
        <v>5.4</v>
      </c>
      <c r="D102" s="295" t="s">
        <v>113</v>
      </c>
      <c r="E102" s="295">
        <v>27</v>
      </c>
      <c r="F102" s="316">
        <f t="shared" si="6"/>
        <v>1.0384615384615385</v>
      </c>
      <c r="G102" s="295">
        <v>5.2</v>
      </c>
      <c r="H102" s="295">
        <v>5</v>
      </c>
      <c r="I102" s="315">
        <f t="shared" si="9"/>
        <v>65</v>
      </c>
      <c r="J102" s="316">
        <f t="shared" si="7"/>
        <v>0.36343304445065699</v>
      </c>
    </row>
    <row r="103" spans="1:10" s="316" customFormat="1">
      <c r="A103" s="295">
        <v>7</v>
      </c>
      <c r="B103" s="295">
        <f t="shared" si="8"/>
        <v>-5</v>
      </c>
      <c r="C103" s="295">
        <v>5.5</v>
      </c>
      <c r="D103" s="295" t="s">
        <v>114</v>
      </c>
      <c r="E103" s="295">
        <v>24</v>
      </c>
      <c r="F103" s="316">
        <f t="shared" si="6"/>
        <v>1.0909090909090908</v>
      </c>
      <c r="G103" s="295">
        <v>4.3</v>
      </c>
      <c r="H103" s="295">
        <v>4</v>
      </c>
      <c r="I103" s="315">
        <f t="shared" si="9"/>
        <v>34.4</v>
      </c>
      <c r="J103" s="316">
        <f t="shared" si="7"/>
        <v>0.34194151209717494</v>
      </c>
    </row>
    <row r="104" spans="1:10" s="316" customFormat="1">
      <c r="A104" s="295">
        <v>7</v>
      </c>
      <c r="B104" s="295">
        <f t="shared" si="8"/>
        <v>-5</v>
      </c>
      <c r="C104" s="295">
        <v>6.1</v>
      </c>
      <c r="D104" s="295" t="s">
        <v>115</v>
      </c>
      <c r="E104" s="295">
        <v>26</v>
      </c>
      <c r="F104" s="316">
        <f t="shared" si="6"/>
        <v>1.04</v>
      </c>
      <c r="G104" s="295">
        <v>4.2</v>
      </c>
      <c r="H104" s="295">
        <v>3.9</v>
      </c>
      <c r="I104" s="315">
        <f t="shared" si="9"/>
        <v>31.940999999999999</v>
      </c>
      <c r="J104" s="316">
        <f t="shared" si="7"/>
        <v>0.23740894901144638</v>
      </c>
    </row>
    <row r="105" spans="1:10" s="316" customFormat="1">
      <c r="A105" s="295">
        <v>7</v>
      </c>
      <c r="B105" s="295">
        <f t="shared" si="8"/>
        <v>-5</v>
      </c>
      <c r="C105" s="295">
        <v>6.2</v>
      </c>
      <c r="D105" s="295" t="s">
        <v>115</v>
      </c>
      <c r="E105" s="295">
        <v>28</v>
      </c>
      <c r="F105" s="316">
        <f t="shared" si="6"/>
        <v>1.037037037037037</v>
      </c>
      <c r="G105" s="295">
        <v>4.0999999999999996</v>
      </c>
      <c r="H105" s="295">
        <v>3.8</v>
      </c>
      <c r="I105" s="315">
        <f t="shared" si="9"/>
        <v>29.601999999999997</v>
      </c>
      <c r="J105" s="316">
        <f t="shared" si="7"/>
        <v>0.23747427870055796</v>
      </c>
    </row>
    <row r="106" spans="1:10" s="316" customFormat="1">
      <c r="A106" s="295">
        <v>7</v>
      </c>
      <c r="B106" s="295">
        <f t="shared" si="8"/>
        <v>-5</v>
      </c>
      <c r="C106" s="295">
        <v>6.3</v>
      </c>
      <c r="D106" s="295" t="s">
        <v>114</v>
      </c>
      <c r="E106" s="295">
        <v>25</v>
      </c>
      <c r="F106" s="316">
        <f t="shared" si="6"/>
        <v>1.0416666666666667</v>
      </c>
      <c r="G106" s="295">
        <v>4.8</v>
      </c>
      <c r="H106" s="295">
        <v>4.3</v>
      </c>
      <c r="I106" s="315">
        <f t="shared" si="9"/>
        <v>44.375999999999998</v>
      </c>
      <c r="J106" s="316">
        <f t="shared" si="7"/>
        <v>0.29508948906614174</v>
      </c>
    </row>
    <row r="107" spans="1:10" s="316" customFormat="1">
      <c r="A107" s="295">
        <v>7</v>
      </c>
      <c r="B107" s="295">
        <f t="shared" si="8"/>
        <v>-5</v>
      </c>
      <c r="C107" s="295">
        <v>6.4</v>
      </c>
      <c r="D107" s="295" t="s">
        <v>112</v>
      </c>
      <c r="E107" s="295">
        <v>30</v>
      </c>
      <c r="F107" s="316">
        <f t="shared" si="6"/>
        <v>1.0344827586206897</v>
      </c>
      <c r="G107" s="295">
        <v>4.5999999999999996</v>
      </c>
      <c r="H107" s="295">
        <v>4.0999999999999996</v>
      </c>
      <c r="I107" s="315">
        <f t="shared" si="9"/>
        <v>38.662999999999997</v>
      </c>
      <c r="J107" s="316">
        <f t="shared" si="7"/>
        <v>0.66568526170798881</v>
      </c>
    </row>
    <row r="108" spans="1:10" s="316" customFormat="1">
      <c r="A108" s="295">
        <v>7</v>
      </c>
      <c r="B108" s="295">
        <f t="shared" si="8"/>
        <v>-5</v>
      </c>
      <c r="C108" s="295">
        <v>6.5</v>
      </c>
      <c r="D108" s="295" t="s">
        <v>113</v>
      </c>
      <c r="E108" s="295">
        <v>23</v>
      </c>
      <c r="F108" s="316">
        <f t="shared" si="6"/>
        <v>0.95833333333333337</v>
      </c>
      <c r="G108" s="295">
        <v>4.3</v>
      </c>
      <c r="H108" s="295">
        <v>3.9</v>
      </c>
      <c r="I108" s="315">
        <f t="shared" si="9"/>
        <v>32.701499999999996</v>
      </c>
      <c r="J108" s="316">
        <f t="shared" si="7"/>
        <v>0.64595555555555551</v>
      </c>
    </row>
    <row r="109" spans="1:10" s="316" customFormat="1">
      <c r="A109" s="295">
        <v>7</v>
      </c>
      <c r="B109" s="295">
        <f t="shared" si="8"/>
        <v>-5</v>
      </c>
      <c r="C109" s="295">
        <v>7.1</v>
      </c>
      <c r="D109" s="295" t="s">
        <v>114</v>
      </c>
      <c r="E109" s="295">
        <v>33</v>
      </c>
      <c r="F109" s="316">
        <f t="shared" si="6"/>
        <v>1.2222222222222223</v>
      </c>
      <c r="G109" s="295">
        <v>4.9000000000000004</v>
      </c>
      <c r="H109" s="295">
        <v>4.2</v>
      </c>
      <c r="I109" s="315">
        <f t="shared" si="9"/>
        <v>43.218000000000004</v>
      </c>
      <c r="J109" s="316">
        <f t="shared" si="7"/>
        <v>0.32013333333333338</v>
      </c>
    </row>
    <row r="110" spans="1:10" s="316" customFormat="1">
      <c r="A110" s="295">
        <v>7</v>
      </c>
      <c r="B110" s="295">
        <f t="shared" si="8"/>
        <v>-5</v>
      </c>
      <c r="C110" s="295">
        <v>7.2</v>
      </c>
      <c r="D110" s="295" t="s">
        <v>111</v>
      </c>
      <c r="E110" s="295">
        <v>30</v>
      </c>
      <c r="F110" s="316">
        <f t="shared" si="6"/>
        <v>1.0344827586206897</v>
      </c>
      <c r="G110" s="295">
        <v>3.4</v>
      </c>
      <c r="H110" s="295">
        <v>3.2</v>
      </c>
      <c r="I110" s="315">
        <f t="shared" si="9"/>
        <v>17.408000000000001</v>
      </c>
      <c r="J110" s="316">
        <f t="shared" si="7"/>
        <v>1.1499537587528077</v>
      </c>
    </row>
    <row r="111" spans="1:10" s="316" customFormat="1">
      <c r="A111" s="295">
        <v>7</v>
      </c>
      <c r="B111" s="295">
        <f t="shared" si="8"/>
        <v>-5</v>
      </c>
      <c r="C111" s="295">
        <v>7.3</v>
      </c>
      <c r="D111" s="295" t="s">
        <v>113</v>
      </c>
      <c r="E111" s="295">
        <v>29</v>
      </c>
      <c r="F111" s="316">
        <f t="shared" si="6"/>
        <v>1.0740740740740742</v>
      </c>
      <c r="G111" s="295">
        <v>4.7</v>
      </c>
      <c r="H111" s="295">
        <v>4.4000000000000004</v>
      </c>
      <c r="I111" s="315">
        <f t="shared" si="9"/>
        <v>45.496000000000009</v>
      </c>
      <c r="J111" s="316">
        <f t="shared" si="7"/>
        <v>0.31841213851795874</v>
      </c>
    </row>
    <row r="112" spans="1:10" s="316" customFormat="1">
      <c r="A112" s="295">
        <v>7</v>
      </c>
      <c r="B112" s="295">
        <f t="shared" si="8"/>
        <v>-5</v>
      </c>
      <c r="C112" s="295">
        <v>7.4</v>
      </c>
      <c r="D112" s="295" t="s">
        <v>115</v>
      </c>
      <c r="E112" s="295">
        <v>28</v>
      </c>
      <c r="F112" s="316">
        <f t="shared" si="6"/>
        <v>1.037037037037037</v>
      </c>
      <c r="G112" s="295">
        <v>4.5</v>
      </c>
      <c r="H112" s="295">
        <v>4.3</v>
      </c>
      <c r="I112" s="315">
        <f t="shared" si="9"/>
        <v>41.602499999999999</v>
      </c>
      <c r="J112" s="316">
        <f t="shared" si="7"/>
        <v>0.35150903222535784</v>
      </c>
    </row>
    <row r="113" spans="1:10" s="316" customFormat="1">
      <c r="A113" s="295">
        <v>7</v>
      </c>
      <c r="B113" s="295">
        <f t="shared" si="8"/>
        <v>-5</v>
      </c>
      <c r="C113" s="295">
        <v>7.5</v>
      </c>
      <c r="D113" s="295" t="s">
        <v>111</v>
      </c>
      <c r="E113" s="295">
        <v>33</v>
      </c>
      <c r="F113" s="316">
        <f t="shared" si="6"/>
        <v>1.1379310344827587</v>
      </c>
      <c r="G113" s="295">
        <v>3.6</v>
      </c>
      <c r="H113" s="295">
        <v>3.5</v>
      </c>
      <c r="I113" s="315">
        <f t="shared" si="9"/>
        <v>22.05</v>
      </c>
      <c r="J113" s="316">
        <f t="shared" si="7"/>
        <v>0.35649615210502489</v>
      </c>
    </row>
    <row r="114" spans="1:10" s="316" customFormat="1">
      <c r="A114" s="295">
        <v>9</v>
      </c>
      <c r="B114" s="295">
        <f t="shared" si="8"/>
        <v>-3</v>
      </c>
      <c r="C114" s="295">
        <v>1.1000000000000001</v>
      </c>
      <c r="D114" s="295" t="s">
        <v>112</v>
      </c>
      <c r="E114" s="295">
        <v>29</v>
      </c>
      <c r="F114" s="316">
        <f t="shared" si="6"/>
        <v>1.0357142857142858</v>
      </c>
      <c r="G114" s="295">
        <v>5.8</v>
      </c>
      <c r="H114" s="295">
        <v>3.8</v>
      </c>
      <c r="I114" s="315">
        <f>G114*(H114^2)*0.5</f>
        <v>41.875999999999998</v>
      </c>
      <c r="J114" s="316">
        <f t="shared" si="7"/>
        <v>0.1858974358974359</v>
      </c>
    </row>
    <row r="115" spans="1:10" s="316" customFormat="1">
      <c r="A115" s="295">
        <v>9</v>
      </c>
      <c r="B115" s="295">
        <f t="shared" si="8"/>
        <v>-3</v>
      </c>
      <c r="C115" s="295">
        <v>1.2</v>
      </c>
      <c r="D115" s="295" t="s">
        <v>113</v>
      </c>
      <c r="E115" s="295">
        <v>27</v>
      </c>
      <c r="F115" s="316">
        <f t="shared" si="6"/>
        <v>1</v>
      </c>
      <c r="G115" s="295">
        <v>7.2</v>
      </c>
      <c r="H115" s="295">
        <v>5.8</v>
      </c>
      <c r="I115" s="315">
        <f t="shared" ref="I115:I148" si="10">G115*(H115^2)*0.5</f>
        <v>121.104</v>
      </c>
      <c r="J115" s="316">
        <f t="shared" si="7"/>
        <v>0.57888686266589862</v>
      </c>
    </row>
    <row r="116" spans="1:10" s="316" customFormat="1">
      <c r="A116" s="295">
        <v>9</v>
      </c>
      <c r="B116" s="295">
        <f t="shared" si="8"/>
        <v>-3</v>
      </c>
      <c r="C116" s="295">
        <v>1.3</v>
      </c>
      <c r="D116" s="295" t="s">
        <v>115</v>
      </c>
      <c r="E116" s="295">
        <v>25</v>
      </c>
      <c r="F116" s="316">
        <f t="shared" si="6"/>
        <v>1.0416666666666667</v>
      </c>
      <c r="G116" s="295">
        <v>7.2</v>
      </c>
      <c r="H116" s="295">
        <v>5.8</v>
      </c>
      <c r="I116" s="315">
        <f t="shared" si="10"/>
        <v>121.104</v>
      </c>
      <c r="J116" s="316">
        <f t="shared" si="7"/>
        <v>1.2214960058097313</v>
      </c>
    </row>
    <row r="117" spans="1:10" s="316" customFormat="1">
      <c r="A117" s="295">
        <v>9</v>
      </c>
      <c r="B117" s="295">
        <f t="shared" si="8"/>
        <v>-3</v>
      </c>
      <c r="C117" s="295">
        <v>1.4</v>
      </c>
      <c r="D117" s="295" t="s">
        <v>115</v>
      </c>
      <c r="E117" s="295">
        <v>26</v>
      </c>
      <c r="F117" s="316">
        <f t="shared" si="6"/>
        <v>0.9285714285714286</v>
      </c>
      <c r="G117" s="295">
        <v>7</v>
      </c>
      <c r="H117" s="295">
        <v>5.2</v>
      </c>
      <c r="I117" s="315">
        <f t="shared" si="10"/>
        <v>94.640000000000015</v>
      </c>
      <c r="J117" s="316">
        <f t="shared" si="7"/>
        <v>0.52150146575855771</v>
      </c>
    </row>
    <row r="118" spans="1:10" s="316" customFormat="1">
      <c r="A118" s="295">
        <v>9</v>
      </c>
      <c r="B118" s="295">
        <f t="shared" si="8"/>
        <v>-3</v>
      </c>
      <c r="C118" s="295">
        <v>1.5</v>
      </c>
      <c r="D118" s="295" t="s">
        <v>112</v>
      </c>
      <c r="E118" s="295">
        <v>28</v>
      </c>
      <c r="F118" s="316">
        <f t="shared" si="6"/>
        <v>1</v>
      </c>
      <c r="G118" s="295">
        <v>6.5</v>
      </c>
      <c r="H118" s="295">
        <v>5.5</v>
      </c>
      <c r="I118" s="315">
        <f t="shared" si="10"/>
        <v>98.3125</v>
      </c>
      <c r="J118" s="316">
        <f t="shared" si="7"/>
        <v>0.70594338809742641</v>
      </c>
    </row>
    <row r="119" spans="1:10" s="316" customFormat="1">
      <c r="A119" s="295">
        <v>9</v>
      </c>
      <c r="B119" s="295">
        <f t="shared" si="8"/>
        <v>-3</v>
      </c>
      <c r="C119" s="295">
        <v>2.1</v>
      </c>
      <c r="D119" s="295" t="s">
        <v>114</v>
      </c>
      <c r="E119" s="295">
        <v>27</v>
      </c>
      <c r="F119" s="316">
        <f t="shared" si="6"/>
        <v>1.0384615384615385</v>
      </c>
      <c r="G119" s="295">
        <v>6.7</v>
      </c>
      <c r="H119" s="295">
        <v>5.5</v>
      </c>
      <c r="I119" s="315">
        <f t="shared" si="10"/>
        <v>101.33750000000001</v>
      </c>
      <c r="J119" s="316">
        <f t="shared" si="7"/>
        <v>0.53885871226925508</v>
      </c>
    </row>
    <row r="120" spans="1:10" s="316" customFormat="1">
      <c r="A120" s="295">
        <v>9</v>
      </c>
      <c r="B120" s="295">
        <f t="shared" si="8"/>
        <v>-3</v>
      </c>
      <c r="C120" s="295">
        <v>2.2000000000000002</v>
      </c>
      <c r="D120" s="295" t="s">
        <v>115</v>
      </c>
      <c r="E120" s="295">
        <v>27</v>
      </c>
      <c r="F120" s="316">
        <f t="shared" si="6"/>
        <v>0.9642857142857143</v>
      </c>
      <c r="G120" s="295">
        <v>6.2</v>
      </c>
      <c r="H120" s="295">
        <v>4.8</v>
      </c>
      <c r="I120" s="315">
        <f t="shared" si="10"/>
        <v>71.423999999999992</v>
      </c>
      <c r="J120" s="316">
        <f t="shared" si="7"/>
        <v>0.81418067825591334</v>
      </c>
    </row>
    <row r="121" spans="1:10" s="316" customFormat="1">
      <c r="A121" s="295">
        <v>9</v>
      </c>
      <c r="B121" s="295">
        <f t="shared" si="8"/>
        <v>-3</v>
      </c>
      <c r="C121" s="295">
        <v>2.2999999999999998</v>
      </c>
      <c r="D121" s="295" t="s">
        <v>112</v>
      </c>
      <c r="E121" s="295">
        <v>26</v>
      </c>
      <c r="F121" s="316">
        <f t="shared" si="6"/>
        <v>1.04</v>
      </c>
      <c r="G121" s="295">
        <v>6.7</v>
      </c>
      <c r="H121" s="295">
        <v>5.6</v>
      </c>
      <c r="I121" s="315">
        <f t="shared" si="10"/>
        <v>105.05599999999998</v>
      </c>
      <c r="J121" s="316">
        <f t="shared" si="7"/>
        <v>0.63251311012505029</v>
      </c>
    </row>
    <row r="122" spans="1:10" s="316" customFormat="1">
      <c r="A122" s="295">
        <v>9</v>
      </c>
      <c r="B122" s="295">
        <f t="shared" si="8"/>
        <v>-3</v>
      </c>
      <c r="C122" s="295">
        <v>2.4</v>
      </c>
      <c r="D122" s="295" t="s">
        <v>114</v>
      </c>
      <c r="E122" s="295">
        <v>26</v>
      </c>
      <c r="F122" s="316">
        <f t="shared" si="6"/>
        <v>1.04</v>
      </c>
      <c r="G122" s="295">
        <v>6.5</v>
      </c>
      <c r="H122" s="295">
        <v>5.5</v>
      </c>
      <c r="I122" s="315">
        <f t="shared" si="10"/>
        <v>98.3125</v>
      </c>
      <c r="J122" s="316">
        <f t="shared" si="7"/>
        <v>0.91453488372093028</v>
      </c>
    </row>
    <row r="123" spans="1:10" s="316" customFormat="1">
      <c r="A123" s="295">
        <v>9</v>
      </c>
      <c r="B123" s="295">
        <f t="shared" si="8"/>
        <v>-3</v>
      </c>
      <c r="C123" s="295">
        <v>2.5</v>
      </c>
      <c r="D123" s="295" t="s">
        <v>113</v>
      </c>
      <c r="E123" s="295">
        <v>28</v>
      </c>
      <c r="F123" s="316">
        <f t="shared" si="6"/>
        <v>1.037037037037037</v>
      </c>
      <c r="G123" s="295">
        <v>7.1</v>
      </c>
      <c r="H123" s="295">
        <v>5.5</v>
      </c>
      <c r="I123" s="315">
        <f t="shared" si="10"/>
        <v>107.38749999999999</v>
      </c>
      <c r="J123" s="316">
        <f t="shared" si="7"/>
        <v>0.62953594165855709</v>
      </c>
    </row>
    <row r="124" spans="1:10" s="316" customFormat="1">
      <c r="A124" s="295">
        <v>9</v>
      </c>
      <c r="B124" s="295">
        <f t="shared" si="8"/>
        <v>-3</v>
      </c>
      <c r="C124" s="295">
        <v>3.1</v>
      </c>
      <c r="D124" s="295" t="s">
        <v>115</v>
      </c>
      <c r="E124" s="295">
        <v>25</v>
      </c>
      <c r="F124" s="316">
        <f t="shared" si="6"/>
        <v>1.0416666666666667</v>
      </c>
      <c r="G124" s="295">
        <v>6.2</v>
      </c>
      <c r="H124" s="295">
        <v>5.0999999999999996</v>
      </c>
      <c r="I124" s="315">
        <f t="shared" si="10"/>
        <v>80.631</v>
      </c>
      <c r="J124" s="316">
        <f t="shared" si="7"/>
        <v>0.44382000825650203</v>
      </c>
    </row>
    <row r="125" spans="1:10" s="316" customFormat="1">
      <c r="A125" s="295">
        <v>9</v>
      </c>
      <c r="B125" s="295">
        <f t="shared" si="8"/>
        <v>-3</v>
      </c>
      <c r="C125" s="295">
        <v>3.2</v>
      </c>
      <c r="D125" s="295" t="s">
        <v>113</v>
      </c>
      <c r="E125" s="295">
        <v>31</v>
      </c>
      <c r="F125" s="316">
        <f t="shared" si="6"/>
        <v>1.0333333333333334</v>
      </c>
      <c r="G125" s="295">
        <v>6.7</v>
      </c>
      <c r="H125" s="295">
        <v>5.3</v>
      </c>
      <c r="I125" s="315">
        <f t="shared" si="10"/>
        <v>94.101500000000001</v>
      </c>
      <c r="J125" s="316">
        <f t="shared" si="7"/>
        <v>0.49037760036686545</v>
      </c>
    </row>
    <row r="126" spans="1:10" s="316" customFormat="1">
      <c r="A126" s="295">
        <v>9</v>
      </c>
      <c r="B126" s="295">
        <f t="shared" si="8"/>
        <v>-3</v>
      </c>
      <c r="C126" s="295">
        <v>3.3</v>
      </c>
      <c r="D126" s="295" t="s">
        <v>114</v>
      </c>
      <c r="E126" s="295">
        <v>26</v>
      </c>
      <c r="F126" s="316">
        <f t="shared" si="6"/>
        <v>1.04</v>
      </c>
      <c r="G126" s="295">
        <v>6.5</v>
      </c>
      <c r="H126" s="295">
        <v>5.5</v>
      </c>
      <c r="I126" s="315">
        <f t="shared" si="10"/>
        <v>98.3125</v>
      </c>
      <c r="J126" s="316">
        <f t="shared" si="7"/>
        <v>0.47770894071914477</v>
      </c>
    </row>
    <row r="127" spans="1:10" s="316" customFormat="1">
      <c r="A127" s="295">
        <v>9</v>
      </c>
      <c r="B127" s="295">
        <f t="shared" si="8"/>
        <v>-3</v>
      </c>
      <c r="C127" s="295">
        <v>3.4</v>
      </c>
      <c r="D127" s="295" t="s">
        <v>114</v>
      </c>
      <c r="E127" s="295">
        <v>26</v>
      </c>
      <c r="F127" s="316">
        <f t="shared" si="6"/>
        <v>1.04</v>
      </c>
      <c r="G127" s="295">
        <v>7.6</v>
      </c>
      <c r="H127" s="295">
        <v>5.3</v>
      </c>
      <c r="I127" s="315">
        <f t="shared" si="10"/>
        <v>106.74199999999999</v>
      </c>
      <c r="J127" s="316">
        <f t="shared" si="7"/>
        <v>0.45523635681263747</v>
      </c>
    </row>
    <row r="128" spans="1:10" s="316" customFormat="1">
      <c r="A128" s="295">
        <v>9</v>
      </c>
      <c r="B128" s="295">
        <f t="shared" si="8"/>
        <v>-3</v>
      </c>
      <c r="C128" s="295">
        <v>3.5</v>
      </c>
      <c r="D128" s="295" t="s">
        <v>115</v>
      </c>
      <c r="E128" s="295">
        <v>28</v>
      </c>
      <c r="F128" s="316">
        <f t="shared" si="6"/>
        <v>1.037037037037037</v>
      </c>
      <c r="G128" s="295">
        <v>7</v>
      </c>
      <c r="H128" s="295">
        <v>5.7</v>
      </c>
      <c r="I128" s="315">
        <f t="shared" si="10"/>
        <v>113.715</v>
      </c>
      <c r="J128" s="316">
        <f t="shared" si="7"/>
        <v>0.48861341468654662</v>
      </c>
    </row>
    <row r="129" spans="1:11" s="316" customFormat="1">
      <c r="A129" s="295">
        <v>9</v>
      </c>
      <c r="B129" s="295">
        <f t="shared" si="8"/>
        <v>-3</v>
      </c>
      <c r="C129" s="295">
        <v>4.0999999999999996</v>
      </c>
      <c r="D129" s="295" t="s">
        <v>111</v>
      </c>
      <c r="E129" s="295">
        <v>30</v>
      </c>
      <c r="F129" s="316">
        <f t="shared" si="6"/>
        <v>1.0714285714285714</v>
      </c>
      <c r="G129" s="295">
        <v>4.0999999999999996</v>
      </c>
      <c r="H129" s="295">
        <v>3.6</v>
      </c>
      <c r="I129" s="315">
        <f t="shared" si="10"/>
        <v>26.567999999999998</v>
      </c>
      <c r="J129" s="316">
        <f t="shared" si="7"/>
        <v>0.98582560296845989</v>
      </c>
    </row>
    <row r="130" spans="1:11" s="316" customFormat="1">
      <c r="A130" s="295">
        <v>9</v>
      </c>
      <c r="B130" s="295">
        <f t="shared" si="8"/>
        <v>-3</v>
      </c>
      <c r="C130" s="295">
        <v>4.2</v>
      </c>
      <c r="D130" s="295" t="s">
        <v>112</v>
      </c>
      <c r="E130" s="295">
        <v>30</v>
      </c>
      <c r="F130" s="316">
        <f t="shared" si="6"/>
        <v>1.0344827586206897</v>
      </c>
      <c r="G130" s="295">
        <v>6.5</v>
      </c>
      <c r="H130" s="295">
        <v>5.4</v>
      </c>
      <c r="I130" s="315">
        <f t="shared" si="10"/>
        <v>94.77000000000001</v>
      </c>
      <c r="J130" s="316">
        <f t="shared" si="7"/>
        <v>0.28473311340652213</v>
      </c>
    </row>
    <row r="131" spans="1:11" s="316" customFormat="1">
      <c r="A131" s="295">
        <v>9</v>
      </c>
      <c r="B131" s="295">
        <f t="shared" si="8"/>
        <v>-3</v>
      </c>
      <c r="C131" s="295">
        <v>4.3</v>
      </c>
      <c r="D131" s="295" t="s">
        <v>113</v>
      </c>
      <c r="E131" s="295">
        <v>26</v>
      </c>
      <c r="F131" s="316">
        <f t="shared" si="6"/>
        <v>1</v>
      </c>
      <c r="G131" s="295">
        <v>6.1</v>
      </c>
      <c r="H131" s="295">
        <v>5.0999999999999996</v>
      </c>
      <c r="I131" s="315">
        <f t="shared" si="10"/>
        <v>79.330499999999986</v>
      </c>
      <c r="J131" s="316">
        <f t="shared" si="7"/>
        <v>0.56964111328124989</v>
      </c>
    </row>
    <row r="132" spans="1:11">
      <c r="A132" s="295">
        <v>9</v>
      </c>
      <c r="B132" s="295">
        <f t="shared" si="8"/>
        <v>-3</v>
      </c>
      <c r="C132" s="295">
        <v>4.4000000000000004</v>
      </c>
      <c r="D132" s="295" t="s">
        <v>112</v>
      </c>
      <c r="E132" s="295">
        <v>32</v>
      </c>
      <c r="F132" s="316">
        <f t="shared" si="6"/>
        <v>1.032258064516129</v>
      </c>
      <c r="G132" s="295">
        <v>5.5</v>
      </c>
      <c r="H132" s="295">
        <v>4.5999999999999996</v>
      </c>
      <c r="I132" s="315">
        <f>G132*(H132^2)*0.5 + 23.12</f>
        <v>81.309999999999988</v>
      </c>
      <c r="J132" s="316">
        <f t="shared" si="7"/>
        <v>0.43247124526294783</v>
      </c>
      <c r="K132" s="316" t="s">
        <v>129</v>
      </c>
    </row>
    <row r="133" spans="1:11">
      <c r="A133" s="295">
        <v>9</v>
      </c>
      <c r="B133" s="295">
        <f t="shared" si="8"/>
        <v>-3</v>
      </c>
      <c r="C133" s="295">
        <v>4.5</v>
      </c>
      <c r="D133" s="295" t="s">
        <v>112</v>
      </c>
      <c r="E133" s="295">
        <v>28</v>
      </c>
      <c r="F133" s="316">
        <f t="shared" si="6"/>
        <v>1.037037037037037</v>
      </c>
      <c r="G133" s="295">
        <v>5.0999999999999996</v>
      </c>
      <c r="H133" s="295">
        <v>4.5</v>
      </c>
      <c r="I133" s="315">
        <f t="shared" si="10"/>
        <v>51.637499999999996</v>
      </c>
      <c r="J133" s="316">
        <f t="shared" si="7"/>
        <v>0.23071200707717876</v>
      </c>
    </row>
    <row r="134" spans="1:11">
      <c r="A134" s="295">
        <v>9</v>
      </c>
      <c r="B134" s="295">
        <f t="shared" si="8"/>
        <v>-3</v>
      </c>
      <c r="C134" s="295">
        <v>5.0999999999999996</v>
      </c>
      <c r="D134" s="295" t="s">
        <v>113</v>
      </c>
      <c r="E134" s="295">
        <v>25</v>
      </c>
      <c r="F134" s="316">
        <f t="shared" si="6"/>
        <v>1.0416666666666667</v>
      </c>
      <c r="G134" s="295">
        <v>4.8</v>
      </c>
      <c r="H134" s="295">
        <v>4.0999999999999996</v>
      </c>
      <c r="I134" s="315">
        <f t="shared" si="10"/>
        <v>40.343999999999994</v>
      </c>
      <c r="J134" s="316">
        <f t="shared" si="7"/>
        <v>0.24290006201345024</v>
      </c>
    </row>
    <row r="135" spans="1:11">
      <c r="A135" s="295">
        <v>9</v>
      </c>
      <c r="B135" s="295">
        <f t="shared" si="8"/>
        <v>-3</v>
      </c>
      <c r="C135" s="295">
        <v>5.2</v>
      </c>
      <c r="D135" s="295" t="s">
        <v>114</v>
      </c>
      <c r="E135" s="295">
        <v>28</v>
      </c>
      <c r="F135" s="316">
        <f t="shared" si="6"/>
        <v>1.037037037037037</v>
      </c>
      <c r="G135" s="295">
        <v>5.6</v>
      </c>
      <c r="H135" s="295">
        <v>4.5</v>
      </c>
      <c r="I135" s="315">
        <f t="shared" si="10"/>
        <v>56.699999999999996</v>
      </c>
      <c r="J135" s="316">
        <f t="shared" si="7"/>
        <v>0.34254023488473256</v>
      </c>
    </row>
    <row r="136" spans="1:11">
      <c r="A136" s="295">
        <v>9</v>
      </c>
      <c r="B136" s="295">
        <f t="shared" si="8"/>
        <v>-3</v>
      </c>
      <c r="C136" s="295">
        <v>5.3</v>
      </c>
      <c r="D136" s="295" t="s">
        <v>112</v>
      </c>
      <c r="E136" s="295">
        <v>30</v>
      </c>
      <c r="F136" s="316">
        <f t="shared" si="6"/>
        <v>1.0714285714285714</v>
      </c>
      <c r="G136" s="295">
        <v>6.3</v>
      </c>
      <c r="H136" s="295">
        <v>5.7</v>
      </c>
      <c r="I136" s="315">
        <f t="shared" si="10"/>
        <v>102.34350000000001</v>
      </c>
      <c r="J136" s="316">
        <f t="shared" si="7"/>
        <v>0.43132680928538925</v>
      </c>
    </row>
    <row r="137" spans="1:11">
      <c r="A137" s="295">
        <v>9</v>
      </c>
      <c r="B137" s="295">
        <f t="shared" si="8"/>
        <v>-3</v>
      </c>
      <c r="C137" s="295">
        <v>5.4</v>
      </c>
      <c r="D137" s="295" t="s">
        <v>113</v>
      </c>
      <c r="E137" s="295">
        <v>27</v>
      </c>
      <c r="F137" s="316">
        <f t="shared" ref="F137:F200" si="11">IF(ISBLANK(E137),"",E137/SUMIFS(E:E,C:C,C137,B:B,"0"))</f>
        <v>1.0384615384615385</v>
      </c>
      <c r="G137" s="295">
        <v>5.9</v>
      </c>
      <c r="H137" s="295">
        <v>5.6</v>
      </c>
      <c r="I137" s="315">
        <f t="shared" si="10"/>
        <v>92.512</v>
      </c>
      <c r="J137" s="316">
        <f t="shared" ref="J137:J200" si="12">IF(ISBLANK(I137),"",I137/SUMIFS(I:I,C:C,C137,B:B,"0"))</f>
        <v>0.51726027397260277</v>
      </c>
    </row>
    <row r="138" spans="1:11">
      <c r="A138" s="295">
        <v>9</v>
      </c>
      <c r="B138" s="295">
        <f t="shared" ref="B138:B201" si="13">A138-12</f>
        <v>-3</v>
      </c>
      <c r="C138" s="295">
        <v>5.5</v>
      </c>
      <c r="D138" s="295" t="s">
        <v>114</v>
      </c>
      <c r="E138" s="295">
        <v>23</v>
      </c>
      <c r="F138" s="316">
        <f t="shared" si="11"/>
        <v>1.0454545454545454</v>
      </c>
      <c r="G138" s="295">
        <v>6.5</v>
      </c>
      <c r="H138" s="295">
        <v>5.2</v>
      </c>
      <c r="I138" s="315">
        <f t="shared" si="10"/>
        <v>87.88000000000001</v>
      </c>
      <c r="J138" s="316">
        <f t="shared" si="12"/>
        <v>0.87354128148545751</v>
      </c>
    </row>
    <row r="139" spans="1:11">
      <c r="A139" s="295">
        <v>9</v>
      </c>
      <c r="B139" s="295">
        <f t="shared" si="13"/>
        <v>-3</v>
      </c>
      <c r="C139" s="295">
        <v>6.1</v>
      </c>
      <c r="D139" s="295" t="s">
        <v>115</v>
      </c>
      <c r="E139" s="295">
        <v>26</v>
      </c>
      <c r="F139" s="316">
        <f t="shared" si="11"/>
        <v>1.04</v>
      </c>
      <c r="G139" s="295">
        <v>6.2</v>
      </c>
      <c r="H139" s="295">
        <v>4.8</v>
      </c>
      <c r="I139" s="315">
        <f t="shared" si="10"/>
        <v>71.423999999999992</v>
      </c>
      <c r="J139" s="316">
        <f t="shared" si="12"/>
        <v>0.53087557603686619</v>
      </c>
    </row>
    <row r="140" spans="1:11">
      <c r="A140" s="295">
        <v>9</v>
      </c>
      <c r="B140" s="295">
        <f t="shared" si="13"/>
        <v>-3</v>
      </c>
      <c r="C140" s="295">
        <v>6.2</v>
      </c>
      <c r="D140" s="295" t="s">
        <v>115</v>
      </c>
      <c r="E140" s="295">
        <v>27</v>
      </c>
      <c r="F140" s="316">
        <f t="shared" si="11"/>
        <v>1</v>
      </c>
      <c r="G140" s="295">
        <v>6</v>
      </c>
      <c r="H140" s="295">
        <v>5.3</v>
      </c>
      <c r="I140" s="315">
        <f t="shared" si="10"/>
        <v>84.27</v>
      </c>
      <c r="J140" s="316">
        <f t="shared" si="12"/>
        <v>0.67603396615417943</v>
      </c>
    </row>
    <row r="141" spans="1:11">
      <c r="A141" s="295">
        <v>9</v>
      </c>
      <c r="B141" s="295">
        <f t="shared" si="13"/>
        <v>-3</v>
      </c>
      <c r="C141" s="295">
        <v>6.3</v>
      </c>
      <c r="D141" s="295" t="s">
        <v>114</v>
      </c>
      <c r="E141" s="295">
        <v>25</v>
      </c>
      <c r="F141" s="316">
        <f t="shared" si="11"/>
        <v>1.0416666666666667</v>
      </c>
      <c r="G141" s="295">
        <v>6.5</v>
      </c>
      <c r="H141" s="295">
        <v>5.2</v>
      </c>
      <c r="I141" s="315">
        <f t="shared" si="10"/>
        <v>87.88000000000001</v>
      </c>
      <c r="J141" s="316">
        <f t="shared" si="12"/>
        <v>0.58438039253498597</v>
      </c>
    </row>
    <row r="142" spans="1:11">
      <c r="A142" s="295">
        <v>9</v>
      </c>
      <c r="B142" s="295">
        <f t="shared" si="13"/>
        <v>-3</v>
      </c>
      <c r="C142" s="295">
        <v>6.4</v>
      </c>
      <c r="D142" s="295" t="s">
        <v>112</v>
      </c>
      <c r="E142" s="295">
        <v>30</v>
      </c>
      <c r="F142" s="316">
        <f t="shared" si="11"/>
        <v>1.0344827586206897</v>
      </c>
      <c r="G142" s="295">
        <v>4.8</v>
      </c>
      <c r="H142" s="295">
        <v>4.2</v>
      </c>
      <c r="I142" s="315">
        <f t="shared" si="10"/>
        <v>42.335999999999999</v>
      </c>
      <c r="J142" s="316">
        <f t="shared" si="12"/>
        <v>0.7289256198347106</v>
      </c>
    </row>
    <row r="143" spans="1:11">
      <c r="A143" s="295">
        <v>9</v>
      </c>
      <c r="B143" s="295">
        <f t="shared" si="13"/>
        <v>-3</v>
      </c>
      <c r="C143" s="295">
        <v>6.5</v>
      </c>
      <c r="D143" s="295" t="s">
        <v>113</v>
      </c>
      <c r="E143" s="295">
        <v>24</v>
      </c>
      <c r="F143" s="316">
        <f t="shared" si="11"/>
        <v>1</v>
      </c>
      <c r="G143" s="295">
        <v>5.7</v>
      </c>
      <c r="H143" s="295">
        <v>4.5</v>
      </c>
      <c r="I143" s="315">
        <f t="shared" si="10"/>
        <v>57.712499999999999</v>
      </c>
      <c r="J143" s="316">
        <f t="shared" si="12"/>
        <v>1.1399999999999999</v>
      </c>
      <c r="K143" s="316" t="s">
        <v>130</v>
      </c>
    </row>
    <row r="144" spans="1:11">
      <c r="A144" s="295">
        <v>9</v>
      </c>
      <c r="B144" s="295">
        <f t="shared" si="13"/>
        <v>-3</v>
      </c>
      <c r="C144" s="295">
        <v>7.1</v>
      </c>
      <c r="D144" s="295" t="s">
        <v>114</v>
      </c>
      <c r="E144" s="295">
        <v>28</v>
      </c>
      <c r="F144" s="316">
        <f t="shared" si="11"/>
        <v>1.037037037037037</v>
      </c>
      <c r="G144" s="295">
        <v>6.4</v>
      </c>
      <c r="H144" s="295">
        <v>5.4</v>
      </c>
      <c r="I144" s="315">
        <f t="shared" si="10"/>
        <v>93.312000000000012</v>
      </c>
      <c r="J144" s="316">
        <f t="shared" si="12"/>
        <v>0.69120000000000004</v>
      </c>
    </row>
    <row r="145" spans="1:11">
      <c r="A145" s="295">
        <v>9</v>
      </c>
      <c r="B145" s="295">
        <f t="shared" si="13"/>
        <v>-3</v>
      </c>
      <c r="C145" s="295">
        <v>7.2</v>
      </c>
      <c r="D145" s="295" t="s">
        <v>111</v>
      </c>
      <c r="E145" s="295">
        <v>30</v>
      </c>
      <c r="F145" s="316">
        <f t="shared" si="11"/>
        <v>1.0344827586206897</v>
      </c>
      <c r="G145" s="295">
        <v>4.7</v>
      </c>
      <c r="H145" s="295">
        <v>3.2</v>
      </c>
      <c r="I145" s="315">
        <f t="shared" si="10"/>
        <v>24.064000000000007</v>
      </c>
      <c r="J145" s="316">
        <f t="shared" si="12"/>
        <v>1.5896419606288814</v>
      </c>
    </row>
    <row r="146" spans="1:11">
      <c r="A146" s="295">
        <v>9</v>
      </c>
      <c r="B146" s="295">
        <f t="shared" si="13"/>
        <v>-3</v>
      </c>
      <c r="C146" s="295">
        <v>7.3</v>
      </c>
      <c r="D146" s="295" t="s">
        <v>113</v>
      </c>
      <c r="E146" s="295">
        <v>28</v>
      </c>
      <c r="F146" s="316">
        <f t="shared" si="11"/>
        <v>1.037037037037037</v>
      </c>
      <c r="G146" s="295">
        <v>5.7</v>
      </c>
      <c r="H146" s="295">
        <v>5</v>
      </c>
      <c r="I146" s="315">
        <f t="shared" si="10"/>
        <v>71.25</v>
      </c>
      <c r="J146" s="316">
        <f t="shared" si="12"/>
        <v>0.49865625262450664</v>
      </c>
    </row>
    <row r="147" spans="1:11">
      <c r="A147" s="295">
        <v>9</v>
      </c>
      <c r="B147" s="295">
        <f t="shared" si="13"/>
        <v>-3</v>
      </c>
      <c r="C147" s="295">
        <v>7.4</v>
      </c>
      <c r="D147" s="295" t="s">
        <v>115</v>
      </c>
      <c r="E147" s="295">
        <v>27</v>
      </c>
      <c r="F147" s="316">
        <f t="shared" si="11"/>
        <v>1</v>
      </c>
      <c r="G147" s="295">
        <v>6.4</v>
      </c>
      <c r="H147" s="295">
        <v>5.3</v>
      </c>
      <c r="I147" s="315">
        <f t="shared" si="10"/>
        <v>89.888000000000005</v>
      </c>
      <c r="J147" s="316">
        <f t="shared" si="12"/>
        <v>0.75948425908714534</v>
      </c>
    </row>
    <row r="148" spans="1:11">
      <c r="A148" s="295">
        <v>9</v>
      </c>
      <c r="B148" s="295">
        <f t="shared" si="13"/>
        <v>-3</v>
      </c>
      <c r="C148" s="295">
        <v>7.5</v>
      </c>
      <c r="D148" s="295" t="s">
        <v>111</v>
      </c>
      <c r="E148" s="295">
        <v>29</v>
      </c>
      <c r="F148" s="316">
        <f t="shared" si="11"/>
        <v>1</v>
      </c>
      <c r="G148" s="295">
        <v>4.8</v>
      </c>
      <c r="H148" s="295">
        <v>4.2</v>
      </c>
      <c r="I148" s="315">
        <f t="shared" si="10"/>
        <v>42.335999999999999</v>
      </c>
      <c r="J148" s="316">
        <f t="shared" si="12"/>
        <v>0.68447261204164778</v>
      </c>
    </row>
    <row r="149" spans="1:11">
      <c r="A149" s="295">
        <v>10</v>
      </c>
      <c r="B149" s="295">
        <f t="shared" si="13"/>
        <v>-2</v>
      </c>
      <c r="C149" s="295">
        <v>1.1000000000000001</v>
      </c>
      <c r="D149" s="295" t="s">
        <v>112</v>
      </c>
      <c r="E149" s="295">
        <v>29</v>
      </c>
      <c r="F149" s="316">
        <f t="shared" si="11"/>
        <v>1.0357142857142858</v>
      </c>
      <c r="G149" s="295">
        <v>8.6999999999999993</v>
      </c>
      <c r="H149" s="295">
        <v>6.9</v>
      </c>
      <c r="I149" s="315">
        <f>G149*(H149^2)*0.5</f>
        <v>207.10350000000003</v>
      </c>
      <c r="J149" s="316">
        <f t="shared" si="12"/>
        <v>0.91938125932239523</v>
      </c>
      <c r="K149" s="316" t="s">
        <v>131</v>
      </c>
    </row>
    <row r="150" spans="1:11">
      <c r="A150" s="295">
        <v>10</v>
      </c>
      <c r="B150" s="295">
        <f t="shared" si="13"/>
        <v>-2</v>
      </c>
      <c r="C150" s="295">
        <v>1.2</v>
      </c>
      <c r="D150" s="295" t="s">
        <v>113</v>
      </c>
      <c r="E150" s="295">
        <v>27</v>
      </c>
      <c r="F150" s="316">
        <f t="shared" si="11"/>
        <v>1</v>
      </c>
      <c r="G150" s="295">
        <v>7.1</v>
      </c>
      <c r="H150" s="295">
        <v>5.8</v>
      </c>
      <c r="I150" s="315">
        <f t="shared" ref="I150:I213" si="14">G150*(H150^2)*0.5</f>
        <v>119.422</v>
      </c>
      <c r="J150" s="316">
        <f t="shared" si="12"/>
        <v>0.57084676735109452</v>
      </c>
    </row>
    <row r="151" spans="1:11">
      <c r="A151" s="295">
        <v>10</v>
      </c>
      <c r="B151" s="295">
        <f t="shared" si="13"/>
        <v>-2</v>
      </c>
      <c r="C151" s="295">
        <v>1.3</v>
      </c>
      <c r="D151" s="295" t="s">
        <v>115</v>
      </c>
      <c r="E151" s="295">
        <v>25</v>
      </c>
      <c r="F151" s="316">
        <f t="shared" si="11"/>
        <v>1.0416666666666667</v>
      </c>
      <c r="G151" s="295">
        <v>7</v>
      </c>
      <c r="H151" s="295">
        <v>6</v>
      </c>
      <c r="I151" s="315">
        <f t="shared" si="14"/>
        <v>126</v>
      </c>
      <c r="J151" s="316">
        <f t="shared" si="12"/>
        <v>1.270878721859114</v>
      </c>
    </row>
    <row r="152" spans="1:11">
      <c r="A152" s="295">
        <v>10</v>
      </c>
      <c r="B152" s="295">
        <f t="shared" si="13"/>
        <v>-2</v>
      </c>
      <c r="C152" s="295">
        <v>1.4</v>
      </c>
      <c r="D152" s="295" t="s">
        <v>115</v>
      </c>
      <c r="E152" s="295">
        <v>27</v>
      </c>
      <c r="F152" s="316">
        <f t="shared" si="11"/>
        <v>0.9642857142857143</v>
      </c>
      <c r="G152" s="295">
        <v>5.9</v>
      </c>
      <c r="H152" s="295">
        <v>5.4</v>
      </c>
      <c r="I152" s="315">
        <f t="shared" si="14"/>
        <v>86.02200000000002</v>
      </c>
      <c r="J152" s="316">
        <f t="shared" si="12"/>
        <v>0.47401309264034924</v>
      </c>
    </row>
    <row r="153" spans="1:11">
      <c r="A153" s="295">
        <v>10</v>
      </c>
      <c r="B153" s="295">
        <f t="shared" si="13"/>
        <v>-2</v>
      </c>
      <c r="C153" s="295">
        <v>1.5</v>
      </c>
      <c r="D153" s="295" t="s">
        <v>112</v>
      </c>
      <c r="E153" s="295">
        <v>28</v>
      </c>
      <c r="F153" s="316">
        <f t="shared" si="11"/>
        <v>1</v>
      </c>
      <c r="G153" s="295">
        <v>8.4</v>
      </c>
      <c r="H153" s="295">
        <v>6</v>
      </c>
      <c r="I153" s="315">
        <f t="shared" si="14"/>
        <v>151.20000000000002</v>
      </c>
      <c r="J153" s="316">
        <f t="shared" si="12"/>
        <v>1.0857077205882353</v>
      </c>
    </row>
    <row r="154" spans="1:11">
      <c r="A154" s="295">
        <v>10</v>
      </c>
      <c r="B154" s="295">
        <f t="shared" si="13"/>
        <v>-2</v>
      </c>
      <c r="C154" s="295">
        <v>2.1</v>
      </c>
      <c r="D154" s="295" t="s">
        <v>114</v>
      </c>
      <c r="E154" s="295">
        <v>28</v>
      </c>
      <c r="F154" s="316">
        <f t="shared" si="11"/>
        <v>1.0769230769230769</v>
      </c>
      <c r="G154" s="295">
        <v>7.2</v>
      </c>
      <c r="H154" s="295">
        <v>7</v>
      </c>
      <c r="I154" s="315">
        <f t="shared" si="14"/>
        <v>176.4</v>
      </c>
      <c r="J154" s="316">
        <f t="shared" si="12"/>
        <v>0.93800100500107664</v>
      </c>
      <c r="K154" s="316" t="s">
        <v>132</v>
      </c>
    </row>
    <row r="155" spans="1:11">
      <c r="A155" s="295">
        <v>10</v>
      </c>
      <c r="B155" s="295">
        <f t="shared" si="13"/>
        <v>-2</v>
      </c>
      <c r="C155" s="295">
        <v>2.2000000000000002</v>
      </c>
      <c r="D155" s="295" t="s">
        <v>115</v>
      </c>
      <c r="E155" s="295">
        <v>29</v>
      </c>
      <c r="F155" s="316">
        <f t="shared" si="11"/>
        <v>1.0357142857142858</v>
      </c>
      <c r="G155" s="295">
        <v>5.7</v>
      </c>
      <c r="H155" s="295">
        <v>5.2</v>
      </c>
      <c r="I155" s="315">
        <f t="shared" si="14"/>
        <v>77.064000000000007</v>
      </c>
      <c r="J155" s="316">
        <f t="shared" si="12"/>
        <v>0.87847249928754645</v>
      </c>
    </row>
    <row r="156" spans="1:11">
      <c r="A156" s="295">
        <v>10</v>
      </c>
      <c r="B156" s="295">
        <f t="shared" si="13"/>
        <v>-2</v>
      </c>
      <c r="C156" s="295">
        <v>2.2999999999999998</v>
      </c>
      <c r="D156" s="295" t="s">
        <v>112</v>
      </c>
      <c r="E156" s="295">
        <v>26</v>
      </c>
      <c r="F156" s="316">
        <f t="shared" si="11"/>
        <v>1.04</v>
      </c>
      <c r="G156" s="295">
        <v>7.3</v>
      </c>
      <c r="H156" s="295">
        <v>6.2</v>
      </c>
      <c r="I156" s="315">
        <f t="shared" si="14"/>
        <v>140.30600000000001</v>
      </c>
      <c r="J156" s="316">
        <f t="shared" si="12"/>
        <v>0.84474360749700472</v>
      </c>
    </row>
    <row r="157" spans="1:11">
      <c r="A157" s="295">
        <v>10</v>
      </c>
      <c r="B157" s="295">
        <f t="shared" si="13"/>
        <v>-2</v>
      </c>
      <c r="C157" s="295">
        <v>2.4</v>
      </c>
      <c r="D157" s="295" t="s">
        <v>114</v>
      </c>
      <c r="E157" s="295">
        <v>26</v>
      </c>
      <c r="F157" s="316">
        <f t="shared" si="11"/>
        <v>1.04</v>
      </c>
      <c r="G157" s="295">
        <v>6.7</v>
      </c>
      <c r="H157" s="295">
        <v>5.6</v>
      </c>
      <c r="I157" s="315">
        <f t="shared" si="14"/>
        <v>105.05599999999998</v>
      </c>
      <c r="J157" s="316">
        <f t="shared" si="12"/>
        <v>0.97726511627906965</v>
      </c>
    </row>
    <row r="158" spans="1:11">
      <c r="A158" s="295">
        <v>10</v>
      </c>
      <c r="B158" s="295">
        <f t="shared" si="13"/>
        <v>-2</v>
      </c>
      <c r="C158" s="295">
        <v>2.5</v>
      </c>
      <c r="D158" s="295" t="s">
        <v>113</v>
      </c>
      <c r="E158" s="295">
        <v>29</v>
      </c>
      <c r="F158" s="316">
        <f t="shared" si="11"/>
        <v>1.0740740740740742</v>
      </c>
      <c r="G158" s="295">
        <v>8.3000000000000007</v>
      </c>
      <c r="H158" s="295">
        <v>5.5</v>
      </c>
      <c r="I158" s="315">
        <f t="shared" si="14"/>
        <v>125.53750000000001</v>
      </c>
      <c r="J158" s="316">
        <f t="shared" si="12"/>
        <v>0.73593638250225701</v>
      </c>
    </row>
    <row r="159" spans="1:11">
      <c r="A159" s="295">
        <v>10</v>
      </c>
      <c r="B159" s="295">
        <f t="shared" si="13"/>
        <v>-2</v>
      </c>
      <c r="C159" s="295">
        <v>3.1</v>
      </c>
      <c r="D159" s="295" t="s">
        <v>115</v>
      </c>
      <c r="E159" s="295">
        <v>25</v>
      </c>
      <c r="F159" s="316">
        <f t="shared" si="11"/>
        <v>1.0416666666666667</v>
      </c>
      <c r="G159" s="295">
        <v>6.9</v>
      </c>
      <c r="H159" s="295">
        <v>5.7</v>
      </c>
      <c r="I159" s="315">
        <f t="shared" si="14"/>
        <v>112.09050000000001</v>
      </c>
      <c r="J159" s="316">
        <f t="shared" si="12"/>
        <v>0.61698362460437606</v>
      </c>
    </row>
    <row r="160" spans="1:11">
      <c r="A160" s="295">
        <v>10</v>
      </c>
      <c r="B160" s="295">
        <f t="shared" si="13"/>
        <v>-2</v>
      </c>
      <c r="C160" s="295">
        <v>3.2</v>
      </c>
      <c r="D160" s="295" t="s">
        <v>113</v>
      </c>
      <c r="E160" s="295">
        <v>32</v>
      </c>
      <c r="F160" s="316">
        <f t="shared" si="11"/>
        <v>1.0666666666666667</v>
      </c>
      <c r="G160" s="295">
        <v>7</v>
      </c>
      <c r="H160" s="295">
        <v>6.6</v>
      </c>
      <c r="I160" s="315">
        <f t="shared" si="14"/>
        <v>152.45999999999998</v>
      </c>
      <c r="J160" s="316">
        <f t="shared" si="12"/>
        <v>0.79449285029390915</v>
      </c>
    </row>
    <row r="161" spans="1:11">
      <c r="A161" s="295">
        <v>10</v>
      </c>
      <c r="B161" s="295">
        <f t="shared" si="13"/>
        <v>-2</v>
      </c>
      <c r="C161" s="295">
        <v>3.3</v>
      </c>
      <c r="D161" s="295" t="s">
        <v>114</v>
      </c>
      <c r="E161" s="295">
        <v>27</v>
      </c>
      <c r="F161" s="316">
        <f t="shared" si="11"/>
        <v>1.08</v>
      </c>
      <c r="G161" s="295">
        <v>8.3000000000000007</v>
      </c>
      <c r="H161" s="295">
        <v>7.4</v>
      </c>
      <c r="I161" s="315">
        <f t="shared" si="14"/>
        <v>227.25400000000005</v>
      </c>
      <c r="J161" s="316">
        <f t="shared" si="12"/>
        <v>1.1042468415937805</v>
      </c>
      <c r="K161" s="316" t="s">
        <v>132</v>
      </c>
    </row>
    <row r="162" spans="1:11">
      <c r="A162" s="295">
        <v>10</v>
      </c>
      <c r="B162" s="295">
        <f t="shared" si="13"/>
        <v>-2</v>
      </c>
      <c r="C162" s="295">
        <v>3.4</v>
      </c>
      <c r="D162" s="295" t="s">
        <v>114</v>
      </c>
      <c r="E162" s="295">
        <v>26</v>
      </c>
      <c r="F162" s="316">
        <f t="shared" si="11"/>
        <v>1.04</v>
      </c>
      <c r="G162" s="295">
        <v>8.6</v>
      </c>
      <c r="H162" s="295">
        <v>6.2</v>
      </c>
      <c r="I162" s="315">
        <f t="shared" si="14"/>
        <v>165.292</v>
      </c>
      <c r="J162" s="316">
        <f t="shared" si="12"/>
        <v>0.70494208362476318</v>
      </c>
    </row>
    <row r="163" spans="1:11">
      <c r="A163" s="295">
        <v>10</v>
      </c>
      <c r="B163" s="295">
        <f t="shared" si="13"/>
        <v>-2</v>
      </c>
      <c r="C163" s="295">
        <v>3.5</v>
      </c>
      <c r="D163" s="295" t="s">
        <v>115</v>
      </c>
      <c r="E163" s="295">
        <v>29</v>
      </c>
      <c r="F163" s="316">
        <f t="shared" si="11"/>
        <v>1.0740740740740742</v>
      </c>
      <c r="G163" s="295">
        <v>7.8</v>
      </c>
      <c r="H163" s="295">
        <v>5.6</v>
      </c>
      <c r="I163" s="315">
        <f t="shared" si="14"/>
        <v>122.30399999999999</v>
      </c>
      <c r="J163" s="316">
        <f t="shared" si="12"/>
        <v>0.5255188415760752</v>
      </c>
    </row>
    <row r="164" spans="1:11">
      <c r="A164" s="295">
        <v>10</v>
      </c>
      <c r="B164" s="295">
        <f t="shared" si="13"/>
        <v>-2</v>
      </c>
      <c r="C164" s="295">
        <v>4.0999999999999996</v>
      </c>
      <c r="D164" s="295" t="s">
        <v>111</v>
      </c>
      <c r="E164" s="295">
        <v>30</v>
      </c>
      <c r="F164" s="316">
        <f t="shared" si="11"/>
        <v>1.0714285714285714</v>
      </c>
      <c r="G164" s="295">
        <v>4.0999999999999996</v>
      </c>
      <c r="H164" s="295">
        <v>3.8</v>
      </c>
      <c r="I164" s="315">
        <f t="shared" si="14"/>
        <v>29.601999999999997</v>
      </c>
      <c r="J164" s="316">
        <f t="shared" si="12"/>
        <v>1.0984044526901668</v>
      </c>
    </row>
    <row r="165" spans="1:11">
      <c r="A165" s="295">
        <v>10</v>
      </c>
      <c r="B165" s="295">
        <f t="shared" si="13"/>
        <v>-2</v>
      </c>
      <c r="C165" s="295">
        <v>4.2</v>
      </c>
      <c r="D165" s="295" t="s">
        <v>112</v>
      </c>
      <c r="E165" s="295">
        <v>31</v>
      </c>
      <c r="F165" s="316">
        <f t="shared" si="11"/>
        <v>1.0689655172413792</v>
      </c>
      <c r="G165" s="295">
        <v>7.7</v>
      </c>
      <c r="H165" s="295">
        <v>7.4</v>
      </c>
      <c r="I165" s="315">
        <f t="shared" si="14"/>
        <v>210.82600000000002</v>
      </c>
      <c r="J165" s="316">
        <f t="shared" si="12"/>
        <v>0.63341926102187862</v>
      </c>
      <c r="K165" s="316" t="s">
        <v>133</v>
      </c>
    </row>
    <row r="166" spans="1:11">
      <c r="A166" s="295">
        <v>10</v>
      </c>
      <c r="B166" s="295">
        <f t="shared" si="13"/>
        <v>-2</v>
      </c>
      <c r="C166" s="295">
        <v>4.3</v>
      </c>
      <c r="D166" s="295" t="s">
        <v>113</v>
      </c>
      <c r="E166" s="295">
        <v>26</v>
      </c>
      <c r="F166" s="316">
        <f t="shared" si="11"/>
        <v>1</v>
      </c>
      <c r="G166" s="295">
        <v>6.7</v>
      </c>
      <c r="H166" s="295">
        <v>5</v>
      </c>
      <c r="I166" s="315">
        <f t="shared" si="14"/>
        <v>83.75</v>
      </c>
      <c r="J166" s="316">
        <f t="shared" si="12"/>
        <v>0.60137580422794112</v>
      </c>
    </row>
    <row r="167" spans="1:11">
      <c r="A167" s="295">
        <v>10</v>
      </c>
      <c r="B167" s="295">
        <f t="shared" si="13"/>
        <v>-2</v>
      </c>
      <c r="C167" s="295">
        <v>4.4000000000000004</v>
      </c>
      <c r="D167" s="295" t="s">
        <v>112</v>
      </c>
      <c r="E167" s="295">
        <v>32</v>
      </c>
      <c r="F167" s="316">
        <f t="shared" si="11"/>
        <v>1.032258064516129</v>
      </c>
      <c r="G167" s="295">
        <v>8.3000000000000007</v>
      </c>
      <c r="H167" s="295">
        <v>5.6</v>
      </c>
      <c r="I167" s="315">
        <f t="shared" si="14"/>
        <v>130.14400000000001</v>
      </c>
      <c r="J167" s="316">
        <f t="shared" si="12"/>
        <v>0.6922092945947742</v>
      </c>
    </row>
    <row r="168" spans="1:11">
      <c r="A168" s="295">
        <v>10</v>
      </c>
      <c r="B168" s="295">
        <f t="shared" si="13"/>
        <v>-2</v>
      </c>
      <c r="C168" s="295">
        <v>4.5</v>
      </c>
      <c r="D168" s="295" t="s">
        <v>112</v>
      </c>
      <c r="E168" s="295">
        <v>28</v>
      </c>
      <c r="F168" s="316">
        <f t="shared" si="11"/>
        <v>1.037037037037037</v>
      </c>
      <c r="G168" s="295">
        <v>6.3</v>
      </c>
      <c r="H168" s="295">
        <v>5.6</v>
      </c>
      <c r="I168" s="315">
        <f t="shared" si="14"/>
        <v>98.783999999999978</v>
      </c>
      <c r="J168" s="316">
        <f t="shared" si="12"/>
        <v>0.44135860386564069</v>
      </c>
    </row>
    <row r="169" spans="1:11">
      <c r="A169" s="295">
        <v>10</v>
      </c>
      <c r="B169" s="295">
        <f t="shared" si="13"/>
        <v>-2</v>
      </c>
      <c r="C169" s="295">
        <v>5.0999999999999996</v>
      </c>
      <c r="D169" s="295" t="s">
        <v>113</v>
      </c>
      <c r="E169" s="295">
        <v>25</v>
      </c>
      <c r="F169" s="316">
        <f t="shared" si="11"/>
        <v>1.0416666666666667</v>
      </c>
      <c r="G169" s="295">
        <v>6.6</v>
      </c>
      <c r="H169" s="295">
        <v>6.5</v>
      </c>
      <c r="I169" s="315">
        <f t="shared" si="14"/>
        <v>139.42499999999998</v>
      </c>
      <c r="J169" s="316">
        <f t="shared" si="12"/>
        <v>0.83943935024353811</v>
      </c>
    </row>
    <row r="170" spans="1:11">
      <c r="A170" s="295">
        <v>10</v>
      </c>
      <c r="B170" s="295">
        <f t="shared" si="13"/>
        <v>-2</v>
      </c>
      <c r="C170" s="295">
        <v>5.2</v>
      </c>
      <c r="D170" s="295" t="s">
        <v>114</v>
      </c>
      <c r="E170" s="295">
        <v>27</v>
      </c>
      <c r="F170" s="316">
        <f t="shared" si="11"/>
        <v>1</v>
      </c>
      <c r="G170" s="295">
        <v>7</v>
      </c>
      <c r="H170" s="295">
        <v>6.8</v>
      </c>
      <c r="I170" s="315">
        <f t="shared" si="14"/>
        <v>161.83999999999997</v>
      </c>
      <c r="J170" s="316">
        <f t="shared" si="12"/>
        <v>0.97771978154753281</v>
      </c>
    </row>
    <row r="171" spans="1:11">
      <c r="A171" s="295">
        <v>10</v>
      </c>
      <c r="B171" s="295">
        <f t="shared" si="13"/>
        <v>-2</v>
      </c>
      <c r="C171" s="295">
        <v>5.3</v>
      </c>
      <c r="D171" s="295" t="s">
        <v>112</v>
      </c>
      <c r="E171" s="295">
        <v>30</v>
      </c>
      <c r="F171" s="316">
        <f t="shared" si="11"/>
        <v>1.0714285714285714</v>
      </c>
      <c r="G171" s="295">
        <v>6.9</v>
      </c>
      <c r="H171" s="295">
        <v>5.8</v>
      </c>
      <c r="I171" s="315">
        <f t="shared" si="14"/>
        <v>116.05800000000001</v>
      </c>
      <c r="J171" s="316">
        <f t="shared" si="12"/>
        <v>0.48912658675972293</v>
      </c>
    </row>
    <row r="172" spans="1:11">
      <c r="A172" s="295">
        <v>10</v>
      </c>
      <c r="B172" s="295">
        <f t="shared" si="13"/>
        <v>-2</v>
      </c>
      <c r="C172" s="295">
        <v>5.4</v>
      </c>
      <c r="D172" s="295" t="s">
        <v>113</v>
      </c>
      <c r="E172" s="295">
        <v>26</v>
      </c>
      <c r="F172" s="316">
        <f t="shared" si="11"/>
        <v>1</v>
      </c>
      <c r="G172" s="295">
        <v>6.9</v>
      </c>
      <c r="H172" s="295">
        <v>5.6</v>
      </c>
      <c r="I172" s="315">
        <f t="shared" si="14"/>
        <v>108.19199999999999</v>
      </c>
      <c r="J172" s="316">
        <f t="shared" si="12"/>
        <v>0.60493150684931507</v>
      </c>
    </row>
    <row r="173" spans="1:11">
      <c r="A173" s="295">
        <v>10</v>
      </c>
      <c r="B173" s="295">
        <f t="shared" si="13"/>
        <v>-2</v>
      </c>
      <c r="C173" s="295">
        <v>5.5</v>
      </c>
      <c r="D173" s="295" t="s">
        <v>114</v>
      </c>
      <c r="E173" s="295">
        <v>24</v>
      </c>
      <c r="F173" s="316">
        <f t="shared" si="11"/>
        <v>1.0909090909090908</v>
      </c>
      <c r="G173" s="295">
        <v>6.3</v>
      </c>
      <c r="H173" s="295">
        <v>4.7</v>
      </c>
      <c r="I173" s="315">
        <f t="shared" si="14"/>
        <v>69.583500000000015</v>
      </c>
      <c r="J173" s="316">
        <f t="shared" si="12"/>
        <v>0.69167113973877259</v>
      </c>
    </row>
    <row r="174" spans="1:11">
      <c r="A174" s="295">
        <v>10</v>
      </c>
      <c r="B174" s="295">
        <f t="shared" si="13"/>
        <v>-2</v>
      </c>
      <c r="C174" s="295">
        <v>6.1</v>
      </c>
      <c r="D174" s="295" t="s">
        <v>115</v>
      </c>
      <c r="E174" s="295">
        <v>25</v>
      </c>
      <c r="F174" s="316">
        <f t="shared" si="11"/>
        <v>1</v>
      </c>
      <c r="G174" s="295">
        <v>6.4</v>
      </c>
      <c r="H174" s="295">
        <v>5.5</v>
      </c>
      <c r="I174" s="315">
        <f t="shared" si="14"/>
        <v>96.800000000000011</v>
      </c>
      <c r="J174" s="316">
        <f t="shared" si="12"/>
        <v>0.71948862791734802</v>
      </c>
    </row>
    <row r="175" spans="1:11">
      <c r="A175" s="295">
        <v>10</v>
      </c>
      <c r="B175" s="295">
        <f t="shared" si="13"/>
        <v>-2</v>
      </c>
      <c r="C175" s="295">
        <v>6.2</v>
      </c>
      <c r="D175" s="295" t="s">
        <v>115</v>
      </c>
      <c r="E175" s="295">
        <v>28</v>
      </c>
      <c r="F175" s="316">
        <f t="shared" si="11"/>
        <v>1.037037037037037</v>
      </c>
      <c r="G175" s="295">
        <v>5.6</v>
      </c>
      <c r="H175" s="295">
        <v>5.4</v>
      </c>
      <c r="I175" s="315">
        <f t="shared" si="14"/>
        <v>81.64800000000001</v>
      </c>
      <c r="J175" s="316">
        <f t="shared" si="12"/>
        <v>0.65499965905490032</v>
      </c>
    </row>
    <row r="176" spans="1:11">
      <c r="A176" s="295">
        <v>10</v>
      </c>
      <c r="B176" s="295">
        <f t="shared" si="13"/>
        <v>-2</v>
      </c>
      <c r="C176" s="295">
        <v>6.3</v>
      </c>
      <c r="D176" s="295" t="s">
        <v>114</v>
      </c>
      <c r="E176" s="295">
        <v>25</v>
      </c>
      <c r="F176" s="316">
        <f t="shared" si="11"/>
        <v>1.0416666666666667</v>
      </c>
      <c r="G176" s="295">
        <v>5.9</v>
      </c>
      <c r="H176" s="295">
        <v>5.8</v>
      </c>
      <c r="I176" s="315">
        <f t="shared" si="14"/>
        <v>99.238000000000014</v>
      </c>
      <c r="J176" s="316">
        <f t="shared" si="12"/>
        <v>0.65990829989061162</v>
      </c>
    </row>
    <row r="177" spans="1:10">
      <c r="A177" s="295">
        <v>10</v>
      </c>
      <c r="B177" s="295">
        <f t="shared" si="13"/>
        <v>-2</v>
      </c>
      <c r="C177" s="295">
        <v>6.4</v>
      </c>
      <c r="D177" s="295" t="s">
        <v>112</v>
      </c>
      <c r="E177" s="295">
        <v>30</v>
      </c>
      <c r="F177" s="316">
        <f t="shared" si="11"/>
        <v>1.0344827586206897</v>
      </c>
      <c r="G177" s="295">
        <v>6.3</v>
      </c>
      <c r="H177" s="295">
        <v>5.8</v>
      </c>
      <c r="I177" s="315">
        <f t="shared" si="14"/>
        <v>105.96599999999999</v>
      </c>
      <c r="J177" s="316">
        <f t="shared" si="12"/>
        <v>1.8244834710743796</v>
      </c>
    </row>
    <row r="178" spans="1:10">
      <c r="A178" s="295">
        <v>10</v>
      </c>
      <c r="B178" s="295">
        <f t="shared" si="13"/>
        <v>-2</v>
      </c>
      <c r="C178" s="295">
        <v>6.5</v>
      </c>
      <c r="D178" s="295" t="s">
        <v>113</v>
      </c>
      <c r="E178" s="295">
        <v>24</v>
      </c>
      <c r="F178" s="316">
        <f t="shared" si="11"/>
        <v>1</v>
      </c>
      <c r="G178" s="295">
        <v>6.2</v>
      </c>
      <c r="H178" s="295">
        <v>5.6</v>
      </c>
      <c r="I178" s="315">
        <f t="shared" si="14"/>
        <v>97.215999999999994</v>
      </c>
      <c r="J178" s="316">
        <f t="shared" si="12"/>
        <v>1.9203160493827158</v>
      </c>
    </row>
    <row r="179" spans="1:10">
      <c r="A179" s="295">
        <v>10</v>
      </c>
      <c r="B179" s="295">
        <f t="shared" si="13"/>
        <v>-2</v>
      </c>
      <c r="C179" s="295">
        <v>7.1</v>
      </c>
      <c r="D179" s="295" t="s">
        <v>114</v>
      </c>
      <c r="E179" s="295">
        <v>28</v>
      </c>
      <c r="F179" s="316">
        <f t="shared" si="11"/>
        <v>1.037037037037037</v>
      </c>
      <c r="G179" s="295">
        <v>6.3</v>
      </c>
      <c r="H179" s="295">
        <v>5.6</v>
      </c>
      <c r="I179" s="315">
        <f t="shared" si="14"/>
        <v>98.783999999999978</v>
      </c>
      <c r="J179" s="316">
        <f t="shared" si="12"/>
        <v>0.73173333333333312</v>
      </c>
    </row>
    <row r="180" spans="1:10" s="316" customFormat="1">
      <c r="A180" s="295">
        <v>10</v>
      </c>
      <c r="B180" s="295">
        <f t="shared" si="13"/>
        <v>-2</v>
      </c>
      <c r="C180" s="295">
        <v>7.2</v>
      </c>
      <c r="D180" s="295" t="s">
        <v>111</v>
      </c>
      <c r="E180" s="295">
        <v>29</v>
      </c>
      <c r="F180" s="316">
        <f t="shared" si="11"/>
        <v>1</v>
      </c>
      <c r="G180" s="295">
        <v>4.4000000000000004</v>
      </c>
      <c r="H180" s="295">
        <v>3.6</v>
      </c>
      <c r="I180" s="315">
        <f t="shared" si="14"/>
        <v>28.512000000000004</v>
      </c>
      <c r="J180" s="316">
        <f t="shared" si="12"/>
        <v>1.8834720570749111</v>
      </c>
    </row>
    <row r="181" spans="1:10" s="316" customFormat="1">
      <c r="A181" s="295">
        <v>10</v>
      </c>
      <c r="B181" s="295">
        <f t="shared" si="13"/>
        <v>-2</v>
      </c>
      <c r="C181" s="295">
        <v>7.3</v>
      </c>
      <c r="D181" s="295" t="s">
        <v>113</v>
      </c>
      <c r="E181" s="295">
        <v>28</v>
      </c>
      <c r="F181" s="316">
        <f t="shared" si="11"/>
        <v>1.037037037037037</v>
      </c>
      <c r="G181" s="295">
        <v>6.6</v>
      </c>
      <c r="H181" s="295">
        <v>6.2</v>
      </c>
      <c r="I181" s="315">
        <f t="shared" si="14"/>
        <v>126.852</v>
      </c>
      <c r="J181" s="316">
        <f t="shared" si="12"/>
        <v>0.88779709414630059</v>
      </c>
    </row>
    <row r="182" spans="1:10" s="316" customFormat="1">
      <c r="A182" s="295">
        <v>10</v>
      </c>
      <c r="B182" s="295">
        <f t="shared" si="13"/>
        <v>-2</v>
      </c>
      <c r="C182" s="295">
        <v>7.4</v>
      </c>
      <c r="D182" s="295" t="s">
        <v>115</v>
      </c>
      <c r="E182" s="295">
        <v>28</v>
      </c>
      <c r="F182" s="316">
        <f t="shared" si="11"/>
        <v>1.037037037037037</v>
      </c>
      <c r="G182" s="295">
        <v>7.2</v>
      </c>
      <c r="H182" s="295">
        <v>5.0999999999999996</v>
      </c>
      <c r="I182" s="315">
        <f t="shared" si="14"/>
        <v>93.635999999999996</v>
      </c>
      <c r="J182" s="316">
        <f t="shared" si="12"/>
        <v>0.79115196782533748</v>
      </c>
    </row>
    <row r="183" spans="1:10" s="316" customFormat="1">
      <c r="A183" s="295">
        <v>10</v>
      </c>
      <c r="B183" s="295">
        <f t="shared" si="13"/>
        <v>-2</v>
      </c>
      <c r="C183" s="295">
        <v>7.5</v>
      </c>
      <c r="D183" s="295" t="s">
        <v>111</v>
      </c>
      <c r="E183" s="295">
        <v>30</v>
      </c>
      <c r="F183" s="316">
        <f t="shared" si="11"/>
        <v>1.0344827586206897</v>
      </c>
      <c r="G183" s="295">
        <v>5.0999999999999996</v>
      </c>
      <c r="H183" s="295">
        <v>3.7</v>
      </c>
      <c r="I183" s="315">
        <f t="shared" si="14"/>
        <v>34.909500000000001</v>
      </c>
      <c r="J183" s="316">
        <f t="shared" si="12"/>
        <v>0.56440373795511867</v>
      </c>
    </row>
    <row r="184" spans="1:10" s="316" customFormat="1">
      <c r="A184" s="295">
        <v>11</v>
      </c>
      <c r="B184" s="295">
        <f t="shared" si="13"/>
        <v>-1</v>
      </c>
      <c r="C184" s="295">
        <v>1.1000000000000001</v>
      </c>
      <c r="D184" s="295" t="s">
        <v>112</v>
      </c>
      <c r="E184" s="295">
        <v>29</v>
      </c>
      <c r="F184" s="316">
        <f t="shared" si="11"/>
        <v>1.0357142857142858</v>
      </c>
      <c r="G184" s="295">
        <v>7.2</v>
      </c>
      <c r="H184" s="295">
        <v>6.8</v>
      </c>
      <c r="I184" s="315">
        <f t="shared" si="14"/>
        <v>166.464</v>
      </c>
      <c r="J184" s="316">
        <f t="shared" si="12"/>
        <v>0.73897293841892187</v>
      </c>
    </row>
    <row r="185" spans="1:10" s="316" customFormat="1">
      <c r="A185" s="295">
        <v>11</v>
      </c>
      <c r="B185" s="295">
        <f t="shared" si="13"/>
        <v>-1</v>
      </c>
      <c r="C185" s="295">
        <v>1.2</v>
      </c>
      <c r="D185" s="295" t="s">
        <v>113</v>
      </c>
      <c r="E185" s="295">
        <v>28</v>
      </c>
      <c r="F185" s="316">
        <f t="shared" si="11"/>
        <v>1.037037037037037</v>
      </c>
      <c r="G185" s="295">
        <v>7.4</v>
      </c>
      <c r="H185" s="295">
        <v>6.7</v>
      </c>
      <c r="I185" s="315">
        <f t="shared" si="14"/>
        <v>166.09300000000002</v>
      </c>
      <c r="J185" s="316">
        <f t="shared" si="12"/>
        <v>0.79393790197489034</v>
      </c>
    </row>
    <row r="186" spans="1:10" s="316" customFormat="1">
      <c r="A186" s="295">
        <v>11</v>
      </c>
      <c r="B186" s="295">
        <f t="shared" si="13"/>
        <v>-1</v>
      </c>
      <c r="C186" s="295">
        <v>1.3</v>
      </c>
      <c r="D186" s="295" t="s">
        <v>115</v>
      </c>
      <c r="E186" s="295">
        <v>26</v>
      </c>
      <c r="F186" s="316">
        <f t="shared" si="11"/>
        <v>1.0833333333333333</v>
      </c>
      <c r="G186" s="295">
        <v>6</v>
      </c>
      <c r="H186" s="295">
        <v>5.9</v>
      </c>
      <c r="I186" s="315">
        <f t="shared" si="14"/>
        <v>104.43</v>
      </c>
      <c r="J186" s="316">
        <f t="shared" si="12"/>
        <v>1.0533163882837087</v>
      </c>
    </row>
    <row r="187" spans="1:10" s="316" customFormat="1">
      <c r="A187" s="295">
        <v>11</v>
      </c>
      <c r="B187" s="295">
        <f t="shared" si="13"/>
        <v>-1</v>
      </c>
      <c r="C187" s="295">
        <v>1.4</v>
      </c>
      <c r="D187" s="295" t="s">
        <v>115</v>
      </c>
      <c r="E187" s="295">
        <v>29</v>
      </c>
      <c r="F187" s="316">
        <f t="shared" si="11"/>
        <v>1.0357142857142858</v>
      </c>
      <c r="G187" s="295">
        <v>6.3</v>
      </c>
      <c r="H187" s="295">
        <v>5.0999999999999996</v>
      </c>
      <c r="I187" s="315">
        <f t="shared" si="14"/>
        <v>81.931499999999986</v>
      </c>
      <c r="J187" s="316">
        <f t="shared" si="12"/>
        <v>0.45147292203927786</v>
      </c>
    </row>
    <row r="188" spans="1:10" s="316" customFormat="1">
      <c r="A188" s="295">
        <v>11</v>
      </c>
      <c r="B188" s="295">
        <f t="shared" si="13"/>
        <v>-1</v>
      </c>
      <c r="C188" s="295">
        <v>1.5</v>
      </c>
      <c r="D188" s="295" t="s">
        <v>112</v>
      </c>
      <c r="E188" s="295">
        <v>28</v>
      </c>
      <c r="F188" s="316">
        <f t="shared" si="11"/>
        <v>1</v>
      </c>
      <c r="G188" s="295">
        <v>7.3</v>
      </c>
      <c r="H188" s="295">
        <v>6.3</v>
      </c>
      <c r="I188" s="315">
        <f t="shared" si="14"/>
        <v>144.86849999999998</v>
      </c>
      <c r="J188" s="316">
        <f t="shared" si="12"/>
        <v>1.0402437097886028</v>
      </c>
    </row>
    <row r="189" spans="1:10" s="316" customFormat="1">
      <c r="A189" s="295">
        <v>11</v>
      </c>
      <c r="B189" s="295">
        <f t="shared" si="13"/>
        <v>-1</v>
      </c>
      <c r="C189" s="295">
        <v>2.1</v>
      </c>
      <c r="D189" s="295" t="s">
        <v>114</v>
      </c>
      <c r="E189" s="295">
        <v>28</v>
      </c>
      <c r="F189" s="316">
        <f t="shared" si="11"/>
        <v>1.0769230769230769</v>
      </c>
      <c r="G189" s="295">
        <v>7.3</v>
      </c>
      <c r="H189" s="295">
        <v>5.5</v>
      </c>
      <c r="I189" s="315">
        <f t="shared" si="14"/>
        <v>110.41249999999999</v>
      </c>
      <c r="J189" s="316">
        <f t="shared" si="12"/>
        <v>0.587114716353069</v>
      </c>
    </row>
    <row r="190" spans="1:10" s="316" customFormat="1">
      <c r="A190" s="295">
        <v>11</v>
      </c>
      <c r="B190" s="295">
        <f t="shared" si="13"/>
        <v>-1</v>
      </c>
      <c r="C190" s="295">
        <v>2.2000000000000002</v>
      </c>
      <c r="D190" s="295" t="s">
        <v>115</v>
      </c>
      <c r="E190" s="295">
        <v>29</v>
      </c>
      <c r="F190" s="316">
        <f t="shared" si="11"/>
        <v>1.0357142857142858</v>
      </c>
      <c r="G190" s="295">
        <v>4.9000000000000004</v>
      </c>
      <c r="H190" s="295">
        <v>4.5999999999999996</v>
      </c>
      <c r="I190" s="315">
        <f t="shared" si="14"/>
        <v>51.841999999999999</v>
      </c>
      <c r="J190" s="316">
        <f t="shared" si="12"/>
        <v>0.59096038757480762</v>
      </c>
    </row>
    <row r="191" spans="1:10" s="316" customFormat="1">
      <c r="A191" s="295">
        <v>11</v>
      </c>
      <c r="B191" s="295">
        <f t="shared" si="13"/>
        <v>-1</v>
      </c>
      <c r="C191" s="295">
        <v>2.2999999999999998</v>
      </c>
      <c r="D191" s="295" t="s">
        <v>112</v>
      </c>
      <c r="E191" s="295">
        <v>26</v>
      </c>
      <c r="F191" s="316">
        <f t="shared" si="11"/>
        <v>1.04</v>
      </c>
      <c r="G191" s="295">
        <v>6.8</v>
      </c>
      <c r="H191" s="295">
        <v>6.1</v>
      </c>
      <c r="I191" s="315">
        <f t="shared" si="14"/>
        <v>126.51399999999998</v>
      </c>
      <c r="J191" s="316">
        <f t="shared" si="12"/>
        <v>0.7617057913337707</v>
      </c>
    </row>
    <row r="192" spans="1:10" s="316" customFormat="1">
      <c r="A192" s="295">
        <v>11</v>
      </c>
      <c r="B192" s="295">
        <f t="shared" si="13"/>
        <v>-1</v>
      </c>
      <c r="C192" s="295">
        <v>2.4</v>
      </c>
      <c r="D192" s="295" t="s">
        <v>114</v>
      </c>
      <c r="E192" s="295">
        <v>26</v>
      </c>
      <c r="F192" s="316">
        <f t="shared" si="11"/>
        <v>1.04</v>
      </c>
      <c r="G192" s="295">
        <v>7.3</v>
      </c>
      <c r="H192" s="295">
        <v>4.8</v>
      </c>
      <c r="I192" s="315">
        <f t="shared" si="14"/>
        <v>84.095999999999989</v>
      </c>
      <c r="J192" s="316">
        <f t="shared" si="12"/>
        <v>0.78228837209302315</v>
      </c>
    </row>
    <row r="193" spans="1:10" s="316" customFormat="1">
      <c r="A193" s="295">
        <v>11</v>
      </c>
      <c r="B193" s="295">
        <f t="shared" si="13"/>
        <v>-1</v>
      </c>
      <c r="C193" s="295">
        <v>2.5</v>
      </c>
      <c r="D193" s="295" t="s">
        <v>113</v>
      </c>
      <c r="E193" s="295">
        <v>29</v>
      </c>
      <c r="F193" s="316">
        <f t="shared" si="11"/>
        <v>1.0740740740740742</v>
      </c>
      <c r="G193" s="295">
        <v>6.8</v>
      </c>
      <c r="H193" s="295">
        <v>6.5</v>
      </c>
      <c r="I193" s="315">
        <f t="shared" si="14"/>
        <v>143.65</v>
      </c>
      <c r="J193" s="316">
        <f t="shared" si="12"/>
        <v>0.84211698772437893</v>
      </c>
    </row>
    <row r="194" spans="1:10" s="316" customFormat="1">
      <c r="A194" s="295">
        <v>11</v>
      </c>
      <c r="B194" s="295">
        <f t="shared" si="13"/>
        <v>-1</v>
      </c>
      <c r="C194" s="295">
        <v>3.1</v>
      </c>
      <c r="D194" s="295" t="s">
        <v>115</v>
      </c>
      <c r="E194" s="295">
        <v>26</v>
      </c>
      <c r="F194" s="316">
        <f t="shared" si="11"/>
        <v>1.0833333333333333</v>
      </c>
      <c r="G194" s="295">
        <v>8.8000000000000007</v>
      </c>
      <c r="H194" s="295">
        <v>7.6</v>
      </c>
      <c r="I194" s="315">
        <f t="shared" si="14"/>
        <v>254.14400000000001</v>
      </c>
      <c r="J194" s="316">
        <f t="shared" si="12"/>
        <v>1.398893628732627</v>
      </c>
    </row>
    <row r="195" spans="1:10" s="316" customFormat="1">
      <c r="A195" s="295">
        <v>11</v>
      </c>
      <c r="B195" s="295">
        <f t="shared" si="13"/>
        <v>-1</v>
      </c>
      <c r="C195" s="295">
        <v>3.2</v>
      </c>
      <c r="D195" s="295" t="s">
        <v>113</v>
      </c>
      <c r="E195" s="295">
        <v>33</v>
      </c>
      <c r="F195" s="316">
        <f t="shared" si="11"/>
        <v>1.1000000000000001</v>
      </c>
      <c r="G195" s="295">
        <v>6.6</v>
      </c>
      <c r="H195" s="295">
        <v>6.3</v>
      </c>
      <c r="I195" s="315">
        <f t="shared" si="14"/>
        <v>130.97699999999998</v>
      </c>
      <c r="J195" s="316">
        <f t="shared" si="12"/>
        <v>0.68254158502522189</v>
      </c>
    </row>
    <row r="196" spans="1:10" s="316" customFormat="1">
      <c r="A196" s="295">
        <v>11</v>
      </c>
      <c r="B196" s="295">
        <f t="shared" si="13"/>
        <v>-1</v>
      </c>
      <c r="C196" s="295">
        <v>3.3</v>
      </c>
      <c r="D196" s="295" t="s">
        <v>114</v>
      </c>
      <c r="E196" s="295">
        <v>27</v>
      </c>
      <c r="F196" s="316">
        <f t="shared" si="11"/>
        <v>1.08</v>
      </c>
      <c r="G196" s="295">
        <v>7.1</v>
      </c>
      <c r="H196" s="295">
        <v>6.5</v>
      </c>
      <c r="I196" s="315">
        <f t="shared" si="14"/>
        <v>149.98749999999998</v>
      </c>
      <c r="J196" s="316">
        <f t="shared" si="12"/>
        <v>0.72880223517978604</v>
      </c>
    </row>
    <row r="197" spans="1:10" s="316" customFormat="1">
      <c r="A197" s="295">
        <v>11</v>
      </c>
      <c r="B197" s="295">
        <f t="shared" si="13"/>
        <v>-1</v>
      </c>
      <c r="C197" s="295">
        <v>3.4</v>
      </c>
      <c r="D197" s="295" t="s">
        <v>114</v>
      </c>
      <c r="E197" s="295">
        <v>27</v>
      </c>
      <c r="F197" s="316">
        <f t="shared" si="11"/>
        <v>1.08</v>
      </c>
      <c r="G197" s="295">
        <v>8.6</v>
      </c>
      <c r="H197" s="295">
        <v>7</v>
      </c>
      <c r="I197" s="315">
        <f t="shared" si="14"/>
        <v>210.7</v>
      </c>
      <c r="J197" s="316">
        <f t="shared" si="12"/>
        <v>0.8985994302188709</v>
      </c>
    </row>
    <row r="198" spans="1:10" s="316" customFormat="1">
      <c r="A198" s="295">
        <v>11</v>
      </c>
      <c r="B198" s="295">
        <f t="shared" si="13"/>
        <v>-1</v>
      </c>
      <c r="C198" s="295">
        <v>3.5</v>
      </c>
      <c r="D198" s="295" t="s">
        <v>115</v>
      </c>
      <c r="E198" s="295">
        <v>29</v>
      </c>
      <c r="F198" s="316">
        <f t="shared" si="11"/>
        <v>1.0740740740740742</v>
      </c>
      <c r="G198" s="295">
        <v>6.9</v>
      </c>
      <c r="H198" s="295">
        <v>6.9</v>
      </c>
      <c r="I198" s="315">
        <f t="shared" si="14"/>
        <v>164.25450000000004</v>
      </c>
      <c r="J198" s="316">
        <f t="shared" si="12"/>
        <v>0.70577278391268861</v>
      </c>
    </row>
    <row r="199" spans="1:10" s="316" customFormat="1">
      <c r="A199" s="295">
        <v>11</v>
      </c>
      <c r="B199" s="295">
        <f t="shared" si="13"/>
        <v>-1</v>
      </c>
      <c r="C199" s="295">
        <v>4.0999999999999996</v>
      </c>
      <c r="D199" s="295" t="s">
        <v>111</v>
      </c>
      <c r="E199" s="295">
        <v>30</v>
      </c>
      <c r="F199" s="316">
        <f t="shared" si="11"/>
        <v>1.0714285714285714</v>
      </c>
      <c r="G199" s="295">
        <v>4.3</v>
      </c>
      <c r="H199" s="295">
        <v>3.8</v>
      </c>
      <c r="I199" s="315">
        <f t="shared" si="14"/>
        <v>31.045999999999999</v>
      </c>
      <c r="J199" s="316">
        <f t="shared" si="12"/>
        <v>1.1519851576994433</v>
      </c>
    </row>
    <row r="200" spans="1:10" s="316" customFormat="1">
      <c r="A200" s="295">
        <v>11</v>
      </c>
      <c r="B200" s="295">
        <f t="shared" si="13"/>
        <v>-1</v>
      </c>
      <c r="C200" s="295">
        <v>4.2</v>
      </c>
      <c r="D200" s="295" t="s">
        <v>112</v>
      </c>
      <c r="E200" s="295">
        <v>31</v>
      </c>
      <c r="F200" s="316">
        <f t="shared" si="11"/>
        <v>1.0689655172413792</v>
      </c>
      <c r="G200" s="295">
        <v>7.3</v>
      </c>
      <c r="H200" s="295">
        <v>5.5</v>
      </c>
      <c r="I200" s="315">
        <f t="shared" si="14"/>
        <v>110.41249999999999</v>
      </c>
      <c r="J200" s="316">
        <f t="shared" si="12"/>
        <v>0.331730451450856</v>
      </c>
    </row>
    <row r="201" spans="1:10" s="316" customFormat="1">
      <c r="A201" s="295">
        <v>11</v>
      </c>
      <c r="B201" s="295">
        <f t="shared" si="13"/>
        <v>-1</v>
      </c>
      <c r="C201" s="295">
        <v>4.3</v>
      </c>
      <c r="D201" s="295" t="s">
        <v>113</v>
      </c>
      <c r="E201" s="295">
        <v>32</v>
      </c>
      <c r="F201" s="316">
        <f t="shared" ref="F201:F264" si="15">IF(ISBLANK(E201),"",E201/SUMIFS(E:E,C:C,C201,B:B,"0"))</f>
        <v>1.2307692307692308</v>
      </c>
      <c r="G201" s="295">
        <v>8.6999999999999993</v>
      </c>
      <c r="H201" s="295">
        <v>4.8</v>
      </c>
      <c r="I201" s="315">
        <f t="shared" si="14"/>
        <v>100.22399999999999</v>
      </c>
      <c r="J201" s="316">
        <f t="shared" ref="J201:J264" si="16">IF(ISBLANK(I201),"",I201/SUMIFS(I:I,C:C,C201,B:B,"0"))</f>
        <v>0.71966911764705865</v>
      </c>
    </row>
    <row r="202" spans="1:10" s="316" customFormat="1">
      <c r="A202" s="295">
        <v>11</v>
      </c>
      <c r="B202" s="295">
        <f t="shared" ref="B202:B265" si="17">A202-12</f>
        <v>-1</v>
      </c>
      <c r="C202" s="295">
        <v>4.4000000000000004</v>
      </c>
      <c r="D202" s="295" t="s">
        <v>112</v>
      </c>
      <c r="E202" s="295">
        <v>28</v>
      </c>
      <c r="F202" s="316">
        <f t="shared" si="15"/>
        <v>0.90322580645161288</v>
      </c>
      <c r="G202" s="295">
        <v>5</v>
      </c>
      <c r="H202" s="295">
        <v>5</v>
      </c>
      <c r="I202" s="315">
        <f t="shared" si="14"/>
        <v>62.5</v>
      </c>
      <c r="J202" s="316">
        <f t="shared" si="16"/>
        <v>0.33242470580413536</v>
      </c>
    </row>
    <row r="203" spans="1:10" s="316" customFormat="1">
      <c r="A203" s="295">
        <v>11</v>
      </c>
      <c r="B203" s="295">
        <f t="shared" si="17"/>
        <v>-1</v>
      </c>
      <c r="C203" s="295">
        <v>4.5</v>
      </c>
      <c r="D203" s="295" t="s">
        <v>112</v>
      </c>
      <c r="E203" s="295">
        <v>28</v>
      </c>
      <c r="F203" s="316">
        <f t="shared" si="15"/>
        <v>1.037037037037037</v>
      </c>
      <c r="G203" s="295">
        <v>6.4</v>
      </c>
      <c r="H203" s="295">
        <v>6.1</v>
      </c>
      <c r="I203" s="315">
        <f t="shared" si="14"/>
        <v>119.07199999999999</v>
      </c>
      <c r="J203" s="316">
        <f t="shared" si="16"/>
        <v>0.53200368156269817</v>
      </c>
    </row>
    <row r="204" spans="1:10" s="316" customFormat="1">
      <c r="A204" s="295">
        <v>11</v>
      </c>
      <c r="B204" s="295">
        <f t="shared" si="17"/>
        <v>-1</v>
      </c>
      <c r="C204" s="295">
        <v>5.0999999999999996</v>
      </c>
      <c r="D204" s="295" t="s">
        <v>113</v>
      </c>
      <c r="E204" s="295">
        <v>26</v>
      </c>
      <c r="F204" s="316">
        <f t="shared" si="15"/>
        <v>1.0833333333333333</v>
      </c>
      <c r="G204" s="295">
        <v>5.8</v>
      </c>
      <c r="H204" s="295">
        <v>5.2</v>
      </c>
      <c r="I204" s="315">
        <f t="shared" si="14"/>
        <v>78.416000000000011</v>
      </c>
      <c r="J204" s="316">
        <f t="shared" si="16"/>
        <v>0.47212104062182031</v>
      </c>
    </row>
    <row r="205" spans="1:10" s="316" customFormat="1">
      <c r="A205" s="295">
        <v>11</v>
      </c>
      <c r="B205" s="295">
        <f t="shared" si="17"/>
        <v>-1</v>
      </c>
      <c r="C205" s="295">
        <v>5.2</v>
      </c>
      <c r="D205" s="295" t="s">
        <v>114</v>
      </c>
      <c r="E205" s="295">
        <v>28</v>
      </c>
      <c r="F205" s="316">
        <f t="shared" si="15"/>
        <v>1.037037037037037</v>
      </c>
      <c r="G205" s="295">
        <v>6.3</v>
      </c>
      <c r="H205" s="295">
        <v>5.5</v>
      </c>
      <c r="I205" s="315">
        <f t="shared" si="14"/>
        <v>95.287499999999994</v>
      </c>
      <c r="J205" s="316">
        <f t="shared" si="16"/>
        <v>0.57565789473684215</v>
      </c>
    </row>
    <row r="206" spans="1:10" s="316" customFormat="1">
      <c r="A206" s="295">
        <v>11</v>
      </c>
      <c r="B206" s="295">
        <f t="shared" si="17"/>
        <v>-1</v>
      </c>
      <c r="C206" s="295">
        <v>5.3</v>
      </c>
      <c r="D206" s="295" t="s">
        <v>112</v>
      </c>
      <c r="E206" s="295">
        <v>30</v>
      </c>
      <c r="F206" s="316">
        <f t="shared" si="15"/>
        <v>1.0714285714285714</v>
      </c>
      <c r="G206" s="295">
        <v>7</v>
      </c>
      <c r="H206" s="295">
        <v>5.9</v>
      </c>
      <c r="I206" s="315">
        <f t="shared" si="14"/>
        <v>121.83500000000001</v>
      </c>
      <c r="J206" s="316">
        <f t="shared" si="16"/>
        <v>0.51347376051518068</v>
      </c>
    </row>
    <row r="207" spans="1:10" s="316" customFormat="1">
      <c r="A207" s="295">
        <v>11</v>
      </c>
      <c r="B207" s="295">
        <f t="shared" si="17"/>
        <v>-1</v>
      </c>
      <c r="C207" s="295">
        <v>5.4</v>
      </c>
      <c r="D207" s="295" t="s">
        <v>113</v>
      </c>
      <c r="E207" s="295">
        <v>27</v>
      </c>
      <c r="F207" s="316">
        <f t="shared" si="15"/>
        <v>1.0384615384615385</v>
      </c>
      <c r="G207" s="295">
        <v>6.8</v>
      </c>
      <c r="H207" s="295">
        <v>5.7</v>
      </c>
      <c r="I207" s="315">
        <f t="shared" si="14"/>
        <v>110.46600000000001</v>
      </c>
      <c r="J207" s="316">
        <f t="shared" si="16"/>
        <v>0.61764607212748124</v>
      </c>
    </row>
    <row r="208" spans="1:10" s="316" customFormat="1">
      <c r="A208" s="295">
        <v>11</v>
      </c>
      <c r="B208" s="295">
        <f t="shared" si="17"/>
        <v>-1</v>
      </c>
      <c r="C208" s="295">
        <v>5.5</v>
      </c>
      <c r="D208" s="295" t="s">
        <v>114</v>
      </c>
      <c r="E208" s="295">
        <v>24</v>
      </c>
      <c r="F208" s="316">
        <f t="shared" si="15"/>
        <v>1.0909090909090908</v>
      </c>
      <c r="G208" s="295">
        <v>6</v>
      </c>
      <c r="H208" s="295">
        <v>4.8</v>
      </c>
      <c r="I208" s="315">
        <f t="shared" si="14"/>
        <v>69.12</v>
      </c>
      <c r="J208" s="316">
        <f t="shared" si="16"/>
        <v>0.68706387546967251</v>
      </c>
    </row>
    <row r="209" spans="1:11" s="316" customFormat="1">
      <c r="A209" s="295">
        <v>11</v>
      </c>
      <c r="B209" s="295">
        <f t="shared" si="17"/>
        <v>-1</v>
      </c>
      <c r="C209" s="295">
        <v>6.1</v>
      </c>
      <c r="D209" s="295" t="s">
        <v>115</v>
      </c>
      <c r="E209" s="295">
        <v>27</v>
      </c>
      <c r="F209" s="316">
        <f t="shared" si="15"/>
        <v>1.08</v>
      </c>
      <c r="G209" s="295">
        <v>6.3</v>
      </c>
      <c r="H209" s="295">
        <v>5.2</v>
      </c>
      <c r="I209" s="315">
        <f t="shared" si="14"/>
        <v>85.176000000000002</v>
      </c>
      <c r="J209" s="316">
        <f t="shared" si="16"/>
        <v>0.63309053069719035</v>
      </c>
    </row>
    <row r="210" spans="1:11" s="316" customFormat="1">
      <c r="A210" s="295">
        <v>11</v>
      </c>
      <c r="B210" s="295">
        <f t="shared" si="17"/>
        <v>-1</v>
      </c>
      <c r="C210" s="295">
        <v>6.2</v>
      </c>
      <c r="D210" s="295" t="s">
        <v>115</v>
      </c>
      <c r="E210" s="295">
        <v>29</v>
      </c>
      <c r="F210" s="316">
        <f t="shared" si="15"/>
        <v>1.0740740740740742</v>
      </c>
      <c r="G210" s="295">
        <v>6.4</v>
      </c>
      <c r="H210" s="295">
        <v>5.9</v>
      </c>
      <c r="I210" s="315">
        <f t="shared" si="14"/>
        <v>111.39200000000001</v>
      </c>
      <c r="J210" s="316">
        <f t="shared" si="16"/>
        <v>0.89361309550072821</v>
      </c>
    </row>
    <row r="211" spans="1:11" s="316" customFormat="1">
      <c r="A211" s="295">
        <v>11</v>
      </c>
      <c r="B211" s="295">
        <f t="shared" si="17"/>
        <v>-1</v>
      </c>
      <c r="C211" s="295">
        <v>6.3</v>
      </c>
      <c r="D211" s="295" t="s">
        <v>114</v>
      </c>
      <c r="E211" s="295">
        <v>25</v>
      </c>
      <c r="F211" s="316">
        <f t="shared" si="15"/>
        <v>1.0416666666666667</v>
      </c>
      <c r="G211" s="295">
        <v>6.4</v>
      </c>
      <c r="H211" s="295">
        <v>5.9</v>
      </c>
      <c r="I211" s="315">
        <f t="shared" si="14"/>
        <v>111.39200000000001</v>
      </c>
      <c r="J211" s="316">
        <f t="shared" si="16"/>
        <v>0.74072941153000871</v>
      </c>
    </row>
    <row r="212" spans="1:11">
      <c r="A212" s="295">
        <v>11</v>
      </c>
      <c r="B212" s="295">
        <f t="shared" si="17"/>
        <v>-1</v>
      </c>
      <c r="C212" s="295">
        <v>6.4</v>
      </c>
      <c r="D212" s="295" t="s">
        <v>112</v>
      </c>
      <c r="E212" s="295">
        <v>31</v>
      </c>
      <c r="F212" s="316">
        <f t="shared" si="15"/>
        <v>1.0689655172413792</v>
      </c>
      <c r="G212" s="295">
        <v>6.1</v>
      </c>
      <c r="H212" s="295">
        <v>6.1</v>
      </c>
      <c r="I212" s="315">
        <f t="shared" si="14"/>
        <v>113.49049999999997</v>
      </c>
      <c r="J212" s="316">
        <f t="shared" si="16"/>
        <v>1.9540375344352607</v>
      </c>
    </row>
    <row r="213" spans="1:11">
      <c r="A213" s="295">
        <v>11</v>
      </c>
      <c r="B213" s="295">
        <f t="shared" si="17"/>
        <v>-1</v>
      </c>
      <c r="C213" s="295">
        <v>6.5</v>
      </c>
      <c r="D213" s="295" t="s">
        <v>113</v>
      </c>
      <c r="E213" s="295">
        <v>26</v>
      </c>
      <c r="F213" s="316">
        <f t="shared" si="15"/>
        <v>1.0833333333333333</v>
      </c>
      <c r="G213" s="295">
        <v>6.7</v>
      </c>
      <c r="H213" s="295">
        <v>6.2</v>
      </c>
      <c r="I213" s="315">
        <f t="shared" si="14"/>
        <v>128.77400000000003</v>
      </c>
      <c r="J213" s="316">
        <f t="shared" si="16"/>
        <v>2.5436839506172846</v>
      </c>
    </row>
    <row r="214" spans="1:11">
      <c r="A214" s="295">
        <v>11</v>
      </c>
      <c r="B214" s="295">
        <f t="shared" si="17"/>
        <v>-1</v>
      </c>
      <c r="C214" s="295">
        <v>7.1</v>
      </c>
      <c r="D214" s="295" t="s">
        <v>114</v>
      </c>
      <c r="E214" s="295">
        <v>29</v>
      </c>
      <c r="F214" s="316">
        <f t="shared" si="15"/>
        <v>1.0740740740740742</v>
      </c>
      <c r="G214" s="295">
        <v>6.7</v>
      </c>
      <c r="H214" s="295">
        <v>6.2</v>
      </c>
      <c r="I214" s="315">
        <f t="shared" ref="I214:I277" si="18">G214*(H214^2)*0.5</f>
        <v>128.77400000000003</v>
      </c>
      <c r="J214" s="316">
        <f t="shared" si="16"/>
        <v>0.95388148148148166</v>
      </c>
    </row>
    <row r="215" spans="1:11">
      <c r="A215" s="295">
        <v>11</v>
      </c>
      <c r="B215" s="295">
        <f t="shared" si="17"/>
        <v>-1</v>
      </c>
      <c r="C215" s="295">
        <v>7.2</v>
      </c>
      <c r="D215" s="295" t="s">
        <v>111</v>
      </c>
      <c r="E215" s="295">
        <v>30</v>
      </c>
      <c r="F215" s="316">
        <f t="shared" si="15"/>
        <v>1.0344827586206897</v>
      </c>
      <c r="G215" s="295">
        <v>3.8</v>
      </c>
      <c r="H215" s="295">
        <v>3.6</v>
      </c>
      <c r="I215" s="315">
        <f t="shared" si="18"/>
        <v>24.623999999999999</v>
      </c>
      <c r="J215" s="316">
        <f t="shared" si="16"/>
        <v>1.6266349583828774</v>
      </c>
    </row>
    <row r="216" spans="1:11">
      <c r="A216" s="295">
        <v>11</v>
      </c>
      <c r="B216" s="295">
        <f t="shared" si="17"/>
        <v>-1</v>
      </c>
      <c r="C216" s="295">
        <v>7.3</v>
      </c>
      <c r="D216" s="295" t="s">
        <v>113</v>
      </c>
      <c r="E216" s="295">
        <v>28</v>
      </c>
      <c r="F216" s="316">
        <f t="shared" si="15"/>
        <v>1.037037037037037</v>
      </c>
      <c r="G216" s="295">
        <v>6</v>
      </c>
      <c r="H216" s="295">
        <v>5.7</v>
      </c>
      <c r="I216" s="315">
        <f t="shared" si="18"/>
        <v>97.47</v>
      </c>
      <c r="J216" s="316">
        <f t="shared" si="16"/>
        <v>0.68216175359032505</v>
      </c>
    </row>
    <row r="217" spans="1:11">
      <c r="A217" s="295">
        <v>11</v>
      </c>
      <c r="B217" s="295">
        <f t="shared" si="17"/>
        <v>-1</v>
      </c>
      <c r="C217" s="295">
        <v>7.4</v>
      </c>
      <c r="D217" s="295" t="s">
        <v>115</v>
      </c>
      <c r="E217" s="295">
        <v>28</v>
      </c>
      <c r="F217" s="316">
        <f t="shared" si="15"/>
        <v>1.037037037037037</v>
      </c>
      <c r="G217" s="295">
        <v>6.8</v>
      </c>
      <c r="H217" s="295">
        <v>5.6</v>
      </c>
      <c r="I217" s="315">
        <f t="shared" si="18"/>
        <v>106.62399999999998</v>
      </c>
      <c r="J217" s="316">
        <f t="shared" si="16"/>
        <v>0.90089054869290419</v>
      </c>
    </row>
    <row r="218" spans="1:11">
      <c r="A218" s="295">
        <v>11</v>
      </c>
      <c r="B218" s="295">
        <f t="shared" si="17"/>
        <v>-1</v>
      </c>
      <c r="C218" s="295">
        <v>7.5</v>
      </c>
      <c r="D218" s="295" t="s">
        <v>111</v>
      </c>
      <c r="E218" s="295">
        <v>29</v>
      </c>
      <c r="F218" s="316">
        <f t="shared" si="15"/>
        <v>1</v>
      </c>
      <c r="G218" s="295">
        <v>4.7</v>
      </c>
      <c r="H218" s="295">
        <v>4.3</v>
      </c>
      <c r="I218" s="315">
        <f t="shared" si="18"/>
        <v>43.451499999999996</v>
      </c>
      <c r="J218" s="316">
        <f t="shared" si="16"/>
        <v>0.70250759878419444</v>
      </c>
    </row>
    <row r="219" spans="1:11">
      <c r="A219" s="295">
        <v>12</v>
      </c>
      <c r="B219" s="295">
        <f t="shared" si="17"/>
        <v>0</v>
      </c>
      <c r="C219" s="295">
        <v>1.1000000000000001</v>
      </c>
      <c r="D219" s="295" t="s">
        <v>112</v>
      </c>
      <c r="E219" s="295">
        <v>28</v>
      </c>
      <c r="F219" s="316">
        <f t="shared" si="15"/>
        <v>1</v>
      </c>
      <c r="G219" s="321">
        <v>7.8</v>
      </c>
      <c r="H219" s="321">
        <v>7.6</v>
      </c>
      <c r="I219" s="315">
        <f t="shared" si="18"/>
        <v>225.26399999999998</v>
      </c>
      <c r="J219" s="316">
        <f t="shared" si="16"/>
        <v>1</v>
      </c>
      <c r="K219" s="316">
        <f t="shared" ref="K219:K250" si="19">I219/SUMIFS(I:I,C:C,C219,B:B,"0")</f>
        <v>1</v>
      </c>
    </row>
    <row r="220" spans="1:11">
      <c r="A220" s="295">
        <v>12</v>
      </c>
      <c r="B220" s="295">
        <f t="shared" si="17"/>
        <v>0</v>
      </c>
      <c r="C220" s="295">
        <v>1.2</v>
      </c>
      <c r="D220" s="295" t="s">
        <v>113</v>
      </c>
      <c r="E220" s="295">
        <v>27</v>
      </c>
      <c r="F220" s="316">
        <f t="shared" si="15"/>
        <v>1</v>
      </c>
      <c r="G220" s="321">
        <v>8.3000000000000007</v>
      </c>
      <c r="H220" s="321">
        <v>7.1</v>
      </c>
      <c r="I220" s="315">
        <f t="shared" si="18"/>
        <v>209.20150000000001</v>
      </c>
      <c r="J220" s="316">
        <f t="shared" si="16"/>
        <v>1</v>
      </c>
      <c r="K220" s="316">
        <f t="shared" si="19"/>
        <v>1</v>
      </c>
    </row>
    <row r="221" spans="1:11">
      <c r="A221" s="295">
        <v>12</v>
      </c>
      <c r="B221" s="295">
        <f t="shared" si="17"/>
        <v>0</v>
      </c>
      <c r="C221" s="295">
        <v>1.3</v>
      </c>
      <c r="D221" s="295" t="s">
        <v>115</v>
      </c>
      <c r="E221" s="295">
        <v>24</v>
      </c>
      <c r="F221" s="316">
        <f t="shared" si="15"/>
        <v>1</v>
      </c>
      <c r="G221" s="321">
        <v>6.8</v>
      </c>
      <c r="H221" s="321">
        <v>5.4</v>
      </c>
      <c r="I221" s="315">
        <f t="shared" si="18"/>
        <v>99.144000000000005</v>
      </c>
      <c r="J221" s="316">
        <f t="shared" si="16"/>
        <v>1</v>
      </c>
      <c r="K221" s="316">
        <f t="shared" si="19"/>
        <v>1</v>
      </c>
    </row>
    <row r="222" spans="1:11">
      <c r="A222" s="295">
        <v>12</v>
      </c>
      <c r="B222" s="295">
        <f t="shared" si="17"/>
        <v>0</v>
      </c>
      <c r="C222" s="295">
        <v>1.4</v>
      </c>
      <c r="D222" s="295" t="s">
        <v>115</v>
      </c>
      <c r="E222" s="295">
        <v>28</v>
      </c>
      <c r="F222" s="316">
        <f t="shared" si="15"/>
        <v>1</v>
      </c>
      <c r="G222" s="321">
        <v>7.2</v>
      </c>
      <c r="H222" s="321">
        <v>7.1</v>
      </c>
      <c r="I222" s="315">
        <f t="shared" si="18"/>
        <v>181.476</v>
      </c>
      <c r="J222" s="316">
        <f t="shared" si="16"/>
        <v>1</v>
      </c>
      <c r="K222" s="316">
        <f t="shared" si="19"/>
        <v>1</v>
      </c>
    </row>
    <row r="223" spans="1:11">
      <c r="A223" s="295">
        <v>12</v>
      </c>
      <c r="B223" s="295">
        <f t="shared" si="17"/>
        <v>0</v>
      </c>
      <c r="C223" s="295">
        <v>1.5</v>
      </c>
      <c r="D223" s="295" t="s">
        <v>112</v>
      </c>
      <c r="E223" s="295">
        <v>28</v>
      </c>
      <c r="F223" s="316">
        <f t="shared" si="15"/>
        <v>1</v>
      </c>
      <c r="G223" s="321">
        <v>6.8</v>
      </c>
      <c r="H223" s="321">
        <v>6.4</v>
      </c>
      <c r="I223" s="315">
        <f t="shared" si="18"/>
        <v>139.26400000000001</v>
      </c>
      <c r="J223" s="316">
        <f t="shared" si="16"/>
        <v>1</v>
      </c>
      <c r="K223" s="316">
        <f t="shared" si="19"/>
        <v>1</v>
      </c>
    </row>
    <row r="224" spans="1:11">
      <c r="A224" s="295">
        <v>12</v>
      </c>
      <c r="B224" s="295">
        <f t="shared" si="17"/>
        <v>0</v>
      </c>
      <c r="C224" s="295">
        <v>2.1</v>
      </c>
      <c r="D224" s="295" t="s">
        <v>114</v>
      </c>
      <c r="E224" s="295">
        <v>26</v>
      </c>
      <c r="F224" s="316">
        <f t="shared" si="15"/>
        <v>1</v>
      </c>
      <c r="G224" s="321">
        <v>7.9</v>
      </c>
      <c r="H224" s="321">
        <v>6.9</v>
      </c>
      <c r="I224" s="315">
        <f t="shared" si="18"/>
        <v>188.05950000000004</v>
      </c>
      <c r="J224" s="316">
        <f t="shared" si="16"/>
        <v>1</v>
      </c>
      <c r="K224" s="316">
        <f t="shared" si="19"/>
        <v>1</v>
      </c>
    </row>
    <row r="225" spans="1:11">
      <c r="A225" s="295">
        <v>12</v>
      </c>
      <c r="B225" s="295">
        <f t="shared" si="17"/>
        <v>0</v>
      </c>
      <c r="C225" s="295">
        <v>2.2000000000000002</v>
      </c>
      <c r="D225" s="295" t="s">
        <v>115</v>
      </c>
      <c r="E225" s="295">
        <v>28</v>
      </c>
      <c r="F225" s="316">
        <f t="shared" si="15"/>
        <v>1</v>
      </c>
      <c r="G225" s="321">
        <v>5.8</v>
      </c>
      <c r="H225" s="321">
        <v>5.5</v>
      </c>
      <c r="I225" s="315">
        <f t="shared" si="18"/>
        <v>87.724999999999994</v>
      </c>
      <c r="J225" s="316">
        <f t="shared" si="16"/>
        <v>1</v>
      </c>
      <c r="K225" s="316">
        <f t="shared" si="19"/>
        <v>1</v>
      </c>
    </row>
    <row r="226" spans="1:11">
      <c r="A226" s="295">
        <v>12</v>
      </c>
      <c r="B226" s="295">
        <f t="shared" si="17"/>
        <v>0</v>
      </c>
      <c r="C226" s="295">
        <v>2.2999999999999998</v>
      </c>
      <c r="D226" s="295" t="s">
        <v>112</v>
      </c>
      <c r="E226" s="295">
        <v>25</v>
      </c>
      <c r="F226" s="316">
        <f t="shared" si="15"/>
        <v>1</v>
      </c>
      <c r="G226" s="321">
        <v>7.4</v>
      </c>
      <c r="H226" s="321">
        <v>6.7</v>
      </c>
      <c r="I226" s="315">
        <f t="shared" si="18"/>
        <v>166.09300000000002</v>
      </c>
      <c r="J226" s="316">
        <f t="shared" si="16"/>
        <v>1</v>
      </c>
      <c r="K226" s="316">
        <f t="shared" si="19"/>
        <v>1</v>
      </c>
    </row>
    <row r="227" spans="1:11">
      <c r="A227" s="295">
        <v>12</v>
      </c>
      <c r="B227" s="295">
        <f t="shared" si="17"/>
        <v>0</v>
      </c>
      <c r="C227" s="295">
        <v>2.4</v>
      </c>
      <c r="D227" s="295" t="s">
        <v>114</v>
      </c>
      <c r="E227" s="295">
        <v>25</v>
      </c>
      <c r="F227" s="316">
        <f t="shared" si="15"/>
        <v>1</v>
      </c>
      <c r="G227" s="321">
        <v>8.6</v>
      </c>
      <c r="H227" s="321">
        <v>5</v>
      </c>
      <c r="I227" s="315">
        <f t="shared" si="18"/>
        <v>107.5</v>
      </c>
      <c r="J227" s="316">
        <f t="shared" si="16"/>
        <v>1</v>
      </c>
      <c r="K227" s="316">
        <f t="shared" si="19"/>
        <v>1</v>
      </c>
    </row>
    <row r="228" spans="1:11">
      <c r="A228" s="295">
        <v>12</v>
      </c>
      <c r="B228" s="295">
        <f t="shared" si="17"/>
        <v>0</v>
      </c>
      <c r="C228" s="295">
        <v>2.5</v>
      </c>
      <c r="D228" s="295" t="s">
        <v>113</v>
      </c>
      <c r="E228" s="295">
        <v>27</v>
      </c>
      <c r="F228" s="316">
        <f t="shared" si="15"/>
        <v>1</v>
      </c>
      <c r="G228" s="321">
        <v>7.6</v>
      </c>
      <c r="H228" s="321">
        <v>6.7</v>
      </c>
      <c r="I228" s="315">
        <f t="shared" si="18"/>
        <v>170.58199999999999</v>
      </c>
      <c r="J228" s="316">
        <f t="shared" si="16"/>
        <v>1</v>
      </c>
      <c r="K228" s="316">
        <f t="shared" si="19"/>
        <v>1</v>
      </c>
    </row>
    <row r="229" spans="1:11">
      <c r="A229" s="295">
        <v>12</v>
      </c>
      <c r="B229" s="295">
        <f t="shared" si="17"/>
        <v>0</v>
      </c>
      <c r="C229" s="295">
        <v>3.1</v>
      </c>
      <c r="D229" s="295" t="s">
        <v>115</v>
      </c>
      <c r="E229" s="295">
        <v>24</v>
      </c>
      <c r="F229" s="316">
        <f t="shared" si="15"/>
        <v>1</v>
      </c>
      <c r="G229" s="321">
        <v>8.6</v>
      </c>
      <c r="H229" s="321">
        <v>6.5</v>
      </c>
      <c r="I229" s="315">
        <f t="shared" si="18"/>
        <v>181.67499999999998</v>
      </c>
      <c r="J229" s="316">
        <f t="shared" si="16"/>
        <v>1</v>
      </c>
      <c r="K229" s="316">
        <f t="shared" si="19"/>
        <v>1</v>
      </c>
    </row>
    <row r="230" spans="1:11">
      <c r="A230" s="295">
        <v>12</v>
      </c>
      <c r="B230" s="295">
        <f t="shared" si="17"/>
        <v>0</v>
      </c>
      <c r="C230" s="295">
        <v>3.2</v>
      </c>
      <c r="D230" s="295" t="s">
        <v>113</v>
      </c>
      <c r="E230" s="295">
        <v>30</v>
      </c>
      <c r="F230" s="316">
        <f t="shared" si="15"/>
        <v>1</v>
      </c>
      <c r="G230" s="321">
        <v>8.3000000000000007</v>
      </c>
      <c r="H230" s="321">
        <v>6.8</v>
      </c>
      <c r="I230" s="315">
        <f t="shared" si="18"/>
        <v>191.89599999999999</v>
      </c>
      <c r="J230" s="316">
        <f t="shared" si="16"/>
        <v>1</v>
      </c>
      <c r="K230" s="316">
        <f t="shared" si="19"/>
        <v>1</v>
      </c>
    </row>
    <row r="231" spans="1:11">
      <c r="A231" s="295">
        <v>12</v>
      </c>
      <c r="B231" s="295">
        <f t="shared" si="17"/>
        <v>0</v>
      </c>
      <c r="C231" s="295">
        <v>3.3</v>
      </c>
      <c r="D231" s="295" t="s">
        <v>114</v>
      </c>
      <c r="E231" s="295">
        <v>25</v>
      </c>
      <c r="F231" s="316">
        <f t="shared" si="15"/>
        <v>1</v>
      </c>
      <c r="G231" s="321">
        <v>8.4</v>
      </c>
      <c r="H231" s="321">
        <v>7</v>
      </c>
      <c r="I231" s="315">
        <f t="shared" si="18"/>
        <v>205.8</v>
      </c>
      <c r="J231" s="316">
        <f t="shared" si="16"/>
        <v>1</v>
      </c>
      <c r="K231" s="316">
        <f t="shared" si="19"/>
        <v>1</v>
      </c>
    </row>
    <row r="232" spans="1:11">
      <c r="A232" s="295">
        <v>12</v>
      </c>
      <c r="B232" s="295">
        <f t="shared" si="17"/>
        <v>0</v>
      </c>
      <c r="C232" s="295">
        <v>3.4</v>
      </c>
      <c r="D232" s="295" t="s">
        <v>114</v>
      </c>
      <c r="E232" s="295">
        <v>25</v>
      </c>
      <c r="F232" s="316">
        <f t="shared" si="15"/>
        <v>1</v>
      </c>
      <c r="G232" s="321">
        <v>8.8000000000000007</v>
      </c>
      <c r="H232" s="321">
        <v>7.3</v>
      </c>
      <c r="I232" s="315">
        <f t="shared" si="18"/>
        <v>234.47600000000003</v>
      </c>
      <c r="J232" s="316">
        <f t="shared" si="16"/>
        <v>1</v>
      </c>
      <c r="K232" s="316">
        <f t="shared" si="19"/>
        <v>1</v>
      </c>
    </row>
    <row r="233" spans="1:11">
      <c r="A233" s="295">
        <v>12</v>
      </c>
      <c r="B233" s="295">
        <f t="shared" si="17"/>
        <v>0</v>
      </c>
      <c r="C233" s="295">
        <v>3.5</v>
      </c>
      <c r="D233" s="295" t="s">
        <v>115</v>
      </c>
      <c r="E233" s="295">
        <v>27</v>
      </c>
      <c r="F233" s="316">
        <f t="shared" si="15"/>
        <v>1</v>
      </c>
      <c r="G233" s="321">
        <v>8.5</v>
      </c>
      <c r="H233" s="321">
        <v>7.4</v>
      </c>
      <c r="I233" s="315">
        <f t="shared" si="18"/>
        <v>232.73000000000002</v>
      </c>
      <c r="J233" s="316">
        <f t="shared" si="16"/>
        <v>1</v>
      </c>
      <c r="K233" s="316">
        <f t="shared" si="19"/>
        <v>1</v>
      </c>
    </row>
    <row r="234" spans="1:11">
      <c r="A234" s="295">
        <v>12</v>
      </c>
      <c r="B234" s="295">
        <f t="shared" si="17"/>
        <v>0</v>
      </c>
      <c r="C234" s="295">
        <v>4.0999999999999996</v>
      </c>
      <c r="D234" s="295" t="s">
        <v>111</v>
      </c>
      <c r="E234" s="295">
        <v>28</v>
      </c>
      <c r="F234" s="316">
        <f t="shared" si="15"/>
        <v>1</v>
      </c>
      <c r="G234" s="321">
        <v>4.4000000000000004</v>
      </c>
      <c r="H234" s="321">
        <v>3.5</v>
      </c>
      <c r="I234" s="315">
        <f t="shared" si="18"/>
        <v>26.950000000000003</v>
      </c>
      <c r="J234" s="316">
        <f t="shared" si="16"/>
        <v>1</v>
      </c>
      <c r="K234" s="316">
        <f t="shared" si="19"/>
        <v>1</v>
      </c>
    </row>
    <row r="235" spans="1:11">
      <c r="A235" s="295">
        <v>12</v>
      </c>
      <c r="B235" s="295">
        <f t="shared" si="17"/>
        <v>0</v>
      </c>
      <c r="C235" s="295">
        <v>4.2</v>
      </c>
      <c r="D235" s="295" t="s">
        <v>112</v>
      </c>
      <c r="E235" s="295">
        <v>29</v>
      </c>
      <c r="F235" s="316">
        <f t="shared" si="15"/>
        <v>1</v>
      </c>
      <c r="G235" s="321">
        <v>9.9</v>
      </c>
      <c r="H235" s="321">
        <v>8.1999999999999993</v>
      </c>
      <c r="I235" s="315">
        <f t="shared" si="18"/>
        <v>332.83799999999997</v>
      </c>
      <c r="J235" s="316">
        <f t="shared" si="16"/>
        <v>1</v>
      </c>
      <c r="K235" s="316">
        <f t="shared" si="19"/>
        <v>1</v>
      </c>
    </row>
    <row r="236" spans="1:11">
      <c r="A236" s="295">
        <v>12</v>
      </c>
      <c r="B236" s="295">
        <f t="shared" si="17"/>
        <v>0</v>
      </c>
      <c r="C236" s="295">
        <v>4.3</v>
      </c>
      <c r="D236" s="295" t="s">
        <v>113</v>
      </c>
      <c r="E236" s="295">
        <v>26</v>
      </c>
      <c r="F236" s="316">
        <f t="shared" si="15"/>
        <v>1</v>
      </c>
      <c r="G236" s="321">
        <v>6.8</v>
      </c>
      <c r="H236" s="321">
        <v>6.4</v>
      </c>
      <c r="I236" s="315">
        <f t="shared" si="18"/>
        <v>139.26400000000001</v>
      </c>
      <c r="J236" s="316">
        <f t="shared" si="16"/>
        <v>1</v>
      </c>
      <c r="K236" s="316">
        <f t="shared" si="19"/>
        <v>1</v>
      </c>
    </row>
    <row r="237" spans="1:11">
      <c r="A237" s="295">
        <v>12</v>
      </c>
      <c r="B237" s="295">
        <f t="shared" si="17"/>
        <v>0</v>
      </c>
      <c r="C237" s="295">
        <v>4.4000000000000004</v>
      </c>
      <c r="D237" s="295" t="s">
        <v>112</v>
      </c>
      <c r="E237" s="295">
        <v>31</v>
      </c>
      <c r="F237" s="316">
        <f t="shared" si="15"/>
        <v>1</v>
      </c>
      <c r="G237" s="321">
        <v>8.9</v>
      </c>
      <c r="H237" s="321">
        <v>6.5</v>
      </c>
      <c r="I237" s="315">
        <f t="shared" si="18"/>
        <v>188.01250000000002</v>
      </c>
      <c r="J237" s="316">
        <f t="shared" si="16"/>
        <v>1</v>
      </c>
      <c r="K237" s="316">
        <f t="shared" si="19"/>
        <v>1</v>
      </c>
    </row>
    <row r="238" spans="1:11">
      <c r="A238" s="295">
        <v>12</v>
      </c>
      <c r="B238" s="295">
        <f t="shared" si="17"/>
        <v>0</v>
      </c>
      <c r="C238" s="295">
        <v>4.5</v>
      </c>
      <c r="D238" s="295" t="s">
        <v>112</v>
      </c>
      <c r="E238" s="295">
        <v>27</v>
      </c>
      <c r="F238" s="316">
        <f t="shared" si="15"/>
        <v>1</v>
      </c>
      <c r="G238" s="321">
        <v>8.4</v>
      </c>
      <c r="H238" s="321">
        <v>7.3</v>
      </c>
      <c r="I238" s="315">
        <f t="shared" si="18"/>
        <v>223.81800000000001</v>
      </c>
      <c r="J238" s="316">
        <f t="shared" si="16"/>
        <v>1</v>
      </c>
      <c r="K238" s="316">
        <f t="shared" si="19"/>
        <v>1</v>
      </c>
    </row>
    <row r="239" spans="1:11">
      <c r="A239" s="295">
        <v>12</v>
      </c>
      <c r="B239" s="295">
        <f t="shared" si="17"/>
        <v>0</v>
      </c>
      <c r="C239" s="295">
        <v>5.0999999999999996</v>
      </c>
      <c r="D239" s="295" t="s">
        <v>113</v>
      </c>
      <c r="E239" s="295">
        <v>24</v>
      </c>
      <c r="F239" s="316">
        <f t="shared" si="15"/>
        <v>1</v>
      </c>
      <c r="G239" s="321">
        <v>7.4</v>
      </c>
      <c r="H239" s="321">
        <v>6.7</v>
      </c>
      <c r="I239" s="315">
        <f t="shared" si="18"/>
        <v>166.09300000000002</v>
      </c>
      <c r="J239" s="316">
        <f t="shared" si="16"/>
        <v>1</v>
      </c>
      <c r="K239" s="316">
        <f t="shared" si="19"/>
        <v>1</v>
      </c>
    </row>
    <row r="240" spans="1:11">
      <c r="A240" s="295">
        <v>12</v>
      </c>
      <c r="B240" s="295">
        <f t="shared" si="17"/>
        <v>0</v>
      </c>
      <c r="C240" s="295">
        <v>5.2</v>
      </c>
      <c r="D240" s="295" t="s">
        <v>114</v>
      </c>
      <c r="E240" s="295">
        <v>27</v>
      </c>
      <c r="F240" s="316">
        <f t="shared" si="15"/>
        <v>1</v>
      </c>
      <c r="G240" s="321">
        <v>7.6</v>
      </c>
      <c r="H240" s="321">
        <v>6.6</v>
      </c>
      <c r="I240" s="315">
        <f t="shared" si="18"/>
        <v>165.52799999999996</v>
      </c>
      <c r="J240" s="316">
        <f t="shared" si="16"/>
        <v>1</v>
      </c>
      <c r="K240" s="316">
        <f t="shared" si="19"/>
        <v>1</v>
      </c>
    </row>
    <row r="241" spans="1:11">
      <c r="A241" s="295">
        <v>12</v>
      </c>
      <c r="B241" s="295">
        <f t="shared" si="17"/>
        <v>0</v>
      </c>
      <c r="C241" s="295">
        <v>5.3</v>
      </c>
      <c r="D241" s="295" t="s">
        <v>112</v>
      </c>
      <c r="E241" s="295">
        <v>28</v>
      </c>
      <c r="F241" s="316">
        <f t="shared" si="15"/>
        <v>1</v>
      </c>
      <c r="G241" s="321">
        <v>7.8</v>
      </c>
      <c r="H241" s="321">
        <v>7.8</v>
      </c>
      <c r="I241" s="315">
        <f t="shared" si="18"/>
        <v>237.27599999999998</v>
      </c>
      <c r="J241" s="316">
        <f t="shared" si="16"/>
        <v>1</v>
      </c>
      <c r="K241" s="316">
        <f t="shared" si="19"/>
        <v>1</v>
      </c>
    </row>
    <row r="242" spans="1:11">
      <c r="A242" s="295">
        <v>12</v>
      </c>
      <c r="B242" s="295">
        <f t="shared" si="17"/>
        <v>0</v>
      </c>
      <c r="C242" s="295">
        <v>5.4</v>
      </c>
      <c r="D242" s="295" t="s">
        <v>113</v>
      </c>
      <c r="E242" s="295">
        <v>26</v>
      </c>
      <c r="F242" s="316">
        <f t="shared" si="15"/>
        <v>1</v>
      </c>
      <c r="G242" s="321">
        <v>7.3</v>
      </c>
      <c r="H242" s="321">
        <v>7</v>
      </c>
      <c r="I242" s="315">
        <f t="shared" si="18"/>
        <v>178.85</v>
      </c>
      <c r="J242" s="316">
        <f t="shared" si="16"/>
        <v>1</v>
      </c>
      <c r="K242" s="316">
        <f t="shared" si="19"/>
        <v>1</v>
      </c>
    </row>
    <row r="243" spans="1:11">
      <c r="A243" s="295">
        <v>12</v>
      </c>
      <c r="B243" s="295">
        <f t="shared" si="17"/>
        <v>0</v>
      </c>
      <c r="C243" s="295">
        <v>5.5</v>
      </c>
      <c r="D243" s="295" t="s">
        <v>114</v>
      </c>
      <c r="E243" s="295">
        <v>22</v>
      </c>
      <c r="F243" s="316">
        <f t="shared" si="15"/>
        <v>1</v>
      </c>
      <c r="G243" s="321">
        <v>6.9</v>
      </c>
      <c r="H243" s="321">
        <v>5.4</v>
      </c>
      <c r="I243" s="315">
        <f t="shared" si="18"/>
        <v>100.60200000000002</v>
      </c>
      <c r="J243" s="316">
        <f t="shared" si="16"/>
        <v>1</v>
      </c>
      <c r="K243" s="316">
        <f t="shared" si="19"/>
        <v>1</v>
      </c>
    </row>
    <row r="244" spans="1:11">
      <c r="A244" s="295">
        <v>12</v>
      </c>
      <c r="B244" s="295">
        <f t="shared" si="17"/>
        <v>0</v>
      </c>
      <c r="C244" s="295">
        <v>6.1</v>
      </c>
      <c r="D244" s="295" t="s">
        <v>115</v>
      </c>
      <c r="E244" s="295">
        <v>25</v>
      </c>
      <c r="F244" s="316">
        <f t="shared" si="15"/>
        <v>1</v>
      </c>
      <c r="G244" s="321">
        <v>7</v>
      </c>
      <c r="H244" s="321">
        <v>6.2</v>
      </c>
      <c r="I244" s="315">
        <f t="shared" si="18"/>
        <v>134.54000000000002</v>
      </c>
      <c r="J244" s="316">
        <f t="shared" si="16"/>
        <v>1</v>
      </c>
      <c r="K244" s="316">
        <f t="shared" si="19"/>
        <v>1</v>
      </c>
    </row>
    <row r="245" spans="1:11">
      <c r="A245" s="295">
        <v>12</v>
      </c>
      <c r="B245" s="295">
        <f t="shared" si="17"/>
        <v>0</v>
      </c>
      <c r="C245" s="295">
        <v>6.2</v>
      </c>
      <c r="D245" s="295" t="s">
        <v>115</v>
      </c>
      <c r="E245" s="295">
        <v>27</v>
      </c>
      <c r="F245" s="316">
        <f t="shared" si="15"/>
        <v>1</v>
      </c>
      <c r="G245" s="321">
        <v>6.7</v>
      </c>
      <c r="H245" s="321">
        <v>6.1</v>
      </c>
      <c r="I245" s="315">
        <f t="shared" si="18"/>
        <v>124.65349999999998</v>
      </c>
      <c r="J245" s="316">
        <f t="shared" si="16"/>
        <v>1</v>
      </c>
      <c r="K245" s="316">
        <f t="shared" si="19"/>
        <v>1</v>
      </c>
    </row>
    <row r="246" spans="1:11">
      <c r="A246" s="295">
        <v>12</v>
      </c>
      <c r="B246" s="295">
        <f t="shared" si="17"/>
        <v>0</v>
      </c>
      <c r="C246" s="295">
        <v>6.3</v>
      </c>
      <c r="D246" s="295" t="s">
        <v>114</v>
      </c>
      <c r="E246" s="295">
        <v>24</v>
      </c>
      <c r="F246" s="316">
        <f t="shared" si="15"/>
        <v>1</v>
      </c>
      <c r="G246" s="321">
        <v>6.7</v>
      </c>
      <c r="H246" s="321">
        <v>6.7</v>
      </c>
      <c r="I246" s="315">
        <f t="shared" si="18"/>
        <v>150.38150000000002</v>
      </c>
      <c r="J246" s="316">
        <f t="shared" si="16"/>
        <v>1</v>
      </c>
      <c r="K246" s="316">
        <f t="shared" si="19"/>
        <v>1</v>
      </c>
    </row>
    <row r="247" spans="1:11">
      <c r="A247" s="295">
        <v>12</v>
      </c>
      <c r="B247" s="295">
        <f t="shared" si="17"/>
        <v>0</v>
      </c>
      <c r="C247" s="295">
        <v>6.4</v>
      </c>
      <c r="D247" s="295" t="s">
        <v>112</v>
      </c>
      <c r="E247" s="295">
        <v>29</v>
      </c>
      <c r="F247" s="316">
        <f t="shared" si="15"/>
        <v>1</v>
      </c>
      <c r="G247" s="321">
        <v>6</v>
      </c>
      <c r="H247" s="321">
        <v>4.4000000000000004</v>
      </c>
      <c r="I247" s="315">
        <f t="shared" si="18"/>
        <v>58.080000000000013</v>
      </c>
      <c r="J247" s="316">
        <f t="shared" si="16"/>
        <v>1</v>
      </c>
      <c r="K247" s="316">
        <f t="shared" si="19"/>
        <v>1</v>
      </c>
    </row>
    <row r="248" spans="1:11">
      <c r="A248" s="295">
        <v>12</v>
      </c>
      <c r="B248" s="295">
        <f t="shared" si="17"/>
        <v>0</v>
      </c>
      <c r="C248" s="295">
        <v>6.5</v>
      </c>
      <c r="D248" s="295" t="s">
        <v>113</v>
      </c>
      <c r="E248" s="295">
        <v>24</v>
      </c>
      <c r="F248" s="316">
        <f t="shared" si="15"/>
        <v>1</v>
      </c>
      <c r="G248" s="321">
        <v>5</v>
      </c>
      <c r="H248" s="321">
        <v>4.5</v>
      </c>
      <c r="I248" s="315">
        <f t="shared" si="18"/>
        <v>50.625</v>
      </c>
      <c r="J248" s="316">
        <f t="shared" si="16"/>
        <v>1</v>
      </c>
      <c r="K248" s="316">
        <f t="shared" si="19"/>
        <v>1</v>
      </c>
    </row>
    <row r="249" spans="1:11">
      <c r="A249" s="295">
        <v>12</v>
      </c>
      <c r="B249" s="295">
        <f t="shared" si="17"/>
        <v>0</v>
      </c>
      <c r="C249" s="295">
        <v>7.1</v>
      </c>
      <c r="D249" s="295" t="s">
        <v>114</v>
      </c>
      <c r="E249" s="295">
        <v>27</v>
      </c>
      <c r="F249" s="316">
        <f t="shared" si="15"/>
        <v>1</v>
      </c>
      <c r="G249" s="321">
        <v>7.5</v>
      </c>
      <c r="H249" s="321">
        <v>6</v>
      </c>
      <c r="I249" s="315">
        <f t="shared" si="18"/>
        <v>135</v>
      </c>
      <c r="J249" s="316">
        <f t="shared" si="16"/>
        <v>1</v>
      </c>
      <c r="K249" s="316">
        <f t="shared" si="19"/>
        <v>1</v>
      </c>
    </row>
    <row r="250" spans="1:11">
      <c r="A250" s="295">
        <v>12</v>
      </c>
      <c r="B250" s="295">
        <f t="shared" si="17"/>
        <v>0</v>
      </c>
      <c r="C250" s="295">
        <v>7.2</v>
      </c>
      <c r="D250" s="295" t="s">
        <v>111</v>
      </c>
      <c r="E250" s="295">
        <v>29</v>
      </c>
      <c r="F250" s="316">
        <f t="shared" si="15"/>
        <v>1</v>
      </c>
      <c r="G250" s="321">
        <v>3.6</v>
      </c>
      <c r="H250" s="321">
        <v>2.9</v>
      </c>
      <c r="I250" s="315">
        <f t="shared" si="18"/>
        <v>15.138</v>
      </c>
      <c r="J250" s="316">
        <f t="shared" si="16"/>
        <v>1</v>
      </c>
      <c r="K250" s="316">
        <f t="shared" si="19"/>
        <v>1</v>
      </c>
    </row>
    <row r="251" spans="1:11">
      <c r="A251" s="295">
        <v>12</v>
      </c>
      <c r="B251" s="295">
        <f t="shared" si="17"/>
        <v>0</v>
      </c>
      <c r="C251" s="295">
        <v>7.3</v>
      </c>
      <c r="D251" s="295" t="s">
        <v>113</v>
      </c>
      <c r="E251" s="295">
        <v>27</v>
      </c>
      <c r="F251" s="316">
        <f t="shared" si="15"/>
        <v>1</v>
      </c>
      <c r="G251" s="321">
        <v>7.2</v>
      </c>
      <c r="H251" s="321">
        <v>6.3</v>
      </c>
      <c r="I251" s="315">
        <f t="shared" si="18"/>
        <v>142.88399999999999</v>
      </c>
      <c r="J251" s="316">
        <f t="shared" si="16"/>
        <v>1</v>
      </c>
    </row>
    <row r="252" spans="1:11">
      <c r="A252" s="295">
        <v>12</v>
      </c>
      <c r="B252" s="295">
        <f t="shared" si="17"/>
        <v>0</v>
      </c>
      <c r="C252" s="295">
        <v>7.4</v>
      </c>
      <c r="D252" s="295" t="s">
        <v>115</v>
      </c>
      <c r="E252" s="295">
        <v>27</v>
      </c>
      <c r="F252" s="316">
        <f t="shared" si="15"/>
        <v>1</v>
      </c>
      <c r="G252" s="321">
        <v>6.8</v>
      </c>
      <c r="H252" s="321">
        <v>5.9</v>
      </c>
      <c r="I252" s="315">
        <f t="shared" si="18"/>
        <v>118.354</v>
      </c>
      <c r="J252" s="316">
        <f t="shared" si="16"/>
        <v>1</v>
      </c>
    </row>
    <row r="253" spans="1:11">
      <c r="A253" s="295">
        <v>12</v>
      </c>
      <c r="B253" s="295">
        <f t="shared" si="17"/>
        <v>0</v>
      </c>
      <c r="C253" s="295">
        <v>7.5</v>
      </c>
      <c r="D253" s="295" t="s">
        <v>111</v>
      </c>
      <c r="E253" s="295">
        <v>29</v>
      </c>
      <c r="F253" s="316">
        <f t="shared" si="15"/>
        <v>1</v>
      </c>
      <c r="G253" s="321">
        <v>5.6</v>
      </c>
      <c r="H253" s="321">
        <v>4.7</v>
      </c>
      <c r="I253" s="315">
        <f t="shared" si="18"/>
        <v>61.852000000000004</v>
      </c>
      <c r="J253" s="316">
        <f t="shared" si="16"/>
        <v>1</v>
      </c>
    </row>
    <row r="254" spans="1:11">
      <c r="A254" s="295">
        <v>13</v>
      </c>
      <c r="B254" s="295">
        <f t="shared" si="17"/>
        <v>1</v>
      </c>
      <c r="C254" s="295">
        <v>1.1000000000000001</v>
      </c>
      <c r="D254" s="295" t="s">
        <v>112</v>
      </c>
      <c r="E254" s="295">
        <v>30</v>
      </c>
      <c r="F254" s="316">
        <f t="shared" si="15"/>
        <v>1.0714285714285714</v>
      </c>
      <c r="G254" s="321">
        <v>8.6</v>
      </c>
      <c r="H254" s="321">
        <v>7.4</v>
      </c>
      <c r="I254" s="315">
        <f t="shared" si="18"/>
        <v>235.46800000000002</v>
      </c>
      <c r="J254" s="316">
        <f t="shared" si="16"/>
        <v>1.0452979615029478</v>
      </c>
    </row>
    <row r="255" spans="1:11">
      <c r="A255" s="295">
        <v>13</v>
      </c>
      <c r="B255" s="295">
        <f t="shared" si="17"/>
        <v>1</v>
      </c>
      <c r="C255" s="295">
        <v>1.2</v>
      </c>
      <c r="D255" s="295" t="s">
        <v>113</v>
      </c>
      <c r="E255" s="295">
        <v>28</v>
      </c>
      <c r="F255" s="316">
        <f t="shared" si="15"/>
        <v>1.037037037037037</v>
      </c>
      <c r="G255" s="321">
        <v>7.7</v>
      </c>
      <c r="H255" s="321">
        <v>7.2</v>
      </c>
      <c r="I255" s="315">
        <f t="shared" si="18"/>
        <v>199.58400000000003</v>
      </c>
      <c r="J255" s="316">
        <f t="shared" si="16"/>
        <v>0.95402757628410895</v>
      </c>
    </row>
    <row r="256" spans="1:11">
      <c r="A256" s="295">
        <v>13</v>
      </c>
      <c r="B256" s="295">
        <f t="shared" si="17"/>
        <v>1</v>
      </c>
      <c r="C256" s="295">
        <v>1.3</v>
      </c>
      <c r="D256" s="295" t="s">
        <v>115</v>
      </c>
      <c r="E256" s="295">
        <v>25</v>
      </c>
      <c r="F256" s="316">
        <f t="shared" si="15"/>
        <v>1.0416666666666667</v>
      </c>
      <c r="G256" s="321">
        <v>7.2</v>
      </c>
      <c r="H256" s="321">
        <v>5.8</v>
      </c>
      <c r="I256" s="315">
        <f t="shared" si="18"/>
        <v>121.104</v>
      </c>
      <c r="J256" s="316">
        <f t="shared" si="16"/>
        <v>1.2214960058097313</v>
      </c>
    </row>
    <row r="257" spans="1:11">
      <c r="A257" s="295">
        <v>13</v>
      </c>
      <c r="B257" s="295">
        <f t="shared" si="17"/>
        <v>1</v>
      </c>
      <c r="C257" s="295">
        <v>1.4</v>
      </c>
      <c r="D257" s="295" t="s">
        <v>115</v>
      </c>
      <c r="E257" s="295">
        <v>28</v>
      </c>
      <c r="F257" s="316">
        <f t="shared" si="15"/>
        <v>1</v>
      </c>
      <c r="G257" s="321">
        <v>7.6</v>
      </c>
      <c r="H257" s="321">
        <v>7.3</v>
      </c>
      <c r="I257" s="315">
        <f t="shared" si="18"/>
        <v>202.50199999999998</v>
      </c>
      <c r="J257" s="316">
        <f t="shared" si="16"/>
        <v>1.1158610504970352</v>
      </c>
      <c r="K257" s="316" t="s">
        <v>134</v>
      </c>
    </row>
    <row r="258" spans="1:11">
      <c r="A258" s="295">
        <v>13</v>
      </c>
      <c r="B258" s="295">
        <f t="shared" si="17"/>
        <v>1</v>
      </c>
      <c r="C258" s="295">
        <v>1.5</v>
      </c>
      <c r="D258" s="295" t="s">
        <v>112</v>
      </c>
      <c r="E258" s="295">
        <v>28</v>
      </c>
      <c r="F258" s="316">
        <f t="shared" si="15"/>
        <v>1</v>
      </c>
      <c r="G258" s="321">
        <v>7.9</v>
      </c>
      <c r="H258" s="321">
        <v>7</v>
      </c>
      <c r="I258" s="315">
        <f t="shared" si="18"/>
        <v>193.55</v>
      </c>
      <c r="J258" s="316">
        <f t="shared" si="16"/>
        <v>1.3898064108455883</v>
      </c>
    </row>
    <row r="259" spans="1:11">
      <c r="A259" s="295">
        <v>13</v>
      </c>
      <c r="B259" s="295">
        <f t="shared" si="17"/>
        <v>1</v>
      </c>
      <c r="C259" s="295">
        <v>2.1</v>
      </c>
      <c r="D259" s="295" t="s">
        <v>114</v>
      </c>
      <c r="E259" s="295">
        <v>27</v>
      </c>
      <c r="F259" s="316">
        <f t="shared" si="15"/>
        <v>1.0384615384615385</v>
      </c>
      <c r="G259" s="321">
        <v>8</v>
      </c>
      <c r="H259" s="321">
        <v>7.4</v>
      </c>
      <c r="I259" s="315">
        <f t="shared" si="18"/>
        <v>219.04000000000002</v>
      </c>
      <c r="J259" s="316">
        <f t="shared" si="16"/>
        <v>1.1647377558698175</v>
      </c>
    </row>
    <row r="260" spans="1:11" s="316" customFormat="1">
      <c r="A260" s="295">
        <v>13</v>
      </c>
      <c r="B260" s="295">
        <f t="shared" si="17"/>
        <v>1</v>
      </c>
      <c r="C260" s="295">
        <v>2.2000000000000002</v>
      </c>
      <c r="D260" s="295" t="s">
        <v>115</v>
      </c>
      <c r="E260" s="295">
        <v>28</v>
      </c>
      <c r="F260" s="316">
        <f t="shared" si="15"/>
        <v>1</v>
      </c>
      <c r="G260" s="321">
        <v>5.9</v>
      </c>
      <c r="H260" s="321">
        <v>4.3</v>
      </c>
      <c r="I260" s="315">
        <f t="shared" si="18"/>
        <v>54.545499999999997</v>
      </c>
      <c r="J260" s="316">
        <f t="shared" si="16"/>
        <v>0.62177828441151328</v>
      </c>
    </row>
    <row r="261" spans="1:11" s="316" customFormat="1">
      <c r="A261" s="295">
        <v>13</v>
      </c>
      <c r="B261" s="295">
        <f t="shared" si="17"/>
        <v>1</v>
      </c>
      <c r="C261" s="295">
        <v>2.2999999999999998</v>
      </c>
      <c r="D261" s="295" t="s">
        <v>112</v>
      </c>
      <c r="E261" s="295">
        <v>27</v>
      </c>
      <c r="F261" s="316">
        <f t="shared" si="15"/>
        <v>1.08</v>
      </c>
      <c r="G261" s="321">
        <v>7.9</v>
      </c>
      <c r="H261" s="321">
        <v>7.2</v>
      </c>
      <c r="I261" s="315">
        <f t="shared" si="18"/>
        <v>204.76800000000003</v>
      </c>
      <c r="J261" s="316">
        <f t="shared" si="16"/>
        <v>1.2328514747761796</v>
      </c>
    </row>
    <row r="262" spans="1:11" s="316" customFormat="1">
      <c r="A262" s="295">
        <v>13</v>
      </c>
      <c r="B262" s="295">
        <f t="shared" si="17"/>
        <v>1</v>
      </c>
      <c r="C262" s="295">
        <v>2.4</v>
      </c>
      <c r="D262" s="295" t="s">
        <v>114</v>
      </c>
      <c r="E262" s="295">
        <v>26</v>
      </c>
      <c r="F262" s="316">
        <f t="shared" si="15"/>
        <v>1.04</v>
      </c>
      <c r="G262" s="321">
        <v>7</v>
      </c>
      <c r="H262" s="321">
        <v>6.5</v>
      </c>
      <c r="I262" s="315">
        <f t="shared" si="18"/>
        <v>147.875</v>
      </c>
      <c r="J262" s="316">
        <f t="shared" si="16"/>
        <v>1.3755813953488372</v>
      </c>
    </row>
    <row r="263" spans="1:11" s="316" customFormat="1">
      <c r="A263" s="295">
        <v>13</v>
      </c>
      <c r="B263" s="295">
        <f t="shared" si="17"/>
        <v>1</v>
      </c>
      <c r="C263" s="295">
        <v>2.5</v>
      </c>
      <c r="D263" s="295" t="s">
        <v>113</v>
      </c>
      <c r="E263" s="295">
        <v>27</v>
      </c>
      <c r="F263" s="316">
        <f t="shared" si="15"/>
        <v>1</v>
      </c>
      <c r="G263" s="321">
        <v>7.9</v>
      </c>
      <c r="H263" s="321">
        <v>7.5</v>
      </c>
      <c r="I263" s="315">
        <f t="shared" si="18"/>
        <v>222.1875</v>
      </c>
      <c r="J263" s="316">
        <f t="shared" si="16"/>
        <v>1.302526057849011</v>
      </c>
    </row>
    <row r="264" spans="1:11" s="316" customFormat="1">
      <c r="A264" s="295">
        <v>13</v>
      </c>
      <c r="B264" s="295">
        <f t="shared" si="17"/>
        <v>1</v>
      </c>
      <c r="C264" s="295">
        <v>3.1</v>
      </c>
      <c r="D264" s="295" t="s">
        <v>115</v>
      </c>
      <c r="E264" s="295">
        <v>24</v>
      </c>
      <c r="F264" s="316">
        <f t="shared" si="15"/>
        <v>1</v>
      </c>
      <c r="G264" s="321">
        <v>7</v>
      </c>
      <c r="H264" s="321">
        <v>6.5</v>
      </c>
      <c r="I264" s="315">
        <f t="shared" si="18"/>
        <v>147.875</v>
      </c>
      <c r="J264" s="316">
        <f t="shared" si="16"/>
        <v>0.81395348837209314</v>
      </c>
    </row>
    <row r="265" spans="1:11" s="316" customFormat="1">
      <c r="A265" s="295">
        <v>13</v>
      </c>
      <c r="B265" s="295">
        <f t="shared" si="17"/>
        <v>1</v>
      </c>
      <c r="C265" s="295">
        <v>3.2</v>
      </c>
      <c r="D265" s="295" t="s">
        <v>113</v>
      </c>
      <c r="E265" s="295">
        <v>31</v>
      </c>
      <c r="F265" s="316">
        <f t="shared" ref="F265:F328" si="20">IF(ISBLANK(E265),"",E265/SUMIFS(E:E,C:C,C265,B:B,"0"))</f>
        <v>1.0333333333333334</v>
      </c>
      <c r="G265" s="321">
        <v>7.4</v>
      </c>
      <c r="H265" s="321">
        <v>6.7</v>
      </c>
      <c r="I265" s="315">
        <f t="shared" si="18"/>
        <v>166.09300000000002</v>
      </c>
      <c r="J265" s="316">
        <f t="shared" ref="J265:J328" si="21">IF(ISBLANK(I265),"",I265/SUMIFS(I:I,C:C,C265,B:B,"0"))</f>
        <v>0.86553654062617269</v>
      </c>
    </row>
    <row r="266" spans="1:11" s="316" customFormat="1">
      <c r="A266" s="295">
        <v>13</v>
      </c>
      <c r="B266" s="295">
        <f t="shared" ref="B266:B329" si="22">A266-12</f>
        <v>1</v>
      </c>
      <c r="C266" s="295">
        <v>3.3</v>
      </c>
      <c r="D266" s="295" t="s">
        <v>114</v>
      </c>
      <c r="E266" s="295">
        <v>25</v>
      </c>
      <c r="F266" s="316">
        <f t="shared" si="20"/>
        <v>1</v>
      </c>
      <c r="G266" s="321">
        <v>8.1</v>
      </c>
      <c r="H266" s="321">
        <v>7.6</v>
      </c>
      <c r="I266" s="315">
        <f t="shared" si="18"/>
        <v>233.92799999999997</v>
      </c>
      <c r="J266" s="316">
        <f t="shared" si="21"/>
        <v>1.1366763848396499</v>
      </c>
    </row>
    <row r="267" spans="1:11" s="316" customFormat="1">
      <c r="A267" s="295">
        <v>13</v>
      </c>
      <c r="B267" s="295">
        <f t="shared" si="22"/>
        <v>1</v>
      </c>
      <c r="C267" s="295">
        <v>3.4</v>
      </c>
      <c r="D267" s="295" t="s">
        <v>114</v>
      </c>
      <c r="E267" s="295">
        <v>25</v>
      </c>
      <c r="F267" s="316">
        <f t="shared" si="20"/>
        <v>1</v>
      </c>
      <c r="G267" s="321">
        <v>8.9</v>
      </c>
      <c r="H267" s="321">
        <v>8</v>
      </c>
      <c r="I267" s="315">
        <f t="shared" si="18"/>
        <v>284.8</v>
      </c>
      <c r="J267" s="316">
        <f t="shared" si="21"/>
        <v>1.2146232450229446</v>
      </c>
    </row>
    <row r="268" spans="1:11" s="316" customFormat="1">
      <c r="A268" s="295">
        <v>13</v>
      </c>
      <c r="B268" s="295">
        <f t="shared" si="22"/>
        <v>1</v>
      </c>
      <c r="C268" s="295">
        <v>3.5</v>
      </c>
      <c r="D268" s="295" t="s">
        <v>115</v>
      </c>
      <c r="E268" s="295">
        <v>28</v>
      </c>
      <c r="F268" s="316">
        <f t="shared" si="20"/>
        <v>1.037037037037037</v>
      </c>
      <c r="G268" s="321">
        <v>8.6999999999999993</v>
      </c>
      <c r="H268" s="321">
        <v>7.5</v>
      </c>
      <c r="I268" s="315">
        <f t="shared" si="18"/>
        <v>244.68749999999997</v>
      </c>
      <c r="J268" s="316">
        <f t="shared" si="21"/>
        <v>1.0513792807115541</v>
      </c>
    </row>
    <row r="269" spans="1:11" s="316" customFormat="1">
      <c r="A269" s="295">
        <v>13</v>
      </c>
      <c r="B269" s="295">
        <f t="shared" si="22"/>
        <v>1</v>
      </c>
      <c r="C269" s="295">
        <v>4.0999999999999996</v>
      </c>
      <c r="D269" s="295" t="s">
        <v>111</v>
      </c>
      <c r="E269" s="295">
        <v>30</v>
      </c>
      <c r="F269" s="316">
        <f t="shared" si="20"/>
        <v>1.0714285714285714</v>
      </c>
      <c r="G269" s="321">
        <v>5</v>
      </c>
      <c r="H269" s="321">
        <v>4.4000000000000004</v>
      </c>
      <c r="I269" s="315">
        <f t="shared" si="18"/>
        <v>48.400000000000006</v>
      </c>
      <c r="J269" s="316">
        <f t="shared" si="21"/>
        <v>1.7959183673469388</v>
      </c>
    </row>
    <row r="270" spans="1:11" s="316" customFormat="1">
      <c r="A270" s="295">
        <v>13</v>
      </c>
      <c r="B270" s="295">
        <f t="shared" si="22"/>
        <v>1</v>
      </c>
      <c r="C270" s="295">
        <v>4.2</v>
      </c>
      <c r="D270" s="295" t="s">
        <v>112</v>
      </c>
      <c r="E270" s="295">
        <v>30</v>
      </c>
      <c r="F270" s="316">
        <f t="shared" si="20"/>
        <v>1.0344827586206897</v>
      </c>
      <c r="G270" s="321">
        <v>8.8000000000000007</v>
      </c>
      <c r="H270" s="321">
        <v>7.1</v>
      </c>
      <c r="I270" s="315">
        <f t="shared" si="18"/>
        <v>221.804</v>
      </c>
      <c r="J270" s="316">
        <f t="shared" si="21"/>
        <v>0.66640227377883543</v>
      </c>
    </row>
    <row r="271" spans="1:11" s="316" customFormat="1">
      <c r="A271" s="295">
        <v>13</v>
      </c>
      <c r="B271" s="295">
        <f t="shared" si="22"/>
        <v>1</v>
      </c>
      <c r="C271" s="295">
        <v>4.3</v>
      </c>
      <c r="D271" s="295" t="s">
        <v>113</v>
      </c>
      <c r="E271" s="295">
        <v>27</v>
      </c>
      <c r="F271" s="316">
        <f t="shared" si="20"/>
        <v>1.0384615384615385</v>
      </c>
      <c r="G271" s="321">
        <v>6.9</v>
      </c>
      <c r="H271" s="321">
        <v>6.2</v>
      </c>
      <c r="I271" s="315">
        <f t="shared" si="18"/>
        <v>132.61800000000002</v>
      </c>
      <c r="J271" s="316">
        <f t="shared" si="21"/>
        <v>0.95227768841911775</v>
      </c>
    </row>
    <row r="272" spans="1:11" s="316" customFormat="1">
      <c r="A272" s="295">
        <v>13</v>
      </c>
      <c r="B272" s="295">
        <f t="shared" si="22"/>
        <v>1</v>
      </c>
      <c r="C272" s="295">
        <v>4.4000000000000004</v>
      </c>
      <c r="D272" s="295" t="s">
        <v>112</v>
      </c>
      <c r="E272" s="295">
        <v>31</v>
      </c>
      <c r="F272" s="316">
        <f t="shared" si="20"/>
        <v>1</v>
      </c>
      <c r="G272" s="321">
        <v>9.4</v>
      </c>
      <c r="H272" s="321">
        <v>6.5</v>
      </c>
      <c r="I272" s="315">
        <f t="shared" si="18"/>
        <v>198.57500000000002</v>
      </c>
      <c r="J272" s="316">
        <f t="shared" si="21"/>
        <v>1.0561797752808988</v>
      </c>
    </row>
    <row r="273" spans="1:11" s="316" customFormat="1">
      <c r="A273" s="295">
        <v>13</v>
      </c>
      <c r="B273" s="295">
        <f t="shared" si="22"/>
        <v>1</v>
      </c>
      <c r="C273" s="295">
        <v>4.5</v>
      </c>
      <c r="D273" s="295" t="s">
        <v>112</v>
      </c>
      <c r="E273" s="295">
        <v>28</v>
      </c>
      <c r="F273" s="316">
        <f t="shared" si="20"/>
        <v>1.037037037037037</v>
      </c>
      <c r="G273" s="321">
        <v>7.6</v>
      </c>
      <c r="H273" s="321">
        <v>7.2</v>
      </c>
      <c r="I273" s="315">
        <f t="shared" si="18"/>
        <v>196.99199999999999</v>
      </c>
      <c r="J273" s="316">
        <f t="shared" si="21"/>
        <v>0.88014368817521371</v>
      </c>
    </row>
    <row r="274" spans="1:11" s="316" customFormat="1">
      <c r="A274" s="295">
        <v>13</v>
      </c>
      <c r="B274" s="295">
        <f t="shared" si="22"/>
        <v>1</v>
      </c>
      <c r="C274" s="295">
        <v>5.0999999999999996</v>
      </c>
      <c r="D274" s="295" t="s">
        <v>113</v>
      </c>
      <c r="E274" s="295">
        <v>24</v>
      </c>
      <c r="F274" s="316">
        <f t="shared" si="20"/>
        <v>1</v>
      </c>
      <c r="G274" s="321">
        <v>7.6</v>
      </c>
      <c r="H274" s="321">
        <v>6.9</v>
      </c>
      <c r="I274" s="315">
        <f t="shared" si="18"/>
        <v>180.91800000000001</v>
      </c>
      <c r="J274" s="316">
        <f t="shared" si="21"/>
        <v>1.0892572233628148</v>
      </c>
    </row>
    <row r="275" spans="1:11" s="316" customFormat="1">
      <c r="A275" s="295">
        <v>13</v>
      </c>
      <c r="B275" s="295">
        <f t="shared" si="22"/>
        <v>1</v>
      </c>
      <c r="C275" s="295">
        <v>5.2</v>
      </c>
      <c r="D275" s="295" t="s">
        <v>114</v>
      </c>
      <c r="E275" s="295">
        <v>29</v>
      </c>
      <c r="F275" s="316">
        <f t="shared" si="20"/>
        <v>1.0740740740740742</v>
      </c>
      <c r="G275" s="321">
        <v>8.6999999999999993</v>
      </c>
      <c r="H275" s="321">
        <v>8.4</v>
      </c>
      <c r="I275" s="315">
        <f t="shared" si="18"/>
        <v>306.93599999999998</v>
      </c>
      <c r="J275" s="316">
        <f t="shared" si="21"/>
        <v>1.8542844715093523</v>
      </c>
    </row>
    <row r="276" spans="1:11">
      <c r="A276" s="295">
        <v>13</v>
      </c>
      <c r="B276" s="295">
        <f t="shared" si="22"/>
        <v>1</v>
      </c>
      <c r="C276" s="295">
        <v>5.3</v>
      </c>
      <c r="D276" s="295" t="s">
        <v>112</v>
      </c>
      <c r="E276" s="295">
        <v>30</v>
      </c>
      <c r="F276" s="316">
        <f t="shared" si="20"/>
        <v>1.0714285714285714</v>
      </c>
      <c r="G276" s="321">
        <v>7.2</v>
      </c>
      <c r="H276" s="321">
        <v>6.3</v>
      </c>
      <c r="I276" s="315">
        <f t="shared" si="18"/>
        <v>142.88399999999999</v>
      </c>
      <c r="J276" s="316">
        <f t="shared" si="21"/>
        <v>0.60218479745106968</v>
      </c>
    </row>
    <row r="277" spans="1:11">
      <c r="A277" s="295">
        <v>13</v>
      </c>
      <c r="B277" s="295">
        <f t="shared" si="22"/>
        <v>1</v>
      </c>
      <c r="C277" s="295">
        <v>5.4</v>
      </c>
      <c r="D277" s="295" t="s">
        <v>113</v>
      </c>
      <c r="E277" s="295">
        <v>26</v>
      </c>
      <c r="F277" s="316">
        <f t="shared" si="20"/>
        <v>1</v>
      </c>
      <c r="G277" s="321">
        <v>7.2</v>
      </c>
      <c r="H277" s="321">
        <v>6.6</v>
      </c>
      <c r="I277" s="315">
        <f t="shared" si="18"/>
        <v>156.81599999999997</v>
      </c>
      <c r="J277" s="316">
        <f t="shared" si="21"/>
        <v>0.87680178920883411</v>
      </c>
    </row>
    <row r="278" spans="1:11">
      <c r="A278" s="295">
        <v>13</v>
      </c>
      <c r="B278" s="295">
        <f t="shared" si="22"/>
        <v>1</v>
      </c>
      <c r="C278" s="295">
        <v>5.5</v>
      </c>
      <c r="D278" s="295" t="s">
        <v>114</v>
      </c>
      <c r="E278" s="295">
        <v>23</v>
      </c>
      <c r="F278" s="316">
        <f t="shared" si="20"/>
        <v>1.0454545454545454</v>
      </c>
      <c r="G278" s="321">
        <v>6.9</v>
      </c>
      <c r="H278" s="321">
        <v>5.5</v>
      </c>
      <c r="I278" s="315">
        <f t="shared" ref="I278:I341" si="23">G278*(H278^2)*0.5</f>
        <v>104.36250000000001</v>
      </c>
      <c r="J278" s="316">
        <f t="shared" si="21"/>
        <v>1.0373799725651576</v>
      </c>
    </row>
    <row r="279" spans="1:11">
      <c r="A279" s="295">
        <v>13</v>
      </c>
      <c r="B279" s="295">
        <f t="shared" si="22"/>
        <v>1</v>
      </c>
      <c r="C279" s="295">
        <v>6.1</v>
      </c>
      <c r="D279" s="295" t="s">
        <v>115</v>
      </c>
      <c r="E279" s="295">
        <v>26</v>
      </c>
      <c r="F279" s="316">
        <f t="shared" si="20"/>
        <v>1.04</v>
      </c>
      <c r="G279" s="321">
        <v>8.6</v>
      </c>
      <c r="H279" s="321">
        <v>7.9</v>
      </c>
      <c r="I279" s="315">
        <f t="shared" si="23"/>
        <v>268.363</v>
      </c>
      <c r="J279" s="316">
        <f t="shared" si="21"/>
        <v>1.9946707298944548</v>
      </c>
    </row>
    <row r="280" spans="1:11">
      <c r="A280" s="295">
        <v>13</v>
      </c>
      <c r="B280" s="295">
        <f t="shared" si="22"/>
        <v>1</v>
      </c>
      <c r="C280" s="295">
        <v>6.2</v>
      </c>
      <c r="D280" s="295" t="s">
        <v>115</v>
      </c>
      <c r="E280" s="295">
        <v>27</v>
      </c>
      <c r="F280" s="316">
        <f t="shared" si="20"/>
        <v>1</v>
      </c>
      <c r="G280" s="321">
        <v>7.5</v>
      </c>
      <c r="H280" s="321">
        <v>6.2</v>
      </c>
      <c r="I280" s="315">
        <f t="shared" si="23"/>
        <v>144.15</v>
      </c>
      <c r="J280" s="316">
        <f t="shared" si="21"/>
        <v>1.1564055562017916</v>
      </c>
    </row>
    <row r="281" spans="1:11">
      <c r="A281" s="295">
        <v>13</v>
      </c>
      <c r="B281" s="295">
        <f t="shared" si="22"/>
        <v>1</v>
      </c>
      <c r="C281" s="295">
        <v>6.3</v>
      </c>
      <c r="D281" s="295" t="s">
        <v>114</v>
      </c>
      <c r="E281" s="295">
        <v>25</v>
      </c>
      <c r="F281" s="316">
        <f t="shared" si="20"/>
        <v>1.0416666666666667</v>
      </c>
      <c r="G281" s="321">
        <v>7.8</v>
      </c>
      <c r="H281" s="321">
        <v>5.6</v>
      </c>
      <c r="I281" s="315">
        <f t="shared" si="23"/>
        <v>122.30399999999999</v>
      </c>
      <c r="J281" s="316">
        <f t="shared" si="21"/>
        <v>0.81329152854573183</v>
      </c>
    </row>
    <row r="282" spans="1:11">
      <c r="A282" s="295">
        <v>13</v>
      </c>
      <c r="B282" s="295">
        <f t="shared" si="22"/>
        <v>1</v>
      </c>
      <c r="C282" s="295">
        <v>6.4</v>
      </c>
      <c r="D282" s="295" t="s">
        <v>112</v>
      </c>
      <c r="E282" s="295">
        <v>29</v>
      </c>
      <c r="F282" s="316">
        <f t="shared" si="20"/>
        <v>1</v>
      </c>
      <c r="G282" s="321">
        <v>4.7</v>
      </c>
      <c r="H282" s="321">
        <v>4.5</v>
      </c>
      <c r="I282" s="315">
        <f t="shared" si="23"/>
        <v>47.587499999999999</v>
      </c>
      <c r="J282" s="316">
        <f t="shared" si="21"/>
        <v>0.81934400826446263</v>
      </c>
    </row>
    <row r="283" spans="1:11">
      <c r="A283" s="295">
        <v>13</v>
      </c>
      <c r="B283" s="295">
        <f t="shared" si="22"/>
        <v>1</v>
      </c>
      <c r="C283" s="295">
        <v>6.5</v>
      </c>
      <c r="D283" s="295" t="s">
        <v>113</v>
      </c>
      <c r="E283" s="295">
        <v>23</v>
      </c>
      <c r="F283" s="316">
        <f t="shared" si="20"/>
        <v>0.95833333333333337</v>
      </c>
      <c r="G283" s="321">
        <v>7</v>
      </c>
      <c r="H283" s="321">
        <v>6.1</v>
      </c>
      <c r="I283" s="315">
        <f t="shared" si="23"/>
        <v>130.23499999999999</v>
      </c>
      <c r="J283" s="316">
        <f t="shared" si="21"/>
        <v>2.5725432098765428</v>
      </c>
      <c r="K283" s="316" t="s">
        <v>135</v>
      </c>
    </row>
    <row r="284" spans="1:11">
      <c r="A284" s="295">
        <v>13</v>
      </c>
      <c r="B284" s="295">
        <f t="shared" si="22"/>
        <v>1</v>
      </c>
      <c r="C284" s="295">
        <v>7.1</v>
      </c>
      <c r="D284" s="295" t="s">
        <v>114</v>
      </c>
      <c r="E284" s="295">
        <v>29</v>
      </c>
      <c r="F284" s="316">
        <f t="shared" si="20"/>
        <v>1.0740740740740742</v>
      </c>
      <c r="G284" s="321">
        <v>7.2</v>
      </c>
      <c r="H284" s="321">
        <v>6.7</v>
      </c>
      <c r="I284" s="315">
        <f t="shared" si="23"/>
        <v>161.60400000000001</v>
      </c>
      <c r="J284" s="316">
        <f t="shared" si="21"/>
        <v>1.1970666666666667</v>
      </c>
    </row>
    <row r="285" spans="1:11">
      <c r="A285" s="295">
        <v>13</v>
      </c>
      <c r="B285" s="295">
        <f t="shared" si="22"/>
        <v>1</v>
      </c>
      <c r="C285" s="295">
        <v>7.2</v>
      </c>
      <c r="D285" s="295" t="s">
        <v>111</v>
      </c>
      <c r="E285" s="295">
        <v>30</v>
      </c>
      <c r="F285" s="316">
        <f t="shared" si="20"/>
        <v>1.0344827586206897</v>
      </c>
      <c r="G285" s="321">
        <v>4.3</v>
      </c>
      <c r="H285" s="321">
        <v>3.2</v>
      </c>
      <c r="I285" s="315">
        <f t="shared" si="23"/>
        <v>22.016000000000002</v>
      </c>
      <c r="J285" s="316">
        <f t="shared" si="21"/>
        <v>1.4543532831285508</v>
      </c>
    </row>
    <row r="286" spans="1:11">
      <c r="A286" s="295">
        <v>13</v>
      </c>
      <c r="B286" s="295">
        <f t="shared" si="22"/>
        <v>1</v>
      </c>
      <c r="C286" s="295">
        <v>7.3</v>
      </c>
      <c r="D286" s="295" t="s">
        <v>113</v>
      </c>
      <c r="E286" s="295">
        <v>28</v>
      </c>
      <c r="F286" s="316">
        <f t="shared" si="20"/>
        <v>1.037037037037037</v>
      </c>
      <c r="G286" s="321">
        <v>6.9</v>
      </c>
      <c r="H286" s="321">
        <v>5.8</v>
      </c>
      <c r="I286" s="315">
        <f t="shared" si="23"/>
        <v>116.05800000000001</v>
      </c>
      <c r="J286" s="316">
        <f t="shared" si="21"/>
        <v>0.81225329638028065</v>
      </c>
    </row>
    <row r="287" spans="1:11">
      <c r="A287" s="295">
        <v>13</v>
      </c>
      <c r="B287" s="295">
        <f t="shared" si="22"/>
        <v>1</v>
      </c>
      <c r="C287" s="295">
        <v>7.4</v>
      </c>
      <c r="D287" s="295" t="s">
        <v>115</v>
      </c>
      <c r="E287" s="295">
        <v>28</v>
      </c>
      <c r="F287" s="316">
        <f t="shared" si="20"/>
        <v>1.037037037037037</v>
      </c>
      <c r="G287" s="321">
        <v>6.4</v>
      </c>
      <c r="H287" s="321">
        <v>6</v>
      </c>
      <c r="I287" s="315">
        <f t="shared" si="23"/>
        <v>115.2</v>
      </c>
      <c r="J287" s="316">
        <f t="shared" si="21"/>
        <v>0.9733511330415533</v>
      </c>
    </row>
    <row r="288" spans="1:11">
      <c r="A288" s="295">
        <v>13</v>
      </c>
      <c r="B288" s="295">
        <f t="shared" si="22"/>
        <v>1</v>
      </c>
      <c r="C288" s="295">
        <v>7.5</v>
      </c>
      <c r="D288" s="295" t="s">
        <v>111</v>
      </c>
      <c r="E288" s="295">
        <v>29</v>
      </c>
      <c r="F288" s="316">
        <f t="shared" si="20"/>
        <v>1</v>
      </c>
      <c r="G288" s="321">
        <v>5.8</v>
      </c>
      <c r="H288" s="321">
        <v>5.5</v>
      </c>
      <c r="I288" s="315">
        <f t="shared" si="23"/>
        <v>87.724999999999994</v>
      </c>
      <c r="J288" s="316">
        <f t="shared" si="21"/>
        <v>1.4183049860958414</v>
      </c>
    </row>
    <row r="289" spans="1:11">
      <c r="A289" s="295">
        <v>14</v>
      </c>
      <c r="B289" s="295">
        <f t="shared" si="22"/>
        <v>2</v>
      </c>
      <c r="C289" s="295">
        <v>1.1000000000000001</v>
      </c>
      <c r="D289" s="295" t="s">
        <v>112</v>
      </c>
      <c r="E289" s="295">
        <v>29</v>
      </c>
      <c r="F289" s="316">
        <f t="shared" si="20"/>
        <v>1.0357142857142858</v>
      </c>
      <c r="G289" s="321">
        <v>8.1</v>
      </c>
      <c r="H289" s="321">
        <v>8</v>
      </c>
      <c r="I289" s="315">
        <f t="shared" si="23"/>
        <v>259.2</v>
      </c>
      <c r="J289" s="316">
        <f t="shared" si="21"/>
        <v>1.150649904112508</v>
      </c>
    </row>
    <row r="290" spans="1:11">
      <c r="A290" s="295">
        <v>14</v>
      </c>
      <c r="B290" s="295">
        <f t="shared" si="22"/>
        <v>2</v>
      </c>
      <c r="C290" s="295">
        <v>1.2</v>
      </c>
      <c r="D290" s="295" t="s">
        <v>113</v>
      </c>
      <c r="E290" s="295">
        <v>28</v>
      </c>
      <c r="F290" s="316">
        <f t="shared" si="20"/>
        <v>1.037037037037037</v>
      </c>
      <c r="G290" s="321">
        <v>8.3000000000000007</v>
      </c>
      <c r="H290" s="321">
        <v>7.7</v>
      </c>
      <c r="I290" s="315">
        <f t="shared" si="23"/>
        <v>246.05350000000004</v>
      </c>
      <c r="J290" s="316">
        <f t="shared" si="21"/>
        <v>1.1761555246974809</v>
      </c>
    </row>
    <row r="291" spans="1:11">
      <c r="A291" s="295">
        <v>14</v>
      </c>
      <c r="B291" s="295">
        <f t="shared" si="22"/>
        <v>2</v>
      </c>
      <c r="C291" s="295">
        <v>1.3</v>
      </c>
      <c r="D291" s="295" t="s">
        <v>115</v>
      </c>
      <c r="E291" s="295">
        <v>25</v>
      </c>
      <c r="F291" s="316">
        <f t="shared" si="20"/>
        <v>1.0416666666666667</v>
      </c>
      <c r="G291" s="321">
        <v>7.8</v>
      </c>
      <c r="H291" s="321">
        <v>5.8</v>
      </c>
      <c r="I291" s="315">
        <f t="shared" si="23"/>
        <v>131.196</v>
      </c>
      <c r="J291" s="316">
        <f t="shared" si="21"/>
        <v>1.3232873396272089</v>
      </c>
    </row>
    <row r="292" spans="1:11">
      <c r="A292" s="295">
        <v>14</v>
      </c>
      <c r="B292" s="295">
        <f t="shared" si="22"/>
        <v>2</v>
      </c>
      <c r="C292" s="295">
        <v>1.4</v>
      </c>
      <c r="D292" s="295" t="s">
        <v>115</v>
      </c>
      <c r="F292" s="316" t="str">
        <f t="shared" si="20"/>
        <v/>
      </c>
      <c r="G292" s="321">
        <v>7.2</v>
      </c>
      <c r="H292" s="321">
        <v>5.5</v>
      </c>
      <c r="I292" s="315">
        <f t="shared" si="23"/>
        <v>108.9</v>
      </c>
      <c r="J292" s="316">
        <f t="shared" si="21"/>
        <v>0.60007934933544937</v>
      </c>
      <c r="K292" s="316" t="s">
        <v>136</v>
      </c>
    </row>
    <row r="293" spans="1:11">
      <c r="A293" s="295">
        <v>14</v>
      </c>
      <c r="B293" s="295">
        <f t="shared" si="22"/>
        <v>2</v>
      </c>
      <c r="C293" s="295">
        <v>1.5</v>
      </c>
      <c r="D293" s="295" t="s">
        <v>112</v>
      </c>
      <c r="E293" s="295">
        <v>28</v>
      </c>
      <c r="F293" s="316">
        <f t="shared" si="20"/>
        <v>1</v>
      </c>
      <c r="G293" s="321">
        <v>7.9</v>
      </c>
      <c r="H293" s="321">
        <v>7.4</v>
      </c>
      <c r="I293" s="315">
        <f t="shared" si="23"/>
        <v>216.30200000000002</v>
      </c>
      <c r="J293" s="316">
        <f t="shared" si="21"/>
        <v>1.5531795726102942</v>
      </c>
    </row>
    <row r="294" spans="1:11">
      <c r="A294" s="295">
        <v>14</v>
      </c>
      <c r="B294" s="295">
        <f t="shared" si="22"/>
        <v>2</v>
      </c>
      <c r="C294" s="295">
        <v>2.1</v>
      </c>
      <c r="D294" s="295" t="s">
        <v>114</v>
      </c>
      <c r="E294" s="295">
        <v>28</v>
      </c>
      <c r="F294" s="316">
        <f t="shared" si="20"/>
        <v>1.0769230769230769</v>
      </c>
      <c r="G294" s="321">
        <v>7.7</v>
      </c>
      <c r="H294" s="321">
        <v>7.5</v>
      </c>
      <c r="I294" s="315">
        <f t="shared" si="23"/>
        <v>216.5625</v>
      </c>
      <c r="J294" s="316">
        <f t="shared" si="21"/>
        <v>1.151563733818286</v>
      </c>
    </row>
    <row r="295" spans="1:11">
      <c r="A295" s="295">
        <v>14</v>
      </c>
      <c r="B295" s="295">
        <f t="shared" si="22"/>
        <v>2</v>
      </c>
      <c r="C295" s="295">
        <v>2.2000000000000002</v>
      </c>
      <c r="D295" s="295" t="s">
        <v>115</v>
      </c>
      <c r="E295" s="295">
        <v>28</v>
      </c>
      <c r="F295" s="316">
        <f t="shared" si="20"/>
        <v>1</v>
      </c>
      <c r="G295" s="321">
        <v>5.7</v>
      </c>
      <c r="H295" s="321">
        <v>5.3</v>
      </c>
      <c r="I295" s="315">
        <f t="shared" si="23"/>
        <v>80.0565</v>
      </c>
      <c r="J295" s="316">
        <f t="shared" si="21"/>
        <v>0.91258478198917081</v>
      </c>
    </row>
    <row r="296" spans="1:11">
      <c r="A296" s="295">
        <v>14</v>
      </c>
      <c r="B296" s="295">
        <f t="shared" si="22"/>
        <v>2</v>
      </c>
      <c r="C296" s="295">
        <v>2.2999999999999998</v>
      </c>
      <c r="D296" s="295" t="s">
        <v>112</v>
      </c>
      <c r="E296" s="295">
        <v>26</v>
      </c>
      <c r="F296" s="316">
        <f t="shared" si="20"/>
        <v>1.04</v>
      </c>
      <c r="G296" s="321">
        <v>8.8000000000000007</v>
      </c>
      <c r="H296" s="321">
        <v>7.9</v>
      </c>
      <c r="I296" s="315">
        <f t="shared" si="23"/>
        <v>274.60400000000004</v>
      </c>
      <c r="J296" s="316">
        <f t="shared" si="21"/>
        <v>1.6533147092291669</v>
      </c>
    </row>
    <row r="297" spans="1:11">
      <c r="A297" s="295">
        <v>14</v>
      </c>
      <c r="B297" s="295">
        <f t="shared" si="22"/>
        <v>2</v>
      </c>
      <c r="C297" s="295">
        <v>2.4</v>
      </c>
      <c r="D297" s="295" t="s">
        <v>114</v>
      </c>
      <c r="E297" s="295">
        <v>26</v>
      </c>
      <c r="F297" s="316">
        <f t="shared" si="20"/>
        <v>1.04</v>
      </c>
      <c r="G297" s="321">
        <v>7</v>
      </c>
      <c r="H297" s="321">
        <v>5.4</v>
      </c>
      <c r="I297" s="315">
        <f t="shared" si="23"/>
        <v>102.06000000000002</v>
      </c>
      <c r="J297" s="316">
        <f t="shared" si="21"/>
        <v>0.94939534883720944</v>
      </c>
    </row>
    <row r="298" spans="1:11">
      <c r="A298" s="295">
        <v>14</v>
      </c>
      <c r="B298" s="295">
        <f t="shared" si="22"/>
        <v>2</v>
      </c>
      <c r="C298" s="295">
        <v>2.5</v>
      </c>
      <c r="D298" s="295" t="s">
        <v>113</v>
      </c>
      <c r="E298" s="295">
        <v>27</v>
      </c>
      <c r="F298" s="316">
        <f t="shared" si="20"/>
        <v>1</v>
      </c>
      <c r="G298" s="321">
        <v>7.7</v>
      </c>
      <c r="H298" s="321">
        <v>7.7</v>
      </c>
      <c r="I298" s="315">
        <f t="shared" si="23"/>
        <v>228.26650000000004</v>
      </c>
      <c r="J298" s="316">
        <f t="shared" si="21"/>
        <v>1.3381628776775982</v>
      </c>
    </row>
    <row r="299" spans="1:11">
      <c r="A299" s="295">
        <v>14</v>
      </c>
      <c r="B299" s="295">
        <f t="shared" si="22"/>
        <v>2</v>
      </c>
      <c r="C299" s="295">
        <v>3.1</v>
      </c>
      <c r="D299" s="295" t="s">
        <v>115</v>
      </c>
      <c r="E299" s="295">
        <v>25</v>
      </c>
      <c r="F299" s="316">
        <f t="shared" si="20"/>
        <v>1.0416666666666667</v>
      </c>
      <c r="G299" s="321">
        <v>8.9</v>
      </c>
      <c r="H299" s="321">
        <v>6.8</v>
      </c>
      <c r="I299" s="315">
        <f t="shared" si="23"/>
        <v>205.76799999999997</v>
      </c>
      <c r="J299" s="316">
        <f t="shared" si="21"/>
        <v>1.1326159350488509</v>
      </c>
    </row>
    <row r="300" spans="1:11">
      <c r="A300" s="295">
        <v>14</v>
      </c>
      <c r="B300" s="295">
        <f t="shared" si="22"/>
        <v>2</v>
      </c>
      <c r="C300" s="295">
        <v>3.2</v>
      </c>
      <c r="D300" s="295" t="s">
        <v>113</v>
      </c>
      <c r="E300" s="295">
        <v>31</v>
      </c>
      <c r="F300" s="316">
        <f t="shared" si="20"/>
        <v>1.0333333333333334</v>
      </c>
      <c r="G300" s="321">
        <v>9.4</v>
      </c>
      <c r="H300" s="321">
        <v>6.9</v>
      </c>
      <c r="I300" s="315">
        <f t="shared" si="23"/>
        <v>223.76700000000005</v>
      </c>
      <c r="J300" s="316">
        <f t="shared" si="21"/>
        <v>1.1660847542418813</v>
      </c>
    </row>
    <row r="301" spans="1:11">
      <c r="A301" s="295">
        <v>14</v>
      </c>
      <c r="B301" s="295">
        <f t="shared" si="22"/>
        <v>2</v>
      </c>
      <c r="C301" s="295">
        <v>3.3</v>
      </c>
      <c r="D301" s="295" t="s">
        <v>114</v>
      </c>
      <c r="E301" s="295">
        <v>26</v>
      </c>
      <c r="F301" s="316">
        <f t="shared" si="20"/>
        <v>1.04</v>
      </c>
      <c r="G301" s="321">
        <v>8.4</v>
      </c>
      <c r="H301" s="321">
        <v>8.1</v>
      </c>
      <c r="I301" s="315">
        <f t="shared" si="23"/>
        <v>275.56200000000001</v>
      </c>
      <c r="J301" s="316">
        <f t="shared" si="21"/>
        <v>1.3389795918367347</v>
      </c>
    </row>
    <row r="302" spans="1:11">
      <c r="A302" s="295">
        <v>14</v>
      </c>
      <c r="B302" s="295">
        <f t="shared" si="22"/>
        <v>2</v>
      </c>
      <c r="C302" s="295">
        <v>3.4</v>
      </c>
      <c r="D302" s="295" t="s">
        <v>114</v>
      </c>
      <c r="E302" s="295">
        <v>26</v>
      </c>
      <c r="F302" s="316">
        <f t="shared" si="20"/>
        <v>1.04</v>
      </c>
      <c r="G302" s="321">
        <v>10.4</v>
      </c>
      <c r="H302" s="321">
        <v>7.3</v>
      </c>
      <c r="I302" s="315">
        <f t="shared" si="23"/>
        <v>277.108</v>
      </c>
      <c r="J302" s="316">
        <f t="shared" si="21"/>
        <v>1.1818181818181817</v>
      </c>
    </row>
    <row r="303" spans="1:11">
      <c r="A303" s="295">
        <v>14</v>
      </c>
      <c r="B303" s="295">
        <f t="shared" si="22"/>
        <v>2</v>
      </c>
      <c r="C303" s="295">
        <v>3.5</v>
      </c>
      <c r="D303" s="295" t="s">
        <v>115</v>
      </c>
      <c r="E303" s="295">
        <v>28</v>
      </c>
      <c r="F303" s="316">
        <f t="shared" si="20"/>
        <v>1.037037037037037</v>
      </c>
      <c r="G303" s="321">
        <v>8.6999999999999993</v>
      </c>
      <c r="H303" s="321">
        <v>8.1999999999999993</v>
      </c>
      <c r="I303" s="315">
        <f t="shared" si="23"/>
        <v>292.49399999999997</v>
      </c>
      <c r="J303" s="316">
        <f t="shared" si="21"/>
        <v>1.2567954281785758</v>
      </c>
    </row>
    <row r="304" spans="1:11">
      <c r="A304" s="295">
        <v>14</v>
      </c>
      <c r="B304" s="295">
        <f t="shared" si="22"/>
        <v>2</v>
      </c>
      <c r="C304" s="295">
        <v>4.0999999999999996</v>
      </c>
      <c r="D304" s="295" t="s">
        <v>111</v>
      </c>
      <c r="E304" s="295">
        <v>30</v>
      </c>
      <c r="F304" s="316">
        <f t="shared" si="20"/>
        <v>1.0714285714285714</v>
      </c>
      <c r="G304" s="321">
        <v>7.7</v>
      </c>
      <c r="H304" s="321">
        <v>7.2</v>
      </c>
      <c r="I304" s="315">
        <f t="shared" si="23"/>
        <v>199.58400000000003</v>
      </c>
      <c r="J304" s="316">
        <f t="shared" si="21"/>
        <v>7.4057142857142857</v>
      </c>
    </row>
    <row r="305" spans="1:11">
      <c r="A305" s="295">
        <v>14</v>
      </c>
      <c r="B305" s="295">
        <f t="shared" si="22"/>
        <v>2</v>
      </c>
      <c r="C305" s="295">
        <v>4.2</v>
      </c>
      <c r="D305" s="295" t="s">
        <v>112</v>
      </c>
      <c r="E305" s="295">
        <v>30</v>
      </c>
      <c r="F305" s="316">
        <f t="shared" si="20"/>
        <v>1.0344827586206897</v>
      </c>
      <c r="G305" s="321">
        <v>11.6</v>
      </c>
      <c r="H305" s="321">
        <v>8.3000000000000007</v>
      </c>
      <c r="I305" s="315">
        <f t="shared" si="23"/>
        <v>399.56200000000007</v>
      </c>
      <c r="J305" s="316">
        <f t="shared" si="21"/>
        <v>1.2004698982688278</v>
      </c>
    </row>
    <row r="306" spans="1:11">
      <c r="A306" s="295">
        <v>14</v>
      </c>
      <c r="B306" s="295">
        <f t="shared" si="22"/>
        <v>2</v>
      </c>
      <c r="C306" s="295">
        <v>4.3</v>
      </c>
      <c r="D306" s="295" t="s">
        <v>113</v>
      </c>
      <c r="E306" s="295">
        <v>26</v>
      </c>
      <c r="F306" s="316">
        <f t="shared" si="20"/>
        <v>1</v>
      </c>
      <c r="G306" s="321">
        <v>7</v>
      </c>
      <c r="H306" s="321">
        <v>6.6</v>
      </c>
      <c r="I306" s="315">
        <f t="shared" si="23"/>
        <v>152.45999999999998</v>
      </c>
      <c r="J306" s="316">
        <f t="shared" si="21"/>
        <v>1.0947552849264703</v>
      </c>
    </row>
    <row r="307" spans="1:11">
      <c r="A307" s="295">
        <v>14</v>
      </c>
      <c r="B307" s="295">
        <f t="shared" si="22"/>
        <v>2</v>
      </c>
      <c r="C307" s="295">
        <v>4.4000000000000004</v>
      </c>
      <c r="D307" s="295" t="s">
        <v>112</v>
      </c>
      <c r="E307" s="295">
        <v>32</v>
      </c>
      <c r="F307" s="316">
        <f t="shared" si="20"/>
        <v>1.032258064516129</v>
      </c>
      <c r="G307" s="321">
        <v>10.199999999999999</v>
      </c>
      <c r="H307" s="321">
        <v>5.7</v>
      </c>
      <c r="I307" s="315">
        <f t="shared" si="23"/>
        <v>165.69900000000001</v>
      </c>
      <c r="J307" s="316">
        <f t="shared" si="21"/>
        <v>0.88131906123263082</v>
      </c>
    </row>
    <row r="308" spans="1:11">
      <c r="A308" s="295">
        <v>14</v>
      </c>
      <c r="B308" s="295">
        <f t="shared" si="22"/>
        <v>2</v>
      </c>
      <c r="C308" s="295">
        <v>4.5</v>
      </c>
      <c r="D308" s="295" t="s">
        <v>112</v>
      </c>
      <c r="E308" s="295">
        <v>28</v>
      </c>
      <c r="F308" s="316">
        <f t="shared" si="20"/>
        <v>1.037037037037037</v>
      </c>
      <c r="G308" s="321">
        <v>8</v>
      </c>
      <c r="H308" s="321">
        <v>7.5</v>
      </c>
      <c r="I308" s="315">
        <f t="shared" si="23"/>
        <v>225</v>
      </c>
      <c r="J308" s="316">
        <f t="shared" si="21"/>
        <v>1.0052810765890143</v>
      </c>
    </row>
    <row r="309" spans="1:11">
      <c r="A309" s="295">
        <v>14</v>
      </c>
      <c r="B309" s="295">
        <f t="shared" si="22"/>
        <v>2</v>
      </c>
      <c r="C309" s="295">
        <v>5.0999999999999996</v>
      </c>
      <c r="D309" s="295" t="s">
        <v>113</v>
      </c>
      <c r="E309" s="295">
        <v>25</v>
      </c>
      <c r="F309" s="316">
        <f t="shared" si="20"/>
        <v>1.0416666666666667</v>
      </c>
      <c r="G309" s="321">
        <v>8.3000000000000007</v>
      </c>
      <c r="H309" s="321">
        <v>6.8</v>
      </c>
      <c r="I309" s="315">
        <f t="shared" si="23"/>
        <v>191.89599999999999</v>
      </c>
      <c r="J309" s="316">
        <f t="shared" si="21"/>
        <v>1.1553527240762702</v>
      </c>
    </row>
    <row r="310" spans="1:11">
      <c r="A310" s="295">
        <v>14</v>
      </c>
      <c r="B310" s="295">
        <f t="shared" si="22"/>
        <v>2</v>
      </c>
      <c r="C310" s="295">
        <v>5.2</v>
      </c>
      <c r="D310" s="295" t="s">
        <v>114</v>
      </c>
      <c r="E310" s="295">
        <v>29</v>
      </c>
      <c r="F310" s="316">
        <f t="shared" si="20"/>
        <v>1.0740740740740742</v>
      </c>
      <c r="G310" s="321">
        <v>10.6</v>
      </c>
      <c r="H310" s="321">
        <v>7.7</v>
      </c>
      <c r="I310" s="315">
        <f t="shared" si="23"/>
        <v>314.23700000000002</v>
      </c>
      <c r="J310" s="316">
        <f t="shared" si="21"/>
        <v>1.8983918128654977</v>
      </c>
    </row>
    <row r="311" spans="1:11">
      <c r="A311" s="295">
        <v>14</v>
      </c>
      <c r="B311" s="295">
        <f t="shared" si="22"/>
        <v>2</v>
      </c>
      <c r="C311" s="295">
        <v>5.3</v>
      </c>
      <c r="D311" s="295" t="s">
        <v>112</v>
      </c>
      <c r="E311" s="295">
        <v>30</v>
      </c>
      <c r="F311" s="316">
        <f t="shared" si="20"/>
        <v>1.0714285714285714</v>
      </c>
      <c r="G311" s="321">
        <v>9.9</v>
      </c>
      <c r="H311" s="321">
        <v>6.7</v>
      </c>
      <c r="I311" s="315">
        <f t="shared" si="23"/>
        <v>222.2055</v>
      </c>
      <c r="J311" s="316">
        <f t="shared" si="21"/>
        <v>0.93648535882263695</v>
      </c>
    </row>
    <row r="312" spans="1:11">
      <c r="A312" s="295">
        <v>14</v>
      </c>
      <c r="B312" s="295">
        <f t="shared" si="22"/>
        <v>2</v>
      </c>
      <c r="C312" s="295">
        <v>5.4</v>
      </c>
      <c r="D312" s="295" t="s">
        <v>113</v>
      </c>
      <c r="E312" s="295">
        <v>26</v>
      </c>
      <c r="F312" s="316">
        <f t="shared" si="20"/>
        <v>1</v>
      </c>
      <c r="G312" s="321">
        <v>9.1999999999999993</v>
      </c>
      <c r="H312" s="321">
        <v>7</v>
      </c>
      <c r="I312" s="315">
        <f t="shared" si="23"/>
        <v>225.39999999999998</v>
      </c>
      <c r="J312" s="316">
        <f t="shared" si="21"/>
        <v>1.2602739726027397</v>
      </c>
    </row>
    <row r="313" spans="1:11">
      <c r="A313" s="295">
        <v>14</v>
      </c>
      <c r="B313" s="295">
        <f t="shared" si="22"/>
        <v>2</v>
      </c>
      <c r="C313" s="295">
        <v>5.5</v>
      </c>
      <c r="D313" s="295" t="s">
        <v>114</v>
      </c>
      <c r="E313" s="295">
        <v>23</v>
      </c>
      <c r="F313" s="316">
        <f t="shared" si="20"/>
        <v>1.0454545454545454</v>
      </c>
      <c r="G313" s="321">
        <v>7.7</v>
      </c>
      <c r="H313" s="321">
        <v>6.9</v>
      </c>
      <c r="I313" s="315">
        <f t="shared" si="23"/>
        <v>183.29850000000002</v>
      </c>
      <c r="J313" s="316">
        <f t="shared" si="21"/>
        <v>1.8220164609053497</v>
      </c>
    </row>
    <row r="314" spans="1:11">
      <c r="A314" s="295">
        <v>14</v>
      </c>
      <c r="B314" s="295">
        <f t="shared" si="22"/>
        <v>2</v>
      </c>
      <c r="C314" s="295">
        <v>6.1</v>
      </c>
      <c r="D314" s="295" t="s">
        <v>115</v>
      </c>
      <c r="E314" s="295">
        <v>26</v>
      </c>
      <c r="F314" s="316">
        <f t="shared" si="20"/>
        <v>1.04</v>
      </c>
      <c r="G314" s="321">
        <v>8.1</v>
      </c>
      <c r="H314" s="321">
        <v>7</v>
      </c>
      <c r="I314" s="315">
        <f t="shared" si="23"/>
        <v>198.45</v>
      </c>
      <c r="J314" s="316">
        <f t="shared" si="21"/>
        <v>1.475026014568158</v>
      </c>
    </row>
    <row r="315" spans="1:11">
      <c r="A315" s="295">
        <v>14</v>
      </c>
      <c r="B315" s="295">
        <f t="shared" si="22"/>
        <v>2</v>
      </c>
      <c r="C315" s="295">
        <v>6.2</v>
      </c>
      <c r="D315" s="295" t="s">
        <v>115</v>
      </c>
      <c r="E315" s="295">
        <v>27</v>
      </c>
      <c r="F315" s="316">
        <f t="shared" si="20"/>
        <v>1</v>
      </c>
      <c r="G315" s="321">
        <v>8.6999999999999993</v>
      </c>
      <c r="H315" s="321">
        <v>8.3000000000000007</v>
      </c>
      <c r="I315" s="315">
        <f t="shared" si="23"/>
        <v>299.67150000000004</v>
      </c>
      <c r="J315" s="316">
        <f t="shared" si="21"/>
        <v>2.4040359877580659</v>
      </c>
    </row>
    <row r="316" spans="1:11">
      <c r="A316" s="295">
        <v>14</v>
      </c>
      <c r="B316" s="295">
        <f t="shared" si="22"/>
        <v>2</v>
      </c>
      <c r="C316" s="295">
        <v>6.3</v>
      </c>
      <c r="D316" s="295" t="s">
        <v>114</v>
      </c>
      <c r="E316" s="295">
        <v>25</v>
      </c>
      <c r="F316" s="316">
        <f t="shared" si="20"/>
        <v>1.0416666666666667</v>
      </c>
      <c r="G316" s="321">
        <v>8.6999999999999993</v>
      </c>
      <c r="H316" s="321">
        <v>7.4</v>
      </c>
      <c r="I316" s="315">
        <f t="shared" si="23"/>
        <v>238.20599999999999</v>
      </c>
      <c r="J316" s="316">
        <f t="shared" si="21"/>
        <v>1.5840113311810293</v>
      </c>
    </row>
    <row r="317" spans="1:11">
      <c r="A317" s="295">
        <v>14</v>
      </c>
      <c r="B317" s="295">
        <f t="shared" si="22"/>
        <v>2</v>
      </c>
      <c r="C317" s="295">
        <v>6.4</v>
      </c>
      <c r="D317" s="295" t="s">
        <v>112</v>
      </c>
      <c r="E317" s="295">
        <v>30</v>
      </c>
      <c r="F317" s="316">
        <f t="shared" si="20"/>
        <v>1.0344827586206897</v>
      </c>
      <c r="G317" s="321">
        <v>7.2</v>
      </c>
      <c r="H317" s="321">
        <v>6.4</v>
      </c>
      <c r="I317" s="315">
        <f t="shared" si="23"/>
        <v>147.45600000000005</v>
      </c>
      <c r="J317" s="316">
        <f t="shared" si="21"/>
        <v>2.5388429752066117</v>
      </c>
    </row>
    <row r="318" spans="1:11">
      <c r="A318" s="295">
        <v>14</v>
      </c>
      <c r="B318" s="295">
        <f t="shared" si="22"/>
        <v>2</v>
      </c>
      <c r="C318" s="295">
        <v>6.5</v>
      </c>
      <c r="D318" s="295" t="s">
        <v>113</v>
      </c>
      <c r="E318" s="295">
        <v>24</v>
      </c>
      <c r="F318" s="316">
        <f t="shared" si="20"/>
        <v>1</v>
      </c>
      <c r="G318" s="321">
        <v>7.6</v>
      </c>
      <c r="H318" s="321">
        <v>7.3</v>
      </c>
      <c r="I318" s="315">
        <f t="shared" si="23"/>
        <v>202.50199999999998</v>
      </c>
      <c r="J318" s="316">
        <f t="shared" si="21"/>
        <v>4.0000395061728389</v>
      </c>
      <c r="K318" s="316" t="s">
        <v>137</v>
      </c>
    </row>
    <row r="319" spans="1:11">
      <c r="A319" s="295">
        <v>14</v>
      </c>
      <c r="B319" s="295">
        <f t="shared" si="22"/>
        <v>2</v>
      </c>
      <c r="C319" s="295">
        <v>7.1</v>
      </c>
      <c r="D319" s="295" t="s">
        <v>114</v>
      </c>
      <c r="E319" s="295">
        <v>28</v>
      </c>
      <c r="F319" s="316">
        <f t="shared" si="20"/>
        <v>1.037037037037037</v>
      </c>
      <c r="G319" s="321">
        <v>6.8</v>
      </c>
      <c r="H319" s="321">
        <v>6.1</v>
      </c>
      <c r="I319" s="315">
        <f t="shared" si="23"/>
        <v>126.51399999999998</v>
      </c>
      <c r="J319" s="316">
        <f t="shared" si="21"/>
        <v>0.93714074074074061</v>
      </c>
    </row>
    <row r="320" spans="1:11">
      <c r="A320" s="295">
        <v>14</v>
      </c>
      <c r="B320" s="295">
        <f t="shared" si="22"/>
        <v>2</v>
      </c>
      <c r="C320" s="295">
        <v>7.2</v>
      </c>
      <c r="D320" s="295" t="s">
        <v>111</v>
      </c>
      <c r="E320" s="295">
        <v>30</v>
      </c>
      <c r="F320" s="316">
        <f t="shared" si="20"/>
        <v>1.0344827586206897</v>
      </c>
      <c r="G320" s="321">
        <v>4</v>
      </c>
      <c r="H320" s="321">
        <v>3.6</v>
      </c>
      <c r="I320" s="315">
        <f t="shared" si="23"/>
        <v>25.92</v>
      </c>
      <c r="J320" s="316">
        <f t="shared" si="21"/>
        <v>1.7122473246135554</v>
      </c>
    </row>
    <row r="321" spans="1:10">
      <c r="A321" s="295">
        <v>14</v>
      </c>
      <c r="B321" s="295">
        <f t="shared" si="22"/>
        <v>2</v>
      </c>
      <c r="C321" s="295">
        <v>7.3</v>
      </c>
      <c r="D321" s="295" t="s">
        <v>113</v>
      </c>
      <c r="E321" s="295">
        <v>28</v>
      </c>
      <c r="F321" s="316">
        <f t="shared" si="20"/>
        <v>1.037037037037037</v>
      </c>
      <c r="G321" s="321">
        <v>6.8</v>
      </c>
      <c r="H321" s="321">
        <v>6.1</v>
      </c>
      <c r="I321" s="315">
        <f t="shared" si="23"/>
        <v>126.51399999999998</v>
      </c>
      <c r="J321" s="316">
        <f t="shared" si="21"/>
        <v>0.88543153887069226</v>
      </c>
    </row>
    <row r="322" spans="1:10">
      <c r="A322" s="295">
        <v>14</v>
      </c>
      <c r="B322" s="295">
        <f t="shared" si="22"/>
        <v>2</v>
      </c>
      <c r="C322" s="295">
        <v>7.4</v>
      </c>
      <c r="D322" s="295" t="s">
        <v>115</v>
      </c>
      <c r="E322" s="295">
        <v>29</v>
      </c>
      <c r="F322" s="316">
        <f t="shared" si="20"/>
        <v>1.0740740740740742</v>
      </c>
      <c r="G322" s="321">
        <v>8.5</v>
      </c>
      <c r="H322" s="321">
        <v>7.4</v>
      </c>
      <c r="I322" s="315">
        <f t="shared" si="23"/>
        <v>232.73000000000002</v>
      </c>
      <c r="J322" s="316">
        <f t="shared" si="21"/>
        <v>1.966388968687159</v>
      </c>
    </row>
    <row r="323" spans="1:10">
      <c r="A323" s="295">
        <v>14</v>
      </c>
      <c r="B323" s="295">
        <f t="shared" si="22"/>
        <v>2</v>
      </c>
      <c r="C323" s="295">
        <v>7.5</v>
      </c>
      <c r="D323" s="295" t="s">
        <v>111</v>
      </c>
      <c r="E323" s="295">
        <v>30</v>
      </c>
      <c r="F323" s="316">
        <f t="shared" si="20"/>
        <v>1.0344827586206897</v>
      </c>
      <c r="G323" s="321">
        <v>6.9</v>
      </c>
      <c r="H323" s="321">
        <v>6.4</v>
      </c>
      <c r="I323" s="315">
        <f t="shared" si="23"/>
        <v>141.31200000000004</v>
      </c>
      <c r="J323" s="316">
        <f t="shared" si="21"/>
        <v>2.2846795576537544</v>
      </c>
    </row>
    <row r="324" spans="1:10" s="316" customFormat="1">
      <c r="A324" s="295">
        <v>15</v>
      </c>
      <c r="B324" s="295">
        <f t="shared" si="22"/>
        <v>3</v>
      </c>
      <c r="C324" s="295">
        <v>1.1000000000000001</v>
      </c>
      <c r="D324" s="295" t="s">
        <v>112</v>
      </c>
      <c r="E324" s="295">
        <v>28</v>
      </c>
      <c r="F324" s="316">
        <f t="shared" si="20"/>
        <v>1</v>
      </c>
      <c r="G324" s="321">
        <v>9.8000000000000007</v>
      </c>
      <c r="H324" s="321">
        <v>8.8000000000000007</v>
      </c>
      <c r="I324" s="315">
        <f t="shared" si="23"/>
        <v>379.45600000000007</v>
      </c>
      <c r="J324" s="316">
        <f t="shared" si="21"/>
        <v>1.684494637403225</v>
      </c>
    </row>
    <row r="325" spans="1:10" s="316" customFormat="1">
      <c r="A325" s="295">
        <v>15</v>
      </c>
      <c r="B325" s="295">
        <f t="shared" si="22"/>
        <v>3</v>
      </c>
      <c r="C325" s="295">
        <v>1.2</v>
      </c>
      <c r="D325" s="295" t="s">
        <v>113</v>
      </c>
      <c r="E325" s="295">
        <v>28</v>
      </c>
      <c r="F325" s="316">
        <f t="shared" si="20"/>
        <v>1.037037037037037</v>
      </c>
      <c r="G325" s="321">
        <v>9.3000000000000007</v>
      </c>
      <c r="H325" s="321">
        <v>8.6</v>
      </c>
      <c r="I325" s="315">
        <f t="shared" si="23"/>
        <v>343.91399999999999</v>
      </c>
      <c r="J325" s="316">
        <f t="shared" si="21"/>
        <v>1.6439365874527667</v>
      </c>
    </row>
    <row r="326" spans="1:10" s="316" customFormat="1">
      <c r="A326" s="295">
        <v>15</v>
      </c>
      <c r="B326" s="295">
        <f t="shared" si="22"/>
        <v>3</v>
      </c>
      <c r="C326" s="295">
        <v>1.3</v>
      </c>
      <c r="D326" s="295" t="s">
        <v>115</v>
      </c>
      <c r="E326" s="295">
        <v>24</v>
      </c>
      <c r="F326" s="316">
        <f t="shared" si="20"/>
        <v>1</v>
      </c>
      <c r="G326" s="321">
        <v>7.2</v>
      </c>
      <c r="H326" s="321">
        <v>5.9</v>
      </c>
      <c r="I326" s="315">
        <f t="shared" si="23"/>
        <v>125.31600000000002</v>
      </c>
      <c r="J326" s="316">
        <f t="shared" si="21"/>
        <v>1.2639796659404503</v>
      </c>
    </row>
    <row r="327" spans="1:10" s="316" customFormat="1">
      <c r="A327" s="295">
        <v>15</v>
      </c>
      <c r="B327" s="295">
        <f t="shared" si="22"/>
        <v>3</v>
      </c>
      <c r="C327" s="295">
        <v>1.4</v>
      </c>
      <c r="D327" s="295" t="s">
        <v>115</v>
      </c>
      <c r="E327" s="295">
        <v>28</v>
      </c>
      <c r="F327" s="316">
        <f t="shared" si="20"/>
        <v>1</v>
      </c>
      <c r="G327" s="321">
        <v>10.199999999999999</v>
      </c>
      <c r="H327" s="321">
        <v>7.5</v>
      </c>
      <c r="I327" s="315">
        <f t="shared" si="23"/>
        <v>286.875</v>
      </c>
      <c r="J327" s="316">
        <f t="shared" si="21"/>
        <v>1.5807875421543345</v>
      </c>
    </row>
    <row r="328" spans="1:10" s="316" customFormat="1">
      <c r="A328" s="295">
        <v>15</v>
      </c>
      <c r="B328" s="295">
        <f t="shared" si="22"/>
        <v>3</v>
      </c>
      <c r="C328" s="295">
        <v>1.5</v>
      </c>
      <c r="D328" s="295" t="s">
        <v>112</v>
      </c>
      <c r="E328" s="295">
        <v>29</v>
      </c>
      <c r="F328" s="316">
        <f t="shared" si="20"/>
        <v>1.0357142857142858</v>
      </c>
      <c r="G328" s="321">
        <v>10.1</v>
      </c>
      <c r="H328" s="321">
        <v>7.9</v>
      </c>
      <c r="I328" s="315">
        <f t="shared" si="23"/>
        <v>315.1705</v>
      </c>
      <c r="J328" s="316">
        <f t="shared" si="21"/>
        <v>2.2631153779871322</v>
      </c>
    </row>
    <row r="329" spans="1:10" s="316" customFormat="1">
      <c r="A329" s="295">
        <v>15</v>
      </c>
      <c r="B329" s="295">
        <f t="shared" si="22"/>
        <v>3</v>
      </c>
      <c r="C329" s="295">
        <v>2.1</v>
      </c>
      <c r="D329" s="295" t="s">
        <v>114</v>
      </c>
      <c r="E329" s="295">
        <v>27</v>
      </c>
      <c r="F329" s="316">
        <f t="shared" ref="F329:F392" si="24">IF(ISBLANK(E329),"",E329/SUMIFS(E:E,C:C,C329,B:B,"0"))</f>
        <v>1.0384615384615385</v>
      </c>
      <c r="G329" s="321">
        <v>8.4</v>
      </c>
      <c r="H329" s="321">
        <v>8.3000000000000007</v>
      </c>
      <c r="I329" s="315">
        <f t="shared" si="23"/>
        <v>289.33800000000008</v>
      </c>
      <c r="J329" s="316">
        <f t="shared" ref="J329:J392" si="25">IF(ISBLANK(I329),"",I329/SUMIFS(I:I,C:C,C329,B:B,"0"))</f>
        <v>1.5385449817743853</v>
      </c>
    </row>
    <row r="330" spans="1:10" s="316" customFormat="1">
      <c r="A330" s="295">
        <v>15</v>
      </c>
      <c r="B330" s="295">
        <f t="shared" ref="B330:B393" si="26">A330-12</f>
        <v>3</v>
      </c>
      <c r="C330" s="295">
        <v>2.2000000000000002</v>
      </c>
      <c r="D330" s="295" t="s">
        <v>115</v>
      </c>
      <c r="E330" s="295">
        <v>29</v>
      </c>
      <c r="F330" s="316">
        <f t="shared" si="24"/>
        <v>1.0357142857142858</v>
      </c>
      <c r="G330" s="321">
        <v>7</v>
      </c>
      <c r="H330" s="321">
        <v>5.7</v>
      </c>
      <c r="I330" s="315">
        <f t="shared" si="23"/>
        <v>113.715</v>
      </c>
      <c r="J330" s="316">
        <f t="shared" si="25"/>
        <v>1.2962667426617271</v>
      </c>
    </row>
    <row r="331" spans="1:10" s="316" customFormat="1">
      <c r="A331" s="295">
        <v>15</v>
      </c>
      <c r="B331" s="295">
        <f t="shared" si="26"/>
        <v>3</v>
      </c>
      <c r="C331" s="295">
        <v>2.2999999999999998</v>
      </c>
      <c r="D331" s="295" t="s">
        <v>112</v>
      </c>
      <c r="E331" s="295">
        <v>26</v>
      </c>
      <c r="F331" s="316">
        <f t="shared" si="24"/>
        <v>1.04</v>
      </c>
      <c r="G331" s="321">
        <v>9</v>
      </c>
      <c r="H331" s="321">
        <v>7.1</v>
      </c>
      <c r="I331" s="315">
        <f t="shared" si="23"/>
        <v>226.84499999999997</v>
      </c>
      <c r="J331" s="316">
        <f t="shared" si="25"/>
        <v>1.3657709837259846</v>
      </c>
    </row>
    <row r="332" spans="1:10" s="316" customFormat="1">
      <c r="A332" s="295">
        <v>15</v>
      </c>
      <c r="B332" s="295">
        <f t="shared" si="26"/>
        <v>3</v>
      </c>
      <c r="C332" s="295">
        <v>2.4</v>
      </c>
      <c r="D332" s="295" t="s">
        <v>114</v>
      </c>
      <c r="E332" s="295">
        <v>26</v>
      </c>
      <c r="F332" s="316">
        <f t="shared" si="24"/>
        <v>1.04</v>
      </c>
      <c r="G332" s="321">
        <v>7.4</v>
      </c>
      <c r="H332" s="321">
        <v>7</v>
      </c>
      <c r="I332" s="315">
        <f t="shared" si="23"/>
        <v>181.3</v>
      </c>
      <c r="J332" s="316">
        <f t="shared" si="25"/>
        <v>1.686511627906977</v>
      </c>
    </row>
    <row r="333" spans="1:10" s="316" customFormat="1">
      <c r="A333" s="295">
        <v>15</v>
      </c>
      <c r="B333" s="295">
        <f t="shared" si="26"/>
        <v>3</v>
      </c>
      <c r="C333" s="295">
        <v>2.5</v>
      </c>
      <c r="D333" s="295" t="s">
        <v>113</v>
      </c>
      <c r="E333" s="295">
        <v>28</v>
      </c>
      <c r="F333" s="316">
        <f t="shared" si="24"/>
        <v>1.037037037037037</v>
      </c>
      <c r="G333" s="321">
        <v>8.9</v>
      </c>
      <c r="H333" s="321">
        <v>7.2</v>
      </c>
      <c r="I333" s="315">
        <f t="shared" si="23"/>
        <v>230.68800000000002</v>
      </c>
      <c r="J333" s="316">
        <f t="shared" si="25"/>
        <v>1.3523583965482877</v>
      </c>
    </row>
    <row r="334" spans="1:10" s="316" customFormat="1">
      <c r="A334" s="295">
        <v>15</v>
      </c>
      <c r="B334" s="295">
        <f t="shared" si="26"/>
        <v>3</v>
      </c>
      <c r="C334" s="295">
        <v>3.1</v>
      </c>
      <c r="D334" s="295" t="s">
        <v>115</v>
      </c>
      <c r="E334" s="295">
        <v>24</v>
      </c>
      <c r="F334" s="316">
        <f t="shared" si="24"/>
        <v>1</v>
      </c>
      <c r="G334" s="321">
        <v>10.3</v>
      </c>
      <c r="H334" s="321">
        <v>9.3000000000000007</v>
      </c>
      <c r="I334" s="315">
        <f t="shared" si="23"/>
        <v>445.4235000000001</v>
      </c>
      <c r="J334" s="316">
        <f t="shared" si="25"/>
        <v>2.4517600110086701</v>
      </c>
    </row>
    <row r="335" spans="1:10" s="316" customFormat="1">
      <c r="A335" s="295">
        <v>15</v>
      </c>
      <c r="B335" s="295">
        <f t="shared" si="26"/>
        <v>3</v>
      </c>
      <c r="C335" s="295">
        <v>3.2</v>
      </c>
      <c r="D335" s="295" t="s">
        <v>113</v>
      </c>
      <c r="E335" s="295">
        <v>31</v>
      </c>
      <c r="F335" s="316">
        <f t="shared" si="24"/>
        <v>1.0333333333333334</v>
      </c>
      <c r="G335" s="321">
        <v>11</v>
      </c>
      <c r="H335" s="321">
        <v>8.1</v>
      </c>
      <c r="I335" s="315">
        <f t="shared" si="23"/>
        <v>360.85500000000002</v>
      </c>
      <c r="J335" s="316">
        <f t="shared" si="25"/>
        <v>1.8804717138449996</v>
      </c>
    </row>
    <row r="336" spans="1:10" s="316" customFormat="1">
      <c r="A336" s="295">
        <v>15</v>
      </c>
      <c r="B336" s="295">
        <f t="shared" si="26"/>
        <v>3</v>
      </c>
      <c r="C336" s="295">
        <v>3.3</v>
      </c>
      <c r="D336" s="295" t="s">
        <v>114</v>
      </c>
      <c r="E336" s="295">
        <v>25</v>
      </c>
      <c r="F336" s="316">
        <f t="shared" si="24"/>
        <v>1</v>
      </c>
      <c r="G336" s="321">
        <v>10.3</v>
      </c>
      <c r="H336" s="321">
        <v>10</v>
      </c>
      <c r="I336" s="315">
        <f t="shared" si="23"/>
        <v>515</v>
      </c>
      <c r="J336" s="316">
        <f t="shared" si="25"/>
        <v>2.5024295432458699</v>
      </c>
    </row>
    <row r="337" spans="1:10" s="316" customFormat="1">
      <c r="A337" s="295">
        <v>15</v>
      </c>
      <c r="B337" s="295">
        <f t="shared" si="26"/>
        <v>3</v>
      </c>
      <c r="C337" s="295">
        <v>3.4</v>
      </c>
      <c r="D337" s="295" t="s">
        <v>114</v>
      </c>
      <c r="E337" s="295">
        <v>26</v>
      </c>
      <c r="F337" s="316">
        <f t="shared" si="24"/>
        <v>1.04</v>
      </c>
      <c r="G337" s="321">
        <v>9.5</v>
      </c>
      <c r="H337" s="321">
        <v>9.1</v>
      </c>
      <c r="I337" s="315">
        <f t="shared" si="23"/>
        <v>393.34749999999997</v>
      </c>
      <c r="J337" s="316">
        <f t="shared" si="25"/>
        <v>1.6775597502516246</v>
      </c>
    </row>
    <row r="338" spans="1:10" s="316" customFormat="1">
      <c r="A338" s="295">
        <v>15</v>
      </c>
      <c r="B338" s="295">
        <f t="shared" si="26"/>
        <v>3</v>
      </c>
      <c r="C338" s="295">
        <v>3.5</v>
      </c>
      <c r="D338" s="295" t="s">
        <v>115</v>
      </c>
      <c r="E338" s="295">
        <v>28</v>
      </c>
      <c r="F338" s="316">
        <f t="shared" si="24"/>
        <v>1.037037037037037</v>
      </c>
      <c r="G338" s="321">
        <v>9.6999999999999993</v>
      </c>
      <c r="H338" s="321">
        <v>8.1999999999999993</v>
      </c>
      <c r="I338" s="315">
        <f t="shared" si="23"/>
        <v>326.11399999999998</v>
      </c>
      <c r="J338" s="316">
        <f t="shared" si="25"/>
        <v>1.4012546727968029</v>
      </c>
    </row>
    <row r="339" spans="1:10" s="316" customFormat="1">
      <c r="A339" s="295">
        <v>15</v>
      </c>
      <c r="B339" s="295">
        <f t="shared" si="26"/>
        <v>3</v>
      </c>
      <c r="C339" s="295">
        <v>4.0999999999999996</v>
      </c>
      <c r="D339" s="295" t="s">
        <v>111</v>
      </c>
      <c r="E339" s="295">
        <v>30</v>
      </c>
      <c r="F339" s="316">
        <f t="shared" si="24"/>
        <v>1.0714285714285714</v>
      </c>
      <c r="G339" s="321">
        <v>12</v>
      </c>
      <c r="H339" s="321">
        <v>8.6999999999999993</v>
      </c>
      <c r="I339" s="315">
        <f t="shared" si="23"/>
        <v>454.13999999999987</v>
      </c>
      <c r="J339" s="316">
        <f t="shared" si="25"/>
        <v>16.851205936920216</v>
      </c>
    </row>
    <row r="340" spans="1:10" s="316" customFormat="1">
      <c r="A340" s="295">
        <v>15</v>
      </c>
      <c r="B340" s="295">
        <f t="shared" si="26"/>
        <v>3</v>
      </c>
      <c r="C340" s="295">
        <v>4.2</v>
      </c>
      <c r="D340" s="295" t="s">
        <v>112</v>
      </c>
      <c r="E340" s="295">
        <v>29</v>
      </c>
      <c r="F340" s="316">
        <f t="shared" si="24"/>
        <v>1</v>
      </c>
      <c r="G340" s="321">
        <v>12.1</v>
      </c>
      <c r="H340" s="321">
        <v>10.1</v>
      </c>
      <c r="I340" s="315">
        <f t="shared" si="23"/>
        <v>617.16049999999996</v>
      </c>
      <c r="J340" s="316">
        <f t="shared" si="25"/>
        <v>1.8542368960274969</v>
      </c>
    </row>
    <row r="341" spans="1:10" s="316" customFormat="1">
      <c r="A341" s="295">
        <v>15</v>
      </c>
      <c r="B341" s="295">
        <f t="shared" si="26"/>
        <v>3</v>
      </c>
      <c r="C341" s="295">
        <v>4.3</v>
      </c>
      <c r="D341" s="295" t="s">
        <v>113</v>
      </c>
      <c r="E341" s="295">
        <v>26</v>
      </c>
      <c r="F341" s="316">
        <f t="shared" si="24"/>
        <v>1</v>
      </c>
      <c r="G341" s="321">
        <v>8.5</v>
      </c>
      <c r="H341" s="321">
        <v>7.2</v>
      </c>
      <c r="I341" s="315">
        <f t="shared" si="23"/>
        <v>220.32000000000002</v>
      </c>
      <c r="J341" s="316">
        <f t="shared" si="25"/>
        <v>1.58203125</v>
      </c>
    </row>
    <row r="342" spans="1:10" s="316" customFormat="1">
      <c r="A342" s="295">
        <v>15</v>
      </c>
      <c r="B342" s="295">
        <f t="shared" si="26"/>
        <v>3</v>
      </c>
      <c r="C342" s="295">
        <v>4.4000000000000004</v>
      </c>
      <c r="D342" s="295" t="s">
        <v>112</v>
      </c>
      <c r="E342" s="295">
        <v>31</v>
      </c>
      <c r="F342" s="316">
        <f t="shared" si="24"/>
        <v>1</v>
      </c>
      <c r="G342" s="321">
        <v>11.7</v>
      </c>
      <c r="H342" s="321">
        <v>7.4</v>
      </c>
      <c r="I342" s="315">
        <f t="shared" ref="I342:I405" si="27">G342*(H342^2)*0.5</f>
        <v>320.346</v>
      </c>
      <c r="J342" s="316">
        <f t="shared" si="25"/>
        <v>1.7038547968885047</v>
      </c>
    </row>
    <row r="343" spans="1:10" s="316" customFormat="1">
      <c r="A343" s="295">
        <v>15</v>
      </c>
      <c r="B343" s="295">
        <f t="shared" si="26"/>
        <v>3</v>
      </c>
      <c r="C343" s="295">
        <v>4.5</v>
      </c>
      <c r="D343" s="295" t="s">
        <v>112</v>
      </c>
      <c r="E343" s="295">
        <v>27</v>
      </c>
      <c r="F343" s="316">
        <f t="shared" si="24"/>
        <v>1</v>
      </c>
      <c r="G343" s="321">
        <v>10.7</v>
      </c>
      <c r="H343" s="321">
        <v>8.3000000000000007</v>
      </c>
      <c r="I343" s="315">
        <f t="shared" si="27"/>
        <v>368.56150000000008</v>
      </c>
      <c r="J343" s="316">
        <f t="shared" si="25"/>
        <v>1.6467017844856091</v>
      </c>
    </row>
    <row r="344" spans="1:10" s="316" customFormat="1">
      <c r="A344" s="295">
        <v>15</v>
      </c>
      <c r="B344" s="295">
        <f t="shared" si="26"/>
        <v>3</v>
      </c>
      <c r="C344" s="295">
        <v>5.0999999999999996</v>
      </c>
      <c r="D344" s="295" t="s">
        <v>113</v>
      </c>
      <c r="E344" s="295">
        <v>25</v>
      </c>
      <c r="F344" s="316">
        <f t="shared" si="24"/>
        <v>1.0416666666666667</v>
      </c>
      <c r="G344" s="321">
        <v>7.6</v>
      </c>
      <c r="H344" s="321">
        <v>7.6</v>
      </c>
      <c r="I344" s="315">
        <f t="shared" si="27"/>
        <v>219.48799999999997</v>
      </c>
      <c r="J344" s="316">
        <f t="shared" si="25"/>
        <v>1.3214765221893756</v>
      </c>
    </row>
    <row r="345" spans="1:10" s="316" customFormat="1">
      <c r="A345" s="295">
        <v>15</v>
      </c>
      <c r="B345" s="295">
        <f t="shared" si="26"/>
        <v>3</v>
      </c>
      <c r="C345" s="295">
        <v>5.2</v>
      </c>
      <c r="D345" s="295" t="s">
        <v>114</v>
      </c>
      <c r="E345" s="295">
        <v>29</v>
      </c>
      <c r="F345" s="316">
        <f t="shared" si="24"/>
        <v>1.0740740740740742</v>
      </c>
      <c r="G345" s="321">
        <v>8.4</v>
      </c>
      <c r="H345" s="321">
        <v>8</v>
      </c>
      <c r="I345" s="315">
        <f t="shared" si="27"/>
        <v>268.8</v>
      </c>
      <c r="J345" s="316">
        <f t="shared" si="25"/>
        <v>1.6238944468609544</v>
      </c>
    </row>
    <row r="346" spans="1:10" s="316" customFormat="1">
      <c r="A346" s="295">
        <v>15</v>
      </c>
      <c r="B346" s="295">
        <f t="shared" si="26"/>
        <v>3</v>
      </c>
      <c r="C346" s="295">
        <v>5.3</v>
      </c>
      <c r="D346" s="295" t="s">
        <v>112</v>
      </c>
      <c r="E346" s="295">
        <v>31</v>
      </c>
      <c r="F346" s="316">
        <f t="shared" si="24"/>
        <v>1.1071428571428572</v>
      </c>
      <c r="G346" s="321">
        <v>10.4</v>
      </c>
      <c r="H346" s="321">
        <v>7.5</v>
      </c>
      <c r="I346" s="315">
        <f t="shared" si="27"/>
        <v>292.5</v>
      </c>
      <c r="J346" s="316">
        <f t="shared" si="25"/>
        <v>1.2327416173570021</v>
      </c>
    </row>
    <row r="347" spans="1:10" s="316" customFormat="1">
      <c r="A347" s="295">
        <v>15</v>
      </c>
      <c r="B347" s="295">
        <f t="shared" si="26"/>
        <v>3</v>
      </c>
      <c r="C347" s="295">
        <v>5.4</v>
      </c>
      <c r="D347" s="295" t="s">
        <v>113</v>
      </c>
      <c r="E347" s="295">
        <v>26</v>
      </c>
      <c r="F347" s="316">
        <f t="shared" si="24"/>
        <v>1</v>
      </c>
      <c r="G347" s="321">
        <v>9.1</v>
      </c>
      <c r="H347" s="321">
        <v>7.8</v>
      </c>
      <c r="I347" s="315">
        <f t="shared" si="27"/>
        <v>276.82199999999995</v>
      </c>
      <c r="J347" s="316">
        <f t="shared" si="25"/>
        <v>1.5477886497064577</v>
      </c>
    </row>
    <row r="348" spans="1:10" s="316" customFormat="1">
      <c r="A348" s="295">
        <v>15</v>
      </c>
      <c r="B348" s="295">
        <f t="shared" si="26"/>
        <v>3</v>
      </c>
      <c r="C348" s="295">
        <v>5.5</v>
      </c>
      <c r="D348" s="295" t="s">
        <v>114</v>
      </c>
      <c r="E348" s="295">
        <v>23</v>
      </c>
      <c r="F348" s="316">
        <f t="shared" si="24"/>
        <v>1.0454545454545454</v>
      </c>
      <c r="G348" s="321">
        <v>7.4</v>
      </c>
      <c r="H348" s="321">
        <v>7.1</v>
      </c>
      <c r="I348" s="315">
        <f t="shared" si="27"/>
        <v>186.517</v>
      </c>
      <c r="J348" s="316">
        <f t="shared" si="25"/>
        <v>1.8540088666229295</v>
      </c>
    </row>
    <row r="349" spans="1:10" s="316" customFormat="1">
      <c r="A349" s="295">
        <v>15</v>
      </c>
      <c r="B349" s="295">
        <f t="shared" si="26"/>
        <v>3</v>
      </c>
      <c r="C349" s="295">
        <v>6.1</v>
      </c>
      <c r="D349" s="295" t="s">
        <v>115</v>
      </c>
      <c r="E349" s="295">
        <v>26</v>
      </c>
      <c r="F349" s="316">
        <f t="shared" si="24"/>
        <v>1.04</v>
      </c>
      <c r="G349" s="321">
        <v>10.1</v>
      </c>
      <c r="H349" s="321">
        <v>7.2</v>
      </c>
      <c r="I349" s="315">
        <f t="shared" si="27"/>
        <v>261.79200000000003</v>
      </c>
      <c r="J349" s="316">
        <f t="shared" si="25"/>
        <v>1.9458302363609334</v>
      </c>
    </row>
    <row r="350" spans="1:10" s="316" customFormat="1">
      <c r="A350" s="295">
        <v>15</v>
      </c>
      <c r="B350" s="295">
        <f t="shared" si="26"/>
        <v>3</v>
      </c>
      <c r="C350" s="295">
        <v>6.2</v>
      </c>
      <c r="D350" s="295" t="s">
        <v>115</v>
      </c>
      <c r="E350" s="295">
        <v>27</v>
      </c>
      <c r="F350" s="316">
        <f t="shared" si="24"/>
        <v>1</v>
      </c>
      <c r="G350" s="321">
        <v>7.3</v>
      </c>
      <c r="H350" s="321">
        <v>7.2</v>
      </c>
      <c r="I350" s="315">
        <f t="shared" si="27"/>
        <v>189.21600000000001</v>
      </c>
      <c r="J350" s="316">
        <f t="shared" si="25"/>
        <v>1.517935717809769</v>
      </c>
    </row>
    <row r="351" spans="1:10" s="316" customFormat="1">
      <c r="A351" s="295">
        <v>15</v>
      </c>
      <c r="B351" s="295">
        <f t="shared" si="26"/>
        <v>3</v>
      </c>
      <c r="C351" s="295">
        <v>6.3</v>
      </c>
      <c r="D351" s="295" t="s">
        <v>114</v>
      </c>
      <c r="E351" s="295">
        <v>25</v>
      </c>
      <c r="F351" s="316">
        <f t="shared" si="24"/>
        <v>1.0416666666666667</v>
      </c>
      <c r="G351" s="321">
        <v>8.9</v>
      </c>
      <c r="H351" s="321">
        <v>8.4</v>
      </c>
      <c r="I351" s="315">
        <f t="shared" si="27"/>
        <v>313.99200000000002</v>
      </c>
      <c r="J351" s="316">
        <f t="shared" si="25"/>
        <v>2.0879695973241388</v>
      </c>
    </row>
    <row r="352" spans="1:10" s="316" customFormat="1">
      <c r="A352" s="295">
        <v>15</v>
      </c>
      <c r="B352" s="295">
        <f t="shared" si="26"/>
        <v>3</v>
      </c>
      <c r="C352" s="295">
        <v>6.4</v>
      </c>
      <c r="D352" s="295" t="s">
        <v>112</v>
      </c>
      <c r="E352" s="295">
        <v>30</v>
      </c>
      <c r="F352" s="316">
        <f t="shared" si="24"/>
        <v>1.0344827586206897</v>
      </c>
      <c r="G352" s="321">
        <v>8</v>
      </c>
      <c r="H352" s="321">
        <v>6.6</v>
      </c>
      <c r="I352" s="315">
        <f t="shared" si="27"/>
        <v>174.23999999999998</v>
      </c>
      <c r="J352" s="316">
        <f t="shared" si="25"/>
        <v>2.9999999999999991</v>
      </c>
    </row>
    <row r="353" spans="1:11" s="316" customFormat="1">
      <c r="A353" s="295">
        <v>15</v>
      </c>
      <c r="B353" s="295">
        <f t="shared" si="26"/>
        <v>3</v>
      </c>
      <c r="C353" s="295">
        <v>6.5</v>
      </c>
      <c r="D353" s="295" t="s">
        <v>113</v>
      </c>
      <c r="E353" s="295">
        <v>24</v>
      </c>
      <c r="F353" s="316">
        <f t="shared" si="24"/>
        <v>1</v>
      </c>
      <c r="G353" s="321">
        <v>8.1</v>
      </c>
      <c r="H353" s="321">
        <v>7</v>
      </c>
      <c r="I353" s="315">
        <f t="shared" si="27"/>
        <v>198.45</v>
      </c>
      <c r="J353" s="316">
        <f t="shared" si="25"/>
        <v>3.92</v>
      </c>
    </row>
    <row r="354" spans="1:11" s="316" customFormat="1">
      <c r="A354" s="295">
        <v>15</v>
      </c>
      <c r="B354" s="295">
        <f t="shared" si="26"/>
        <v>3</v>
      </c>
      <c r="C354" s="295">
        <v>7.1</v>
      </c>
      <c r="D354" s="295" t="s">
        <v>114</v>
      </c>
      <c r="E354" s="295">
        <v>28</v>
      </c>
      <c r="F354" s="316">
        <f t="shared" si="24"/>
        <v>1.037037037037037</v>
      </c>
      <c r="G354" s="321">
        <v>8.1</v>
      </c>
      <c r="H354" s="321">
        <v>8.1</v>
      </c>
      <c r="I354" s="315">
        <f t="shared" si="27"/>
        <v>265.72049999999996</v>
      </c>
      <c r="J354" s="316">
        <f t="shared" si="25"/>
        <v>1.9682999999999997</v>
      </c>
    </row>
    <row r="355" spans="1:11" s="316" customFormat="1">
      <c r="A355" s="295">
        <v>15</v>
      </c>
      <c r="B355" s="295">
        <f t="shared" si="26"/>
        <v>3</v>
      </c>
      <c r="C355" s="295">
        <v>7.2</v>
      </c>
      <c r="D355" s="295" t="s">
        <v>111</v>
      </c>
      <c r="E355" s="295">
        <v>29</v>
      </c>
      <c r="F355" s="316">
        <f t="shared" si="24"/>
        <v>1</v>
      </c>
      <c r="G355" s="321">
        <v>3.7</v>
      </c>
      <c r="H355" s="321">
        <v>3.6</v>
      </c>
      <c r="I355" s="315">
        <f t="shared" si="27"/>
        <v>23.976000000000003</v>
      </c>
      <c r="J355" s="316">
        <f t="shared" si="25"/>
        <v>1.5838287752675388</v>
      </c>
    </row>
    <row r="356" spans="1:11">
      <c r="A356" s="295">
        <v>15</v>
      </c>
      <c r="B356" s="295">
        <f t="shared" si="26"/>
        <v>3</v>
      </c>
      <c r="C356" s="295">
        <v>7.3</v>
      </c>
      <c r="D356" s="295" t="s">
        <v>113</v>
      </c>
      <c r="E356" s="295">
        <v>28</v>
      </c>
      <c r="F356" s="316">
        <f t="shared" si="24"/>
        <v>1.037037037037037</v>
      </c>
      <c r="G356" s="321">
        <v>6.9</v>
      </c>
      <c r="H356" s="321">
        <v>6.8</v>
      </c>
      <c r="I356" s="315">
        <f t="shared" si="27"/>
        <v>159.52799999999999</v>
      </c>
      <c r="J356" s="316">
        <f t="shared" si="25"/>
        <v>1.1164861006130848</v>
      </c>
    </row>
    <row r="357" spans="1:11">
      <c r="A357" s="295">
        <v>15</v>
      </c>
      <c r="B357" s="295">
        <f t="shared" si="26"/>
        <v>3</v>
      </c>
      <c r="C357" s="295">
        <v>7.4</v>
      </c>
      <c r="D357" s="295" t="s">
        <v>115</v>
      </c>
      <c r="E357" s="295">
        <v>29</v>
      </c>
      <c r="F357" s="316">
        <f t="shared" si="24"/>
        <v>1.0740740740740742</v>
      </c>
      <c r="G357" s="321">
        <v>7.2</v>
      </c>
      <c r="H357" s="321">
        <v>6.7</v>
      </c>
      <c r="I357" s="315">
        <f t="shared" si="27"/>
        <v>161.60400000000001</v>
      </c>
      <c r="J357" s="316">
        <f t="shared" si="25"/>
        <v>1.3654291363198541</v>
      </c>
    </row>
    <row r="358" spans="1:11">
      <c r="A358" s="295">
        <v>15</v>
      </c>
      <c r="B358" s="295">
        <f t="shared" si="26"/>
        <v>3</v>
      </c>
      <c r="C358" s="295">
        <v>7.5</v>
      </c>
      <c r="D358" s="295" t="s">
        <v>111</v>
      </c>
      <c r="E358" s="295">
        <v>29</v>
      </c>
      <c r="F358" s="316">
        <f t="shared" si="24"/>
        <v>1</v>
      </c>
      <c r="G358" s="321">
        <v>7.1</v>
      </c>
      <c r="H358" s="321">
        <v>6.2</v>
      </c>
      <c r="I358" s="315">
        <f t="shared" si="27"/>
        <v>136.46200000000002</v>
      </c>
      <c r="J358" s="316">
        <f t="shared" si="25"/>
        <v>2.2062665718165948</v>
      </c>
    </row>
    <row r="359" spans="1:11">
      <c r="A359" s="295">
        <v>16</v>
      </c>
      <c r="B359" s="295">
        <f t="shared" si="26"/>
        <v>4</v>
      </c>
      <c r="C359" s="295">
        <v>1.1000000000000001</v>
      </c>
      <c r="D359" s="295" t="s">
        <v>112</v>
      </c>
      <c r="E359" s="295">
        <v>29</v>
      </c>
      <c r="F359" s="316">
        <f t="shared" si="24"/>
        <v>1.0357142857142858</v>
      </c>
      <c r="G359" s="321">
        <v>9.1</v>
      </c>
      <c r="H359" s="321">
        <v>6.9</v>
      </c>
      <c r="I359" s="315">
        <f t="shared" si="27"/>
        <v>216.62550000000002</v>
      </c>
      <c r="J359" s="316">
        <f t="shared" si="25"/>
        <v>0.96165166204986163</v>
      </c>
    </row>
    <row r="360" spans="1:11">
      <c r="A360" s="295">
        <v>16</v>
      </c>
      <c r="B360" s="295">
        <f t="shared" si="26"/>
        <v>4</v>
      </c>
      <c r="C360" s="295">
        <v>1.2</v>
      </c>
      <c r="D360" s="295" t="s">
        <v>113</v>
      </c>
      <c r="E360" s="295">
        <v>27</v>
      </c>
      <c r="F360" s="316">
        <f t="shared" si="24"/>
        <v>1</v>
      </c>
      <c r="G360" s="321">
        <v>8</v>
      </c>
      <c r="H360" s="321">
        <v>7.9</v>
      </c>
      <c r="I360" s="315">
        <f t="shared" si="27"/>
        <v>249.64000000000001</v>
      </c>
      <c r="J360" s="316">
        <f t="shared" si="25"/>
        <v>1.1932992832269367</v>
      </c>
    </row>
    <row r="361" spans="1:11">
      <c r="A361" s="295">
        <v>16</v>
      </c>
      <c r="B361" s="295">
        <f t="shared" si="26"/>
        <v>4</v>
      </c>
      <c r="C361" s="295">
        <v>1.3</v>
      </c>
      <c r="D361" s="295" t="s">
        <v>115</v>
      </c>
      <c r="E361" s="295">
        <v>25</v>
      </c>
      <c r="F361" s="316">
        <f t="shared" si="24"/>
        <v>1.0416666666666667</v>
      </c>
      <c r="G361" s="321">
        <v>7.7</v>
      </c>
      <c r="H361" s="321">
        <v>6.7</v>
      </c>
      <c r="I361" s="315">
        <f t="shared" si="27"/>
        <v>172.82650000000001</v>
      </c>
      <c r="J361" s="316">
        <f t="shared" si="25"/>
        <v>1.7431866779633665</v>
      </c>
    </row>
    <row r="362" spans="1:11">
      <c r="A362" s="295">
        <v>16</v>
      </c>
      <c r="B362" s="295">
        <f t="shared" si="26"/>
        <v>4</v>
      </c>
      <c r="C362" s="295">
        <v>1.4</v>
      </c>
      <c r="D362" s="295" t="s">
        <v>115</v>
      </c>
      <c r="F362" s="316" t="str">
        <f t="shared" si="24"/>
        <v/>
      </c>
      <c r="G362" s="321">
        <v>7.3</v>
      </c>
      <c r="H362" s="321">
        <v>7.1</v>
      </c>
      <c r="I362" s="315">
        <f t="shared" si="27"/>
        <v>183.99649999999997</v>
      </c>
      <c r="J362" s="316">
        <f t="shared" si="25"/>
        <v>1.0138888888888886</v>
      </c>
      <c r="K362" s="316" t="s">
        <v>138</v>
      </c>
    </row>
    <row r="363" spans="1:11">
      <c r="A363" s="295">
        <v>16</v>
      </c>
      <c r="B363" s="295">
        <f t="shared" si="26"/>
        <v>4</v>
      </c>
      <c r="C363" s="295">
        <v>1.5</v>
      </c>
      <c r="D363" s="295" t="s">
        <v>112</v>
      </c>
      <c r="E363" s="295">
        <v>28</v>
      </c>
      <c r="F363" s="316">
        <f t="shared" si="24"/>
        <v>1</v>
      </c>
      <c r="G363" s="321">
        <v>8.6999999999999993</v>
      </c>
      <c r="H363" s="321">
        <v>7.9</v>
      </c>
      <c r="I363" s="315">
        <f t="shared" si="27"/>
        <v>271.48349999999999</v>
      </c>
      <c r="J363" s="316">
        <f t="shared" si="25"/>
        <v>1.9494162166819851</v>
      </c>
    </row>
    <row r="364" spans="1:11">
      <c r="A364" s="295">
        <v>16</v>
      </c>
      <c r="B364" s="295">
        <f t="shared" si="26"/>
        <v>4</v>
      </c>
      <c r="C364" s="295">
        <v>2.1</v>
      </c>
      <c r="D364" s="295" t="s">
        <v>114</v>
      </c>
      <c r="E364" s="295">
        <v>28</v>
      </c>
      <c r="F364" s="316">
        <f t="shared" si="24"/>
        <v>1.0769230769230769</v>
      </c>
      <c r="G364" s="321">
        <v>7.8</v>
      </c>
      <c r="H364" s="321">
        <v>7</v>
      </c>
      <c r="I364" s="315">
        <f t="shared" si="27"/>
        <v>191.1</v>
      </c>
      <c r="J364" s="316">
        <f t="shared" si="25"/>
        <v>1.016167755417833</v>
      </c>
    </row>
    <row r="365" spans="1:11">
      <c r="A365" s="295">
        <v>16</v>
      </c>
      <c r="B365" s="295">
        <f t="shared" si="26"/>
        <v>4</v>
      </c>
      <c r="C365" s="295">
        <v>2.2000000000000002</v>
      </c>
      <c r="D365" s="295" t="s">
        <v>115</v>
      </c>
      <c r="E365" s="295">
        <v>29</v>
      </c>
      <c r="F365" s="316">
        <f t="shared" si="24"/>
        <v>1.0357142857142858</v>
      </c>
      <c r="G365" s="321">
        <v>6.4</v>
      </c>
      <c r="H365" s="321">
        <v>5.9</v>
      </c>
      <c r="I365" s="315">
        <f t="shared" si="27"/>
        <v>111.39200000000001</v>
      </c>
      <c r="J365" s="316">
        <f t="shared" si="25"/>
        <v>1.2697862638928472</v>
      </c>
    </row>
    <row r="366" spans="1:11">
      <c r="A366" s="295">
        <v>16</v>
      </c>
      <c r="B366" s="295">
        <f t="shared" si="26"/>
        <v>4</v>
      </c>
      <c r="C366" s="295">
        <v>2.2999999999999998</v>
      </c>
      <c r="D366" s="295" t="s">
        <v>112</v>
      </c>
      <c r="E366" s="295">
        <v>25</v>
      </c>
      <c r="F366" s="316">
        <f t="shared" si="24"/>
        <v>1</v>
      </c>
      <c r="G366" s="321">
        <v>7</v>
      </c>
      <c r="H366" s="321">
        <v>6.6</v>
      </c>
      <c r="I366" s="315">
        <f t="shared" si="27"/>
        <v>152.45999999999998</v>
      </c>
      <c r="J366" s="316">
        <f t="shared" si="25"/>
        <v>0.91791947884618841</v>
      </c>
    </row>
    <row r="367" spans="1:11">
      <c r="A367" s="295">
        <v>16</v>
      </c>
      <c r="B367" s="295">
        <f t="shared" si="26"/>
        <v>4</v>
      </c>
      <c r="C367" s="295">
        <v>2.4</v>
      </c>
      <c r="D367" s="295" t="s">
        <v>114</v>
      </c>
      <c r="E367" s="295">
        <v>26</v>
      </c>
      <c r="F367" s="316">
        <f t="shared" si="24"/>
        <v>1.04</v>
      </c>
      <c r="G367" s="321">
        <v>8.6</v>
      </c>
      <c r="H367" s="321">
        <v>6.5</v>
      </c>
      <c r="I367" s="315">
        <f t="shared" si="27"/>
        <v>181.67499999999998</v>
      </c>
      <c r="J367" s="316">
        <f t="shared" si="25"/>
        <v>1.69</v>
      </c>
    </row>
    <row r="368" spans="1:11">
      <c r="A368" s="295">
        <v>16</v>
      </c>
      <c r="B368" s="295">
        <f t="shared" si="26"/>
        <v>4</v>
      </c>
      <c r="C368" s="295">
        <v>2.5</v>
      </c>
      <c r="D368" s="295" t="s">
        <v>113</v>
      </c>
      <c r="E368" s="295">
        <v>28</v>
      </c>
      <c r="F368" s="316">
        <f t="shared" si="24"/>
        <v>1.037037037037037</v>
      </c>
      <c r="G368" s="321">
        <v>7.8</v>
      </c>
      <c r="H368" s="321">
        <v>6.7</v>
      </c>
      <c r="I368" s="315">
        <f t="shared" si="27"/>
        <v>175.071</v>
      </c>
      <c r="J368" s="316">
        <f t="shared" si="25"/>
        <v>1.0263157894736843</v>
      </c>
    </row>
    <row r="369" spans="1:10">
      <c r="A369" s="295">
        <v>16</v>
      </c>
      <c r="B369" s="295">
        <f t="shared" si="26"/>
        <v>4</v>
      </c>
      <c r="C369" s="295">
        <v>3.1</v>
      </c>
      <c r="D369" s="295" t="s">
        <v>115</v>
      </c>
      <c r="E369" s="295">
        <v>24</v>
      </c>
      <c r="F369" s="316">
        <f t="shared" si="24"/>
        <v>1</v>
      </c>
      <c r="G369" s="321">
        <v>9.6</v>
      </c>
      <c r="H369" s="321">
        <v>7.9</v>
      </c>
      <c r="I369" s="315">
        <f t="shared" si="27"/>
        <v>299.56799999999998</v>
      </c>
      <c r="J369" s="316">
        <f t="shared" si="25"/>
        <v>1.6489225264896106</v>
      </c>
    </row>
    <row r="370" spans="1:10">
      <c r="A370" s="295">
        <v>16</v>
      </c>
      <c r="B370" s="295">
        <f t="shared" si="26"/>
        <v>4</v>
      </c>
      <c r="C370" s="295">
        <v>3.2</v>
      </c>
      <c r="D370" s="295" t="s">
        <v>113</v>
      </c>
      <c r="E370" s="295">
        <v>32</v>
      </c>
      <c r="F370" s="316">
        <f t="shared" si="24"/>
        <v>1.0666666666666667</v>
      </c>
      <c r="G370" s="321">
        <v>9.3000000000000007</v>
      </c>
      <c r="H370" s="321">
        <v>7.3</v>
      </c>
      <c r="I370" s="315">
        <f t="shared" si="27"/>
        <v>247.79850000000002</v>
      </c>
      <c r="J370" s="316">
        <f t="shared" si="25"/>
        <v>1.2913166506857883</v>
      </c>
    </row>
    <row r="371" spans="1:10">
      <c r="A371" s="295">
        <v>16</v>
      </c>
      <c r="B371" s="295">
        <f t="shared" si="26"/>
        <v>4</v>
      </c>
      <c r="C371" s="295">
        <v>3.3</v>
      </c>
      <c r="D371" s="295" t="s">
        <v>114</v>
      </c>
      <c r="E371" s="295">
        <v>26</v>
      </c>
      <c r="F371" s="316">
        <f t="shared" si="24"/>
        <v>1.04</v>
      </c>
      <c r="G371" s="321">
        <v>10.8</v>
      </c>
      <c r="H371" s="321">
        <v>8.1999999999999993</v>
      </c>
      <c r="I371" s="315">
        <f t="shared" si="27"/>
        <v>363.096</v>
      </c>
      <c r="J371" s="316">
        <f t="shared" si="25"/>
        <v>1.7643148688046646</v>
      </c>
    </row>
    <row r="372" spans="1:10" s="316" customFormat="1">
      <c r="A372" s="295">
        <v>16</v>
      </c>
      <c r="B372" s="295">
        <f t="shared" si="26"/>
        <v>4</v>
      </c>
      <c r="C372" s="295">
        <v>3.4</v>
      </c>
      <c r="D372" s="295" t="s">
        <v>114</v>
      </c>
      <c r="E372" s="295">
        <v>26</v>
      </c>
      <c r="F372" s="316">
        <f t="shared" si="24"/>
        <v>1.04</v>
      </c>
      <c r="G372" s="321">
        <v>10.4</v>
      </c>
      <c r="H372" s="321">
        <v>10.4</v>
      </c>
      <c r="I372" s="315">
        <f t="shared" si="27"/>
        <v>562.43200000000013</v>
      </c>
      <c r="J372" s="316">
        <f t="shared" si="25"/>
        <v>2.3986761971374473</v>
      </c>
    </row>
    <row r="373" spans="1:10" s="316" customFormat="1">
      <c r="A373" s="295">
        <v>16</v>
      </c>
      <c r="B373" s="295">
        <f t="shared" si="26"/>
        <v>4</v>
      </c>
      <c r="C373" s="295">
        <v>3.5</v>
      </c>
      <c r="D373" s="295" t="s">
        <v>115</v>
      </c>
      <c r="E373" s="295">
        <v>28</v>
      </c>
      <c r="F373" s="316">
        <f t="shared" si="24"/>
        <v>1.037037037037037</v>
      </c>
      <c r="G373" s="321">
        <v>10.1</v>
      </c>
      <c r="H373" s="321">
        <v>9.1999999999999993</v>
      </c>
      <c r="I373" s="315">
        <f t="shared" si="27"/>
        <v>427.4319999999999</v>
      </c>
      <c r="J373" s="316">
        <f t="shared" si="25"/>
        <v>1.8366003523396204</v>
      </c>
    </row>
    <row r="374" spans="1:10" s="316" customFormat="1">
      <c r="A374" s="295">
        <v>16</v>
      </c>
      <c r="B374" s="295">
        <f t="shared" si="26"/>
        <v>4</v>
      </c>
      <c r="C374" s="295">
        <v>4.0999999999999996</v>
      </c>
      <c r="D374" s="295" t="s">
        <v>111</v>
      </c>
      <c r="E374" s="295">
        <v>31</v>
      </c>
      <c r="F374" s="316">
        <f t="shared" si="24"/>
        <v>1.1071428571428572</v>
      </c>
      <c r="G374" s="321">
        <v>14.5</v>
      </c>
      <c r="H374" s="321">
        <v>9.8000000000000007</v>
      </c>
      <c r="I374" s="315">
        <f t="shared" si="27"/>
        <v>696.29000000000019</v>
      </c>
      <c r="J374" s="316">
        <f t="shared" si="25"/>
        <v>25.83636363636364</v>
      </c>
    </row>
    <row r="375" spans="1:10" s="316" customFormat="1">
      <c r="A375" s="295">
        <v>16</v>
      </c>
      <c r="B375" s="295">
        <f t="shared" si="26"/>
        <v>4</v>
      </c>
      <c r="C375" s="295">
        <v>4.2</v>
      </c>
      <c r="D375" s="295" t="s">
        <v>112</v>
      </c>
      <c r="E375" s="295">
        <v>30</v>
      </c>
      <c r="F375" s="316">
        <f t="shared" si="24"/>
        <v>1.0344827586206897</v>
      </c>
      <c r="G375" s="321">
        <v>12.9</v>
      </c>
      <c r="H375" s="321">
        <v>9.6</v>
      </c>
      <c r="I375" s="315">
        <f t="shared" si="27"/>
        <v>594.43200000000002</v>
      </c>
      <c r="J375" s="316">
        <f t="shared" si="25"/>
        <v>1.7859499215834733</v>
      </c>
    </row>
    <row r="376" spans="1:10" s="316" customFormat="1">
      <c r="A376" s="295">
        <v>16</v>
      </c>
      <c r="B376" s="295">
        <f t="shared" si="26"/>
        <v>4</v>
      </c>
      <c r="C376" s="295">
        <v>4.3</v>
      </c>
      <c r="D376" s="295" t="s">
        <v>113</v>
      </c>
      <c r="E376" s="295">
        <v>28</v>
      </c>
      <c r="F376" s="316">
        <f t="shared" si="24"/>
        <v>1.0769230769230769</v>
      </c>
      <c r="G376" s="321">
        <v>8.9</v>
      </c>
      <c r="H376" s="321">
        <v>6.7</v>
      </c>
      <c r="I376" s="315">
        <f t="shared" si="27"/>
        <v>199.76050000000001</v>
      </c>
      <c r="J376" s="316">
        <f t="shared" si="25"/>
        <v>1.4344015682444853</v>
      </c>
    </row>
    <row r="377" spans="1:10" s="316" customFormat="1">
      <c r="A377" s="295">
        <v>16</v>
      </c>
      <c r="B377" s="295">
        <f t="shared" si="26"/>
        <v>4</v>
      </c>
      <c r="C377" s="295">
        <v>4.4000000000000004</v>
      </c>
      <c r="D377" s="295" t="s">
        <v>112</v>
      </c>
      <c r="E377" s="295">
        <v>31</v>
      </c>
      <c r="F377" s="316">
        <f t="shared" si="24"/>
        <v>1</v>
      </c>
      <c r="G377" s="321">
        <v>15.3</v>
      </c>
      <c r="H377" s="321">
        <v>8.6999999999999993</v>
      </c>
      <c r="I377" s="315">
        <f t="shared" si="27"/>
        <v>579.02849999999989</v>
      </c>
      <c r="J377" s="316">
        <f t="shared" si="25"/>
        <v>3.079734060235356</v>
      </c>
    </row>
    <row r="378" spans="1:10" s="316" customFormat="1">
      <c r="A378" s="295">
        <v>16</v>
      </c>
      <c r="B378" s="295">
        <f t="shared" si="26"/>
        <v>4</v>
      </c>
      <c r="C378" s="295">
        <v>4.5</v>
      </c>
      <c r="D378" s="295" t="s">
        <v>112</v>
      </c>
      <c r="E378" s="295">
        <v>28</v>
      </c>
      <c r="F378" s="316">
        <f t="shared" si="24"/>
        <v>1.037037037037037</v>
      </c>
      <c r="G378" s="321">
        <v>11.1</v>
      </c>
      <c r="H378" s="321">
        <v>10.8</v>
      </c>
      <c r="I378" s="315">
        <f t="shared" si="27"/>
        <v>647.35200000000009</v>
      </c>
      <c r="J378" s="316">
        <f t="shared" si="25"/>
        <v>2.8923142910757851</v>
      </c>
    </row>
    <row r="379" spans="1:10" s="316" customFormat="1">
      <c r="A379" s="295">
        <v>16</v>
      </c>
      <c r="B379" s="295">
        <f t="shared" si="26"/>
        <v>4</v>
      </c>
      <c r="C379" s="295">
        <v>5.0999999999999996</v>
      </c>
      <c r="D379" s="295" t="s">
        <v>113</v>
      </c>
      <c r="E379" s="295">
        <v>26</v>
      </c>
      <c r="F379" s="316">
        <f t="shared" si="24"/>
        <v>1.0833333333333333</v>
      </c>
      <c r="G379" s="321">
        <v>9</v>
      </c>
      <c r="H379" s="321">
        <v>8.1999999999999993</v>
      </c>
      <c r="I379" s="315">
        <f t="shared" si="27"/>
        <v>302.58</v>
      </c>
      <c r="J379" s="316">
        <f t="shared" si="25"/>
        <v>1.8217504651008769</v>
      </c>
    </row>
    <row r="380" spans="1:10" s="316" customFormat="1">
      <c r="A380" s="295">
        <v>16</v>
      </c>
      <c r="B380" s="295">
        <f t="shared" si="26"/>
        <v>4</v>
      </c>
      <c r="C380" s="295">
        <v>5.2</v>
      </c>
      <c r="D380" s="295" t="s">
        <v>114</v>
      </c>
      <c r="E380" s="295">
        <v>30</v>
      </c>
      <c r="F380" s="316">
        <f t="shared" si="24"/>
        <v>1.1111111111111112</v>
      </c>
      <c r="G380" s="321">
        <v>10.199999999999999</v>
      </c>
      <c r="H380" s="321">
        <v>7.4</v>
      </c>
      <c r="I380" s="315">
        <f t="shared" si="27"/>
        <v>279.27600000000001</v>
      </c>
      <c r="J380" s="316">
        <f t="shared" si="25"/>
        <v>1.6871828331158478</v>
      </c>
    </row>
    <row r="381" spans="1:10" s="316" customFormat="1">
      <c r="A381" s="295">
        <v>16</v>
      </c>
      <c r="B381" s="295">
        <f t="shared" si="26"/>
        <v>4</v>
      </c>
      <c r="C381" s="295">
        <v>5.3</v>
      </c>
      <c r="D381" s="295" t="s">
        <v>112</v>
      </c>
      <c r="E381" s="295">
        <v>30</v>
      </c>
      <c r="F381" s="316">
        <f t="shared" si="24"/>
        <v>1.0714285714285714</v>
      </c>
      <c r="G381" s="321">
        <v>8.9</v>
      </c>
      <c r="H381" s="321">
        <v>6.8</v>
      </c>
      <c r="I381" s="315">
        <f t="shared" si="27"/>
        <v>205.76799999999997</v>
      </c>
      <c r="J381" s="316">
        <f t="shared" si="25"/>
        <v>0.86720949442842932</v>
      </c>
    </row>
    <row r="382" spans="1:10" s="316" customFormat="1">
      <c r="A382" s="295">
        <v>16</v>
      </c>
      <c r="B382" s="295">
        <f t="shared" si="26"/>
        <v>4</v>
      </c>
      <c r="C382" s="295">
        <v>5.4</v>
      </c>
      <c r="D382" s="295" t="s">
        <v>113</v>
      </c>
      <c r="E382" s="295">
        <v>27</v>
      </c>
      <c r="F382" s="316">
        <f t="shared" si="24"/>
        <v>1.0384615384615385</v>
      </c>
      <c r="G382" s="321">
        <v>8.6</v>
      </c>
      <c r="H382" s="321">
        <v>7.7</v>
      </c>
      <c r="I382" s="315">
        <f t="shared" si="27"/>
        <v>254.947</v>
      </c>
      <c r="J382" s="316">
        <f t="shared" si="25"/>
        <v>1.4254794520547946</v>
      </c>
    </row>
    <row r="383" spans="1:10" s="316" customFormat="1">
      <c r="A383" s="295">
        <v>16</v>
      </c>
      <c r="B383" s="295">
        <f t="shared" si="26"/>
        <v>4</v>
      </c>
      <c r="C383" s="295">
        <v>5.5</v>
      </c>
      <c r="D383" s="295" t="s">
        <v>114</v>
      </c>
      <c r="E383" s="295">
        <v>23</v>
      </c>
      <c r="F383" s="316">
        <f t="shared" si="24"/>
        <v>1.0454545454545454</v>
      </c>
      <c r="G383" s="321">
        <v>7.8</v>
      </c>
      <c r="H383" s="321">
        <v>6.4</v>
      </c>
      <c r="I383" s="315">
        <f t="shared" si="27"/>
        <v>159.74400000000003</v>
      </c>
      <c r="J383" s="316">
        <f t="shared" si="25"/>
        <v>1.587880956641021</v>
      </c>
    </row>
    <row r="384" spans="1:10" s="316" customFormat="1">
      <c r="A384" s="295">
        <v>16</v>
      </c>
      <c r="B384" s="295">
        <f t="shared" si="26"/>
        <v>4</v>
      </c>
      <c r="C384" s="295">
        <v>6.1</v>
      </c>
      <c r="D384" s="295" t="s">
        <v>115</v>
      </c>
      <c r="E384" s="295">
        <v>27</v>
      </c>
      <c r="F384" s="316">
        <f t="shared" si="24"/>
        <v>1.08</v>
      </c>
      <c r="G384" s="321">
        <v>10.8</v>
      </c>
      <c r="H384" s="321">
        <v>9.6</v>
      </c>
      <c r="I384" s="315">
        <f t="shared" si="27"/>
        <v>497.66399999999999</v>
      </c>
      <c r="J384" s="316">
        <f t="shared" si="25"/>
        <v>3.6990040136762294</v>
      </c>
    </row>
    <row r="385" spans="1:10" s="316" customFormat="1">
      <c r="A385" s="295">
        <v>16</v>
      </c>
      <c r="B385" s="295">
        <f t="shared" si="26"/>
        <v>4</v>
      </c>
      <c r="C385" s="295">
        <v>6.2</v>
      </c>
      <c r="D385" s="295" t="s">
        <v>115</v>
      </c>
      <c r="E385" s="295">
        <v>28</v>
      </c>
      <c r="F385" s="316">
        <f t="shared" si="24"/>
        <v>1.037037037037037</v>
      </c>
      <c r="G385" s="321">
        <v>7.4</v>
      </c>
      <c r="H385" s="321">
        <v>6.2</v>
      </c>
      <c r="I385" s="315">
        <f t="shared" si="27"/>
        <v>142.22800000000004</v>
      </c>
      <c r="J385" s="316">
        <f t="shared" si="25"/>
        <v>1.1409868154524345</v>
      </c>
    </row>
    <row r="386" spans="1:10" s="316" customFormat="1">
      <c r="A386" s="295">
        <v>16</v>
      </c>
      <c r="B386" s="295">
        <f t="shared" si="26"/>
        <v>4</v>
      </c>
      <c r="C386" s="295">
        <v>6.3</v>
      </c>
      <c r="D386" s="295" t="s">
        <v>114</v>
      </c>
      <c r="E386" s="295">
        <v>25</v>
      </c>
      <c r="F386" s="316">
        <f t="shared" si="24"/>
        <v>1.0416666666666667</v>
      </c>
      <c r="G386" s="321">
        <v>9.1999999999999993</v>
      </c>
      <c r="H386" s="321">
        <v>9.1</v>
      </c>
      <c r="I386" s="315">
        <f t="shared" si="27"/>
        <v>380.92599999999993</v>
      </c>
      <c r="J386" s="316">
        <f t="shared" si="25"/>
        <v>2.5330642399497272</v>
      </c>
    </row>
    <row r="387" spans="1:10" s="316" customFormat="1">
      <c r="A387" s="295">
        <v>16</v>
      </c>
      <c r="B387" s="295">
        <f t="shared" si="26"/>
        <v>4</v>
      </c>
      <c r="C387" s="295">
        <v>6.4</v>
      </c>
      <c r="D387" s="295" t="s">
        <v>112</v>
      </c>
      <c r="E387" s="295">
        <v>30</v>
      </c>
      <c r="F387" s="316">
        <f t="shared" si="24"/>
        <v>1.0344827586206897</v>
      </c>
      <c r="G387" s="321">
        <v>8.5</v>
      </c>
      <c r="H387" s="321">
        <v>8</v>
      </c>
      <c r="I387" s="315">
        <f t="shared" si="27"/>
        <v>272</v>
      </c>
      <c r="J387" s="316">
        <f t="shared" si="25"/>
        <v>4.6831955922865003</v>
      </c>
    </row>
    <row r="388" spans="1:10">
      <c r="A388" s="295">
        <v>16</v>
      </c>
      <c r="B388" s="295">
        <f t="shared" si="26"/>
        <v>4</v>
      </c>
      <c r="C388" s="295">
        <v>6.5</v>
      </c>
      <c r="D388" s="295" t="s">
        <v>113</v>
      </c>
      <c r="E388" s="295">
        <v>25</v>
      </c>
      <c r="F388" s="316">
        <f t="shared" si="24"/>
        <v>1.0416666666666667</v>
      </c>
      <c r="G388" s="321">
        <v>8.1</v>
      </c>
      <c r="H388" s="321">
        <v>8.1</v>
      </c>
      <c r="I388" s="315">
        <f t="shared" si="27"/>
        <v>265.72049999999996</v>
      </c>
      <c r="J388" s="316">
        <f t="shared" si="25"/>
        <v>5.2487999999999992</v>
      </c>
    </row>
    <row r="389" spans="1:10">
      <c r="A389" s="295">
        <v>16</v>
      </c>
      <c r="B389" s="295">
        <f t="shared" si="26"/>
        <v>4</v>
      </c>
      <c r="C389" s="295">
        <v>7.1</v>
      </c>
      <c r="D389" s="295" t="s">
        <v>114</v>
      </c>
      <c r="E389" s="295">
        <v>28</v>
      </c>
      <c r="F389" s="316">
        <f t="shared" si="24"/>
        <v>1.037037037037037</v>
      </c>
      <c r="G389" s="321">
        <v>8.1</v>
      </c>
      <c r="H389" s="321">
        <v>7.7</v>
      </c>
      <c r="I389" s="315">
        <f t="shared" si="27"/>
        <v>240.12450000000001</v>
      </c>
      <c r="J389" s="316">
        <f t="shared" si="25"/>
        <v>1.7787000000000002</v>
      </c>
    </row>
    <row r="390" spans="1:10">
      <c r="A390" s="295">
        <v>16</v>
      </c>
      <c r="B390" s="295">
        <f t="shared" si="26"/>
        <v>4</v>
      </c>
      <c r="C390" s="295">
        <v>7.2</v>
      </c>
      <c r="D390" s="295" t="s">
        <v>111</v>
      </c>
      <c r="E390" s="295">
        <v>30</v>
      </c>
      <c r="F390" s="316">
        <f t="shared" si="24"/>
        <v>1.0344827586206897</v>
      </c>
      <c r="G390" s="321">
        <v>4.9000000000000004</v>
      </c>
      <c r="H390" s="321">
        <v>3.7</v>
      </c>
      <c r="I390" s="315">
        <f t="shared" si="27"/>
        <v>33.540500000000009</v>
      </c>
      <c r="J390" s="316">
        <f t="shared" si="25"/>
        <v>2.2156493592284323</v>
      </c>
    </row>
    <row r="391" spans="1:10">
      <c r="A391" s="295">
        <v>16</v>
      </c>
      <c r="B391" s="295">
        <f t="shared" si="26"/>
        <v>4</v>
      </c>
      <c r="C391" s="295">
        <v>7.3</v>
      </c>
      <c r="D391" s="295" t="s">
        <v>113</v>
      </c>
      <c r="E391" s="295">
        <v>28</v>
      </c>
      <c r="F391" s="316">
        <f t="shared" si="24"/>
        <v>1.037037037037037</v>
      </c>
      <c r="G391" s="321">
        <v>7.1</v>
      </c>
      <c r="H391" s="321">
        <v>6.7</v>
      </c>
      <c r="I391" s="315">
        <f t="shared" si="27"/>
        <v>159.3595</v>
      </c>
      <c r="J391" s="316">
        <f t="shared" si="25"/>
        <v>1.1153068223174045</v>
      </c>
    </row>
    <row r="392" spans="1:10">
      <c r="A392" s="295">
        <v>16</v>
      </c>
      <c r="B392" s="295">
        <f t="shared" si="26"/>
        <v>4</v>
      </c>
      <c r="C392" s="295">
        <v>7.4</v>
      </c>
      <c r="D392" s="295" t="s">
        <v>115</v>
      </c>
      <c r="E392" s="295">
        <v>29</v>
      </c>
      <c r="F392" s="316">
        <f t="shared" si="24"/>
        <v>1.0740740740740742</v>
      </c>
      <c r="G392" s="321">
        <v>7.4</v>
      </c>
      <c r="H392" s="321">
        <v>6.3</v>
      </c>
      <c r="I392" s="315">
        <f t="shared" si="27"/>
        <v>146.85300000000001</v>
      </c>
      <c r="J392" s="316">
        <f t="shared" si="25"/>
        <v>1.2407945654561738</v>
      </c>
    </row>
    <row r="393" spans="1:10">
      <c r="A393" s="295">
        <v>16</v>
      </c>
      <c r="B393" s="295">
        <f t="shared" si="26"/>
        <v>4</v>
      </c>
      <c r="C393" s="295">
        <v>7.5</v>
      </c>
      <c r="D393" s="295" t="s">
        <v>111</v>
      </c>
      <c r="E393" s="295">
        <v>30</v>
      </c>
      <c r="F393" s="316">
        <f t="shared" ref="F393:F456" si="28">IF(ISBLANK(E393),"",E393/SUMIFS(E:E,C:C,C393,B:B,"0"))</f>
        <v>1.0344827586206897</v>
      </c>
      <c r="G393" s="321">
        <v>7.4</v>
      </c>
      <c r="H393" s="321">
        <v>6.4</v>
      </c>
      <c r="I393" s="315">
        <f t="shared" si="27"/>
        <v>151.55200000000005</v>
      </c>
      <c r="J393" s="316">
        <f t="shared" ref="J393:J456" si="29">IF(ISBLANK(I393),"",I393/SUMIFS(I:I,C:C,C393,B:B,"0"))</f>
        <v>2.4502360473388096</v>
      </c>
    </row>
    <row r="394" spans="1:10">
      <c r="A394" s="295">
        <v>17</v>
      </c>
      <c r="B394" s="295">
        <f t="shared" ref="B394:B457" si="30">A394-12</f>
        <v>5</v>
      </c>
      <c r="C394" s="295">
        <v>1.1000000000000001</v>
      </c>
      <c r="D394" s="295" t="s">
        <v>112</v>
      </c>
      <c r="E394" s="295">
        <v>28</v>
      </c>
      <c r="F394" s="316">
        <f t="shared" si="28"/>
        <v>1</v>
      </c>
      <c r="G394" s="321">
        <v>10.5</v>
      </c>
      <c r="H394" s="321">
        <v>10.3</v>
      </c>
      <c r="I394" s="315">
        <f t="shared" si="27"/>
        <v>556.97250000000008</v>
      </c>
      <c r="J394" s="316">
        <f t="shared" si="29"/>
        <v>2.4725322288514815</v>
      </c>
    </row>
    <row r="395" spans="1:10">
      <c r="A395" s="295">
        <v>17</v>
      </c>
      <c r="B395" s="295">
        <f t="shared" si="30"/>
        <v>5</v>
      </c>
      <c r="C395" s="295">
        <v>1.2</v>
      </c>
      <c r="D395" s="295" t="s">
        <v>113</v>
      </c>
      <c r="E395" s="295">
        <v>28</v>
      </c>
      <c r="F395" s="316">
        <f t="shared" si="28"/>
        <v>1.037037037037037</v>
      </c>
      <c r="G395" s="321">
        <v>9.3000000000000007</v>
      </c>
      <c r="H395" s="321">
        <v>8.9</v>
      </c>
      <c r="I395" s="315">
        <f t="shared" si="27"/>
        <v>368.32650000000007</v>
      </c>
      <c r="J395" s="316">
        <f t="shared" si="29"/>
        <v>1.7606303014079729</v>
      </c>
    </row>
    <row r="396" spans="1:10">
      <c r="A396" s="295">
        <v>17</v>
      </c>
      <c r="B396" s="295">
        <f t="shared" si="30"/>
        <v>5</v>
      </c>
      <c r="C396" s="295">
        <v>1.3</v>
      </c>
      <c r="D396" s="295" t="s">
        <v>115</v>
      </c>
      <c r="E396" s="295">
        <v>25</v>
      </c>
      <c r="F396" s="316">
        <f t="shared" si="28"/>
        <v>1.0416666666666667</v>
      </c>
      <c r="G396" s="321">
        <v>8.5</v>
      </c>
      <c r="H396" s="321">
        <v>5.6</v>
      </c>
      <c r="I396" s="315">
        <f t="shared" si="27"/>
        <v>133.27999999999997</v>
      </c>
      <c r="J396" s="316">
        <f t="shared" si="29"/>
        <v>1.3443072702331957</v>
      </c>
    </row>
    <row r="397" spans="1:10">
      <c r="A397" s="295">
        <v>17</v>
      </c>
      <c r="B397" s="295">
        <f t="shared" si="30"/>
        <v>5</v>
      </c>
      <c r="C397" s="295">
        <v>1.4</v>
      </c>
      <c r="D397" s="295" t="s">
        <v>115</v>
      </c>
      <c r="E397" s="295">
        <v>28</v>
      </c>
      <c r="F397" s="316">
        <f t="shared" si="28"/>
        <v>1</v>
      </c>
      <c r="G397" s="321">
        <v>7.8</v>
      </c>
      <c r="H397" s="321">
        <v>7.6</v>
      </c>
      <c r="I397" s="315">
        <f t="shared" si="27"/>
        <v>225.26399999999998</v>
      </c>
      <c r="J397" s="316">
        <f t="shared" si="29"/>
        <v>1.2412881042121271</v>
      </c>
    </row>
    <row r="398" spans="1:10">
      <c r="A398" s="295">
        <v>17</v>
      </c>
      <c r="B398" s="295">
        <f t="shared" si="30"/>
        <v>5</v>
      </c>
      <c r="C398" s="295">
        <v>1.5</v>
      </c>
      <c r="D398" s="295" t="s">
        <v>112</v>
      </c>
      <c r="E398" s="295">
        <v>28</v>
      </c>
      <c r="F398" s="316">
        <f t="shared" si="28"/>
        <v>1</v>
      </c>
      <c r="G398" s="321">
        <v>9</v>
      </c>
      <c r="H398" s="321">
        <v>8.1999999999999993</v>
      </c>
      <c r="I398" s="315">
        <f t="shared" si="27"/>
        <v>302.58</v>
      </c>
      <c r="J398" s="316">
        <f t="shared" si="29"/>
        <v>2.1727079503676467</v>
      </c>
    </row>
    <row r="399" spans="1:10">
      <c r="A399" s="295">
        <v>17</v>
      </c>
      <c r="B399" s="295">
        <f t="shared" si="30"/>
        <v>5</v>
      </c>
      <c r="C399" s="295">
        <v>2.1</v>
      </c>
      <c r="D399" s="295" t="s">
        <v>114</v>
      </c>
      <c r="E399" s="295">
        <v>28</v>
      </c>
      <c r="F399" s="316">
        <f t="shared" si="28"/>
        <v>1.0769230769230769</v>
      </c>
      <c r="G399" s="321">
        <v>8.9</v>
      </c>
      <c r="H399" s="321">
        <v>7.8</v>
      </c>
      <c r="I399" s="315">
        <f t="shared" si="27"/>
        <v>270.738</v>
      </c>
      <c r="J399" s="316">
        <f t="shared" si="29"/>
        <v>1.4396401139001218</v>
      </c>
    </row>
    <row r="400" spans="1:10">
      <c r="A400" s="295">
        <v>17</v>
      </c>
      <c r="B400" s="295">
        <f t="shared" si="30"/>
        <v>5</v>
      </c>
      <c r="C400" s="295">
        <v>2.2000000000000002</v>
      </c>
      <c r="D400" s="295" t="s">
        <v>115</v>
      </c>
      <c r="E400" s="295">
        <v>28</v>
      </c>
      <c r="F400" s="316">
        <f t="shared" si="28"/>
        <v>1</v>
      </c>
      <c r="G400" s="321">
        <v>6.8</v>
      </c>
      <c r="H400" s="321">
        <v>6.1</v>
      </c>
      <c r="I400" s="315">
        <f t="shared" si="27"/>
        <v>126.51399999999998</v>
      </c>
      <c r="J400" s="316">
        <f t="shared" si="29"/>
        <v>1.4421658592191506</v>
      </c>
    </row>
    <row r="401" spans="1:11">
      <c r="A401" s="295">
        <v>17</v>
      </c>
      <c r="B401" s="295">
        <f t="shared" si="30"/>
        <v>5</v>
      </c>
      <c r="C401" s="295">
        <v>2.2999999999999998</v>
      </c>
      <c r="D401" s="295" t="s">
        <v>112</v>
      </c>
      <c r="E401" s="295">
        <v>25</v>
      </c>
      <c r="F401" s="316">
        <f t="shared" si="28"/>
        <v>1</v>
      </c>
      <c r="G401" s="321">
        <v>10.4</v>
      </c>
      <c r="H401" s="321">
        <v>8.6</v>
      </c>
      <c r="I401" s="315">
        <f t="shared" si="27"/>
        <v>384.59199999999998</v>
      </c>
      <c r="J401" s="316">
        <f t="shared" si="29"/>
        <v>2.3155220268163013</v>
      </c>
    </row>
    <row r="402" spans="1:11">
      <c r="A402" s="295">
        <v>17</v>
      </c>
      <c r="B402" s="295">
        <f t="shared" si="30"/>
        <v>5</v>
      </c>
      <c r="C402" s="295">
        <v>2.4</v>
      </c>
      <c r="D402" s="295" t="s">
        <v>114</v>
      </c>
      <c r="E402" s="295">
        <v>26</v>
      </c>
      <c r="F402" s="316">
        <f t="shared" si="28"/>
        <v>1.04</v>
      </c>
      <c r="G402" s="321">
        <v>8.3000000000000007</v>
      </c>
      <c r="H402" s="321">
        <v>7</v>
      </c>
      <c r="I402" s="315">
        <f t="shared" si="27"/>
        <v>203.35000000000002</v>
      </c>
      <c r="J402" s="316">
        <f t="shared" si="29"/>
        <v>1.8916279069767443</v>
      </c>
      <c r="K402" s="316" t="s">
        <v>139</v>
      </c>
    </row>
    <row r="403" spans="1:11">
      <c r="A403" s="295">
        <v>17</v>
      </c>
      <c r="B403" s="295">
        <f t="shared" si="30"/>
        <v>5</v>
      </c>
      <c r="C403" s="295">
        <v>2.5</v>
      </c>
      <c r="D403" s="295" t="s">
        <v>113</v>
      </c>
      <c r="E403" s="295">
        <v>28</v>
      </c>
      <c r="F403" s="316">
        <f t="shared" si="28"/>
        <v>1.037037037037037</v>
      </c>
      <c r="G403" s="321">
        <v>9.1</v>
      </c>
      <c r="H403" s="321">
        <v>7.1</v>
      </c>
      <c r="I403" s="315">
        <f t="shared" si="27"/>
        <v>229.36549999999997</v>
      </c>
      <c r="J403" s="316">
        <f t="shared" si="29"/>
        <v>1.3446055269606405</v>
      </c>
    </row>
    <row r="404" spans="1:11" s="316" customFormat="1">
      <c r="A404" s="295">
        <v>17</v>
      </c>
      <c r="B404" s="295">
        <f t="shared" si="30"/>
        <v>5</v>
      </c>
      <c r="C404" s="295">
        <v>3.1</v>
      </c>
      <c r="D404" s="295" t="s">
        <v>115</v>
      </c>
      <c r="E404" s="295">
        <v>24</v>
      </c>
      <c r="F404" s="316">
        <f t="shared" si="28"/>
        <v>1</v>
      </c>
      <c r="G404" s="321">
        <v>9.6999999999999993</v>
      </c>
      <c r="H404" s="321">
        <v>7.2</v>
      </c>
      <c r="I404" s="315">
        <f t="shared" si="27"/>
        <v>251.42400000000001</v>
      </c>
      <c r="J404" s="316">
        <f t="shared" si="29"/>
        <v>1.3839218384477778</v>
      </c>
    </row>
    <row r="405" spans="1:11" s="316" customFormat="1">
      <c r="A405" s="295">
        <v>17</v>
      </c>
      <c r="B405" s="295">
        <f t="shared" si="30"/>
        <v>5</v>
      </c>
      <c r="C405" s="295">
        <v>3.2</v>
      </c>
      <c r="D405" s="295" t="s">
        <v>113</v>
      </c>
      <c r="E405" s="295">
        <v>32</v>
      </c>
      <c r="F405" s="316">
        <f t="shared" si="28"/>
        <v>1.0666666666666667</v>
      </c>
      <c r="G405" s="321">
        <v>10.3</v>
      </c>
      <c r="H405" s="321">
        <v>9.5</v>
      </c>
      <c r="I405" s="315">
        <f t="shared" si="27"/>
        <v>464.78750000000002</v>
      </c>
      <c r="J405" s="316">
        <f t="shared" si="29"/>
        <v>2.4220801892691877</v>
      </c>
    </row>
    <row r="406" spans="1:11" s="316" customFormat="1">
      <c r="A406" s="295">
        <v>17</v>
      </c>
      <c r="B406" s="295">
        <f t="shared" si="30"/>
        <v>5</v>
      </c>
      <c r="C406" s="295">
        <v>3.3</v>
      </c>
      <c r="D406" s="295" t="s">
        <v>114</v>
      </c>
      <c r="E406" s="295">
        <v>25</v>
      </c>
      <c r="F406" s="316">
        <f t="shared" si="28"/>
        <v>1</v>
      </c>
      <c r="G406" s="321">
        <v>10.4</v>
      </c>
      <c r="H406" s="321">
        <v>9.5</v>
      </c>
      <c r="I406" s="315">
        <f t="shared" ref="I406:I421" si="31">G406*(H406^2)*0.5</f>
        <v>469.3</v>
      </c>
      <c r="J406" s="316">
        <f t="shared" si="29"/>
        <v>2.2803692905733723</v>
      </c>
    </row>
    <row r="407" spans="1:11" s="316" customFormat="1">
      <c r="A407" s="295">
        <v>17</v>
      </c>
      <c r="B407" s="295">
        <f t="shared" si="30"/>
        <v>5</v>
      </c>
      <c r="C407" s="295">
        <v>3.4</v>
      </c>
      <c r="D407" s="295" t="s">
        <v>114</v>
      </c>
      <c r="E407" s="295">
        <v>26</v>
      </c>
      <c r="F407" s="316">
        <f t="shared" si="28"/>
        <v>1.04</v>
      </c>
      <c r="G407" s="321">
        <v>9.9</v>
      </c>
      <c r="H407" s="321">
        <v>9.1999999999999993</v>
      </c>
      <c r="I407" s="315">
        <f t="shared" si="31"/>
        <v>418.96799999999996</v>
      </c>
      <c r="J407" s="316">
        <f t="shared" si="29"/>
        <v>1.7868267967723772</v>
      </c>
    </row>
    <row r="408" spans="1:11" s="316" customFormat="1">
      <c r="A408" s="295">
        <v>17</v>
      </c>
      <c r="B408" s="295">
        <f t="shared" si="30"/>
        <v>5</v>
      </c>
      <c r="C408" s="295">
        <v>3.5</v>
      </c>
      <c r="D408" s="295" t="s">
        <v>115</v>
      </c>
      <c r="E408" s="295">
        <v>30</v>
      </c>
      <c r="F408" s="316">
        <f t="shared" si="28"/>
        <v>1.1111111111111112</v>
      </c>
      <c r="G408" s="321">
        <v>8.9</v>
      </c>
      <c r="H408" s="321">
        <v>8.8000000000000007</v>
      </c>
      <c r="I408" s="315">
        <f t="shared" si="31"/>
        <v>344.60800000000006</v>
      </c>
      <c r="J408" s="316">
        <f t="shared" si="29"/>
        <v>1.4807201478107679</v>
      </c>
    </row>
    <row r="409" spans="1:11" s="316" customFormat="1">
      <c r="A409" s="295">
        <v>17</v>
      </c>
      <c r="B409" s="295">
        <f t="shared" si="30"/>
        <v>5</v>
      </c>
      <c r="C409" s="295">
        <v>4.0999999999999996</v>
      </c>
      <c r="D409" s="295" t="s">
        <v>111</v>
      </c>
      <c r="E409" s="295">
        <v>30</v>
      </c>
      <c r="F409" s="316">
        <f t="shared" si="28"/>
        <v>1.0714285714285714</v>
      </c>
      <c r="G409" s="321">
        <v>15</v>
      </c>
      <c r="H409" s="321">
        <v>11.4</v>
      </c>
      <c r="I409" s="315">
        <f t="shared" si="31"/>
        <v>974.7</v>
      </c>
      <c r="J409" s="316">
        <f t="shared" si="29"/>
        <v>36.166975881261592</v>
      </c>
    </row>
    <row r="410" spans="1:11" s="316" customFormat="1">
      <c r="A410" s="295">
        <v>17</v>
      </c>
      <c r="B410" s="295">
        <f t="shared" si="30"/>
        <v>5</v>
      </c>
      <c r="C410" s="295">
        <v>4.2</v>
      </c>
      <c r="D410" s="295" t="s">
        <v>112</v>
      </c>
      <c r="E410" s="295">
        <v>30</v>
      </c>
      <c r="F410" s="316">
        <f t="shared" si="28"/>
        <v>1.0344827586206897</v>
      </c>
      <c r="G410" s="321">
        <v>11</v>
      </c>
      <c r="H410" s="321">
        <v>9.1999999999999993</v>
      </c>
      <c r="I410" s="315">
        <f t="shared" si="31"/>
        <v>465.51999999999992</v>
      </c>
      <c r="J410" s="316">
        <f t="shared" si="29"/>
        <v>1.3986383766276687</v>
      </c>
    </row>
    <row r="411" spans="1:11" s="316" customFormat="1">
      <c r="A411" s="295">
        <v>17</v>
      </c>
      <c r="B411" s="295">
        <f t="shared" si="30"/>
        <v>5</v>
      </c>
      <c r="C411" s="295">
        <v>4.3</v>
      </c>
      <c r="D411" s="295" t="s">
        <v>113</v>
      </c>
      <c r="E411" s="295">
        <v>26</v>
      </c>
      <c r="F411" s="316">
        <f t="shared" si="28"/>
        <v>1</v>
      </c>
      <c r="G411" s="321">
        <v>8.6999999999999993</v>
      </c>
      <c r="H411" s="321">
        <v>7.7</v>
      </c>
      <c r="I411" s="315">
        <f t="shared" si="31"/>
        <v>257.91149999999999</v>
      </c>
      <c r="J411" s="316">
        <f t="shared" si="29"/>
        <v>1.8519610236672792</v>
      </c>
    </row>
    <row r="412" spans="1:11" s="316" customFormat="1">
      <c r="A412" s="295">
        <v>17</v>
      </c>
      <c r="B412" s="295">
        <f t="shared" si="30"/>
        <v>5</v>
      </c>
      <c r="C412" s="295">
        <v>4.4000000000000004</v>
      </c>
      <c r="D412" s="295" t="s">
        <v>112</v>
      </c>
      <c r="E412" s="295">
        <v>30</v>
      </c>
      <c r="F412" s="316">
        <f t="shared" si="28"/>
        <v>0.967741935483871</v>
      </c>
      <c r="G412" s="321">
        <v>12.9</v>
      </c>
      <c r="H412" s="321">
        <v>9.4</v>
      </c>
      <c r="I412" s="315">
        <f t="shared" si="31"/>
        <v>569.92200000000014</v>
      </c>
      <c r="J412" s="316">
        <f t="shared" si="29"/>
        <v>3.0312984509008714</v>
      </c>
    </row>
    <row r="413" spans="1:11" s="316" customFormat="1">
      <c r="A413" s="295">
        <v>17</v>
      </c>
      <c r="B413" s="295">
        <f t="shared" si="30"/>
        <v>5</v>
      </c>
      <c r="C413" s="295">
        <v>4.5</v>
      </c>
      <c r="D413" s="295" t="s">
        <v>112</v>
      </c>
      <c r="E413" s="295">
        <v>27</v>
      </c>
      <c r="F413" s="316">
        <f t="shared" si="28"/>
        <v>1</v>
      </c>
      <c r="G413" s="321">
        <v>10</v>
      </c>
      <c r="H413" s="321">
        <v>9.9</v>
      </c>
      <c r="I413" s="315">
        <f t="shared" si="31"/>
        <v>490.05</v>
      </c>
      <c r="J413" s="316">
        <f t="shared" si="29"/>
        <v>2.1895021848108729</v>
      </c>
    </row>
    <row r="414" spans="1:11" s="316" customFormat="1">
      <c r="A414" s="295">
        <v>17</v>
      </c>
      <c r="B414" s="295">
        <f t="shared" si="30"/>
        <v>5</v>
      </c>
      <c r="C414" s="295">
        <v>5.0999999999999996</v>
      </c>
      <c r="D414" s="295" t="s">
        <v>113</v>
      </c>
      <c r="E414" s="295">
        <v>25</v>
      </c>
      <c r="F414" s="316">
        <f t="shared" si="28"/>
        <v>1.0416666666666667</v>
      </c>
      <c r="G414" s="321">
        <v>7.9</v>
      </c>
      <c r="H414" s="321">
        <v>7.8</v>
      </c>
      <c r="I414" s="315">
        <f t="shared" si="31"/>
        <v>240.31799999999998</v>
      </c>
      <c r="J414" s="316">
        <f t="shared" si="29"/>
        <v>1.446888189147044</v>
      </c>
    </row>
    <row r="415" spans="1:11" s="316" customFormat="1">
      <c r="A415" s="295">
        <v>17</v>
      </c>
      <c r="B415" s="295">
        <f t="shared" si="30"/>
        <v>5</v>
      </c>
      <c r="C415" s="295">
        <v>5.2</v>
      </c>
      <c r="D415" s="295" t="s">
        <v>114</v>
      </c>
      <c r="E415" s="295">
        <v>29</v>
      </c>
      <c r="F415" s="316">
        <f t="shared" si="28"/>
        <v>1.0740740740740742</v>
      </c>
      <c r="G415" s="321">
        <v>10.5</v>
      </c>
      <c r="H415" s="321">
        <v>8</v>
      </c>
      <c r="I415" s="315">
        <f t="shared" si="31"/>
        <v>336</v>
      </c>
      <c r="J415" s="316">
        <f t="shared" si="29"/>
        <v>2.0298680585761928</v>
      </c>
    </row>
    <row r="416" spans="1:11" s="316" customFormat="1">
      <c r="A416" s="295">
        <v>17</v>
      </c>
      <c r="B416" s="295">
        <f t="shared" si="30"/>
        <v>5</v>
      </c>
      <c r="C416" s="295">
        <v>5.3</v>
      </c>
      <c r="D416" s="295" t="s">
        <v>112</v>
      </c>
      <c r="E416" s="295">
        <v>31</v>
      </c>
      <c r="F416" s="316">
        <f t="shared" si="28"/>
        <v>1.1071428571428572</v>
      </c>
      <c r="G416" s="321">
        <v>8.8000000000000007</v>
      </c>
      <c r="H416" s="321">
        <v>8.6</v>
      </c>
      <c r="I416" s="315">
        <f t="shared" si="31"/>
        <v>325.42399999999998</v>
      </c>
      <c r="J416" s="316">
        <f t="shared" si="29"/>
        <v>1.3714998567069574</v>
      </c>
    </row>
    <row r="417" spans="1:11" s="316" customFormat="1">
      <c r="A417" s="295">
        <v>17</v>
      </c>
      <c r="B417" s="295">
        <f t="shared" si="30"/>
        <v>5</v>
      </c>
      <c r="C417" s="295">
        <v>5.4</v>
      </c>
      <c r="D417" s="295" t="s">
        <v>113</v>
      </c>
      <c r="E417" s="295">
        <v>27</v>
      </c>
      <c r="F417" s="316">
        <f t="shared" si="28"/>
        <v>1.0384615384615385</v>
      </c>
      <c r="G417" s="321">
        <v>8</v>
      </c>
      <c r="H417" s="321">
        <v>7.5</v>
      </c>
      <c r="I417" s="315">
        <f t="shared" si="31"/>
        <v>225</v>
      </c>
      <c r="J417" s="316">
        <f t="shared" si="29"/>
        <v>1.2580374615599665</v>
      </c>
    </row>
    <row r="418" spans="1:11" s="316" customFormat="1">
      <c r="A418" s="295">
        <v>17</v>
      </c>
      <c r="B418" s="295">
        <f t="shared" si="30"/>
        <v>5</v>
      </c>
      <c r="C418" s="295">
        <v>5.5</v>
      </c>
      <c r="D418" s="295" t="s">
        <v>114</v>
      </c>
      <c r="E418" s="295">
        <v>23</v>
      </c>
      <c r="F418" s="316">
        <f t="shared" si="28"/>
        <v>1.0454545454545454</v>
      </c>
      <c r="G418" s="321">
        <v>7.2</v>
      </c>
      <c r="H418" s="321">
        <v>6.6</v>
      </c>
      <c r="I418" s="315">
        <f t="shared" si="31"/>
        <v>156.81599999999997</v>
      </c>
      <c r="J418" s="316">
        <f t="shared" si="29"/>
        <v>1.558776167471819</v>
      </c>
    </row>
    <row r="419" spans="1:11" s="316" customFormat="1">
      <c r="A419" s="295">
        <v>17</v>
      </c>
      <c r="B419" s="295">
        <f t="shared" si="30"/>
        <v>5</v>
      </c>
      <c r="C419" s="295">
        <v>6.1</v>
      </c>
      <c r="D419" s="295" t="s">
        <v>115</v>
      </c>
      <c r="E419" s="295">
        <v>27</v>
      </c>
      <c r="F419" s="316">
        <f t="shared" si="28"/>
        <v>1.08</v>
      </c>
      <c r="G419" s="321">
        <v>10.5</v>
      </c>
      <c r="H419" s="321">
        <v>9.1</v>
      </c>
      <c r="I419" s="315">
        <f t="shared" si="31"/>
        <v>434.75249999999994</v>
      </c>
      <c r="J419" s="316">
        <f t="shared" si="29"/>
        <v>3.2313995837669087</v>
      </c>
    </row>
    <row r="420" spans="1:11">
      <c r="A420" s="295">
        <v>17</v>
      </c>
      <c r="B420" s="295">
        <f t="shared" si="30"/>
        <v>5</v>
      </c>
      <c r="C420" s="295">
        <v>6.2</v>
      </c>
      <c r="D420" s="295" t="s">
        <v>115</v>
      </c>
      <c r="E420" s="295">
        <v>29</v>
      </c>
      <c r="F420" s="316">
        <f t="shared" si="28"/>
        <v>1.0740740740740742</v>
      </c>
      <c r="G420" s="321">
        <v>8.5</v>
      </c>
      <c r="H420" s="321">
        <v>7.4</v>
      </c>
      <c r="I420" s="315">
        <f t="shared" si="31"/>
        <v>232.73000000000002</v>
      </c>
      <c r="J420" s="316">
        <f t="shared" si="29"/>
        <v>1.867015366596205</v>
      </c>
    </row>
    <row r="421" spans="1:11">
      <c r="A421" s="295">
        <v>17</v>
      </c>
      <c r="B421" s="295">
        <f t="shared" si="30"/>
        <v>5</v>
      </c>
      <c r="C421" s="295">
        <v>6.3</v>
      </c>
      <c r="D421" s="295" t="s">
        <v>114</v>
      </c>
      <c r="E421" s="295">
        <v>26</v>
      </c>
      <c r="F421" s="316">
        <f t="shared" si="28"/>
        <v>1.0833333333333333</v>
      </c>
      <c r="G421" s="321">
        <v>8.3000000000000007</v>
      </c>
      <c r="H421" s="321">
        <v>8.1</v>
      </c>
      <c r="I421" s="315">
        <f t="shared" si="31"/>
        <v>272.28149999999999</v>
      </c>
      <c r="J421" s="316">
        <f t="shared" si="29"/>
        <v>1.8106050278790939</v>
      </c>
    </row>
    <row r="422" spans="1:11">
      <c r="A422" s="295">
        <v>17</v>
      </c>
      <c r="B422" s="295">
        <f t="shared" si="30"/>
        <v>5</v>
      </c>
      <c r="C422" s="295">
        <v>6.4</v>
      </c>
      <c r="D422" s="295" t="s">
        <v>112</v>
      </c>
      <c r="E422" s="295">
        <v>30</v>
      </c>
      <c r="F422" s="316">
        <f t="shared" si="28"/>
        <v>1.0344827586206897</v>
      </c>
      <c r="G422" s="321">
        <v>8.6999999999999993</v>
      </c>
      <c r="H422" s="321">
        <v>7.6</v>
      </c>
      <c r="I422" s="315">
        <f>G422*(H422^2)*0.5</f>
        <v>251.25599999999997</v>
      </c>
      <c r="J422" s="316">
        <f t="shared" si="29"/>
        <v>4.3260330578512383</v>
      </c>
    </row>
    <row r="423" spans="1:11">
      <c r="A423" s="295">
        <v>17</v>
      </c>
      <c r="B423" s="295">
        <f t="shared" si="30"/>
        <v>5</v>
      </c>
      <c r="C423" s="295">
        <v>6.5</v>
      </c>
      <c r="D423" s="295" t="s">
        <v>113</v>
      </c>
      <c r="E423" s="295">
        <v>26</v>
      </c>
      <c r="F423" s="316">
        <f t="shared" si="28"/>
        <v>1.0833333333333333</v>
      </c>
      <c r="G423" s="321">
        <v>7.9</v>
      </c>
      <c r="H423" s="321">
        <v>7.8</v>
      </c>
      <c r="I423" s="315">
        <f t="shared" ref="I423:I456" si="32">G423*(H423^2)*0.5</f>
        <v>240.31799999999998</v>
      </c>
      <c r="J423" s="316">
        <f t="shared" si="29"/>
        <v>4.7470222222222223</v>
      </c>
      <c r="K423" s="316" t="s">
        <v>140</v>
      </c>
    </row>
    <row r="424" spans="1:11">
      <c r="A424" s="295">
        <v>17</v>
      </c>
      <c r="B424" s="295">
        <f t="shared" si="30"/>
        <v>5</v>
      </c>
      <c r="C424" s="295">
        <v>7.1</v>
      </c>
      <c r="D424" s="295" t="s">
        <v>114</v>
      </c>
      <c r="E424" s="295">
        <v>29</v>
      </c>
      <c r="F424" s="316">
        <f t="shared" si="28"/>
        <v>1.0740740740740742</v>
      </c>
      <c r="G424" s="321">
        <v>9</v>
      </c>
      <c r="H424" s="321">
        <v>8.6999999999999993</v>
      </c>
      <c r="I424" s="315">
        <f t="shared" si="32"/>
        <v>340.6049999999999</v>
      </c>
      <c r="J424" s="316">
        <f t="shared" si="29"/>
        <v>2.5229999999999992</v>
      </c>
    </row>
    <row r="425" spans="1:11">
      <c r="A425" s="295">
        <v>17</v>
      </c>
      <c r="B425" s="295">
        <f t="shared" si="30"/>
        <v>5</v>
      </c>
      <c r="C425" s="295">
        <v>7.2</v>
      </c>
      <c r="D425" s="295" t="s">
        <v>111</v>
      </c>
      <c r="E425" s="295">
        <v>30</v>
      </c>
      <c r="F425" s="316">
        <f t="shared" si="28"/>
        <v>1.0344827586206897</v>
      </c>
      <c r="G425" s="321">
        <v>5.2</v>
      </c>
      <c r="H425" s="321">
        <v>3.8</v>
      </c>
      <c r="I425" s="315">
        <f t="shared" si="32"/>
        <v>37.543999999999997</v>
      </c>
      <c r="J425" s="316">
        <f t="shared" si="29"/>
        <v>2.4801162637072265</v>
      </c>
    </row>
    <row r="426" spans="1:11">
      <c r="A426" s="295">
        <v>17</v>
      </c>
      <c r="B426" s="295">
        <f t="shared" si="30"/>
        <v>5</v>
      </c>
      <c r="C426" s="295">
        <v>7.3</v>
      </c>
      <c r="D426" s="295" t="s">
        <v>113</v>
      </c>
      <c r="E426" s="295">
        <v>28</v>
      </c>
      <c r="F426" s="316">
        <f t="shared" si="28"/>
        <v>1.037037037037037</v>
      </c>
      <c r="G426" s="321">
        <v>8.1</v>
      </c>
      <c r="H426" s="321">
        <v>7.7</v>
      </c>
      <c r="I426" s="315">
        <f t="shared" si="32"/>
        <v>240.12450000000001</v>
      </c>
      <c r="J426" s="316">
        <f t="shared" si="29"/>
        <v>1.6805555555555558</v>
      </c>
    </row>
    <row r="427" spans="1:11">
      <c r="A427" s="295">
        <v>17</v>
      </c>
      <c r="B427" s="295">
        <f t="shared" si="30"/>
        <v>5</v>
      </c>
      <c r="C427" s="295">
        <v>7.4</v>
      </c>
      <c r="D427" s="295" t="s">
        <v>115</v>
      </c>
      <c r="E427" s="295">
        <v>30</v>
      </c>
      <c r="F427" s="316">
        <f t="shared" si="28"/>
        <v>1.1111111111111112</v>
      </c>
      <c r="G427" s="321">
        <v>7.7</v>
      </c>
      <c r="H427" s="321">
        <v>7</v>
      </c>
      <c r="I427" s="315">
        <f t="shared" si="32"/>
        <v>188.65</v>
      </c>
      <c r="J427" s="316">
        <f t="shared" si="29"/>
        <v>1.593946972641398</v>
      </c>
    </row>
    <row r="428" spans="1:11">
      <c r="A428" s="295">
        <v>17</v>
      </c>
      <c r="B428" s="295">
        <f t="shared" si="30"/>
        <v>5</v>
      </c>
      <c r="C428" s="295">
        <v>7.5</v>
      </c>
      <c r="D428" s="295" t="s">
        <v>111</v>
      </c>
      <c r="E428" s="295">
        <v>30</v>
      </c>
      <c r="F428" s="316">
        <f t="shared" si="28"/>
        <v>1.0344827586206897</v>
      </c>
      <c r="G428" s="321">
        <v>8.1999999999999993</v>
      </c>
      <c r="H428" s="321">
        <v>6.8</v>
      </c>
      <c r="I428" s="315">
        <f t="shared" si="32"/>
        <v>189.58399999999997</v>
      </c>
      <c r="J428" s="316">
        <f t="shared" si="29"/>
        <v>3.0651231973097066</v>
      </c>
    </row>
    <row r="429" spans="1:11">
      <c r="A429" s="295">
        <v>18</v>
      </c>
      <c r="B429" s="295">
        <f t="shared" si="30"/>
        <v>6</v>
      </c>
      <c r="C429" s="295">
        <v>1.1000000000000001</v>
      </c>
      <c r="D429" s="295" t="s">
        <v>112</v>
      </c>
      <c r="E429" s="295">
        <v>30</v>
      </c>
      <c r="F429" s="316">
        <f t="shared" si="28"/>
        <v>1.0714285714285714</v>
      </c>
      <c r="G429" s="321">
        <v>10.7</v>
      </c>
      <c r="H429" s="321">
        <v>9.4</v>
      </c>
      <c r="I429" s="315">
        <f t="shared" si="32"/>
        <v>472.72600000000006</v>
      </c>
      <c r="J429" s="316">
        <f t="shared" si="29"/>
        <v>2.0985421549825984</v>
      </c>
    </row>
    <row r="430" spans="1:11">
      <c r="A430" s="295">
        <v>18</v>
      </c>
      <c r="B430" s="295">
        <f t="shared" si="30"/>
        <v>6</v>
      </c>
      <c r="C430" s="295">
        <v>1.2</v>
      </c>
      <c r="D430" s="295" t="s">
        <v>113</v>
      </c>
      <c r="E430" s="295">
        <v>28</v>
      </c>
      <c r="F430" s="316">
        <f t="shared" si="28"/>
        <v>1.037037037037037</v>
      </c>
      <c r="G430" s="321">
        <v>8.3000000000000007</v>
      </c>
      <c r="H430" s="321">
        <v>7.2</v>
      </c>
      <c r="I430" s="315">
        <f t="shared" si="32"/>
        <v>215.13600000000002</v>
      </c>
      <c r="J430" s="316">
        <f t="shared" si="29"/>
        <v>1.0283673874231305</v>
      </c>
    </row>
    <row r="431" spans="1:11">
      <c r="A431" s="295">
        <v>18</v>
      </c>
      <c r="B431" s="295">
        <f t="shared" si="30"/>
        <v>6</v>
      </c>
      <c r="C431" s="295">
        <v>1.3</v>
      </c>
      <c r="D431" s="295" t="s">
        <v>115</v>
      </c>
      <c r="E431" s="295">
        <v>25</v>
      </c>
      <c r="F431" s="316">
        <f t="shared" si="28"/>
        <v>1.0416666666666667</v>
      </c>
      <c r="G431" s="321">
        <v>6.3</v>
      </c>
      <c r="H431" s="321">
        <v>6.3</v>
      </c>
      <c r="I431" s="315">
        <f t="shared" si="32"/>
        <v>125.02349999999998</v>
      </c>
      <c r="J431" s="316">
        <f t="shared" si="29"/>
        <v>1.2610294117647056</v>
      </c>
    </row>
    <row r="432" spans="1:11">
      <c r="A432" s="295">
        <v>18</v>
      </c>
      <c r="B432" s="295">
        <f t="shared" si="30"/>
        <v>6</v>
      </c>
      <c r="C432" s="295">
        <v>1.4</v>
      </c>
      <c r="D432" s="295" t="s">
        <v>115</v>
      </c>
      <c r="E432" s="295">
        <v>27</v>
      </c>
      <c r="F432" s="316">
        <f t="shared" si="28"/>
        <v>0.9642857142857143</v>
      </c>
      <c r="G432" s="321">
        <v>7</v>
      </c>
      <c r="H432" s="321">
        <v>5.9</v>
      </c>
      <c r="I432" s="315">
        <f t="shared" si="32"/>
        <v>121.83500000000001</v>
      </c>
      <c r="J432" s="316">
        <f t="shared" si="29"/>
        <v>0.67135599197690055</v>
      </c>
      <c r="K432" s="316" t="s">
        <v>134</v>
      </c>
    </row>
    <row r="433" spans="1:10">
      <c r="A433" s="295">
        <v>18</v>
      </c>
      <c r="B433" s="295">
        <f t="shared" si="30"/>
        <v>6</v>
      </c>
      <c r="C433" s="295">
        <v>1.5</v>
      </c>
      <c r="D433" s="295" t="s">
        <v>112</v>
      </c>
      <c r="E433" s="295">
        <v>27</v>
      </c>
      <c r="F433" s="316">
        <f t="shared" si="28"/>
        <v>0.9642857142857143</v>
      </c>
      <c r="G433" s="321">
        <v>9.3000000000000007</v>
      </c>
      <c r="H433" s="321">
        <v>8.6999999999999993</v>
      </c>
      <c r="I433" s="315">
        <f t="shared" si="32"/>
        <v>351.95849999999996</v>
      </c>
      <c r="J433" s="316">
        <f t="shared" si="29"/>
        <v>2.5272755342371318</v>
      </c>
    </row>
    <row r="434" spans="1:10">
      <c r="A434" s="295">
        <v>18</v>
      </c>
      <c r="B434" s="295">
        <f t="shared" si="30"/>
        <v>6</v>
      </c>
      <c r="C434" s="295">
        <v>2.1</v>
      </c>
      <c r="D434" s="295" t="s">
        <v>114</v>
      </c>
      <c r="E434" s="295">
        <v>28</v>
      </c>
      <c r="F434" s="316">
        <f t="shared" si="28"/>
        <v>1.0769230769230769</v>
      </c>
      <c r="G434" s="321">
        <v>9.4</v>
      </c>
      <c r="H434" s="321">
        <v>7.3</v>
      </c>
      <c r="I434" s="315">
        <f t="shared" si="32"/>
        <v>250.46299999999999</v>
      </c>
      <c r="J434" s="316">
        <f t="shared" si="29"/>
        <v>1.3318284904511601</v>
      </c>
    </row>
    <row r="435" spans="1:10">
      <c r="A435" s="295">
        <v>18</v>
      </c>
      <c r="B435" s="295">
        <f t="shared" si="30"/>
        <v>6</v>
      </c>
      <c r="C435" s="295">
        <v>2.2000000000000002</v>
      </c>
      <c r="D435" s="295" t="s">
        <v>115</v>
      </c>
      <c r="E435" s="295">
        <v>29</v>
      </c>
      <c r="F435" s="316">
        <f t="shared" si="28"/>
        <v>1.0357142857142858</v>
      </c>
      <c r="G435" s="321">
        <v>5</v>
      </c>
      <c r="H435" s="321">
        <v>4.8</v>
      </c>
      <c r="I435" s="315">
        <f t="shared" si="32"/>
        <v>57.599999999999994</v>
      </c>
      <c r="J435" s="316">
        <f t="shared" si="29"/>
        <v>0.65659732117412362</v>
      </c>
    </row>
    <row r="436" spans="1:10" s="316" customFormat="1">
      <c r="A436" s="295">
        <v>18</v>
      </c>
      <c r="B436" s="295">
        <f t="shared" si="30"/>
        <v>6</v>
      </c>
      <c r="C436" s="295">
        <v>2.2999999999999998</v>
      </c>
      <c r="D436" s="295" t="s">
        <v>112</v>
      </c>
      <c r="E436" s="295">
        <v>25</v>
      </c>
      <c r="F436" s="316">
        <f t="shared" si="28"/>
        <v>1</v>
      </c>
      <c r="G436" s="321">
        <v>10.6</v>
      </c>
      <c r="H436" s="321">
        <v>9.4</v>
      </c>
      <c r="I436" s="315">
        <f t="shared" si="32"/>
        <v>468.30800000000005</v>
      </c>
      <c r="J436" s="316">
        <f t="shared" si="29"/>
        <v>2.8195529010855362</v>
      </c>
    </row>
    <row r="437" spans="1:10" s="316" customFormat="1">
      <c r="A437" s="295">
        <v>18</v>
      </c>
      <c r="B437" s="295">
        <f t="shared" si="30"/>
        <v>6</v>
      </c>
      <c r="C437" s="295">
        <v>2.4</v>
      </c>
      <c r="D437" s="295" t="s">
        <v>114</v>
      </c>
      <c r="E437" s="295">
        <v>26</v>
      </c>
      <c r="F437" s="316">
        <f t="shared" si="28"/>
        <v>1.04</v>
      </c>
      <c r="G437" s="321">
        <v>7.7</v>
      </c>
      <c r="H437" s="321">
        <v>7.1</v>
      </c>
      <c r="I437" s="315">
        <f t="shared" si="32"/>
        <v>194.07849999999999</v>
      </c>
      <c r="J437" s="316">
        <f t="shared" si="29"/>
        <v>1.8053813953488371</v>
      </c>
    </row>
    <row r="438" spans="1:10" s="316" customFormat="1">
      <c r="A438" s="295">
        <v>18</v>
      </c>
      <c r="B438" s="295">
        <f t="shared" si="30"/>
        <v>6</v>
      </c>
      <c r="C438" s="295">
        <v>2.5</v>
      </c>
      <c r="D438" s="295" t="s">
        <v>113</v>
      </c>
      <c r="E438" s="295">
        <v>29</v>
      </c>
      <c r="F438" s="316">
        <f t="shared" si="28"/>
        <v>1.0740740740740742</v>
      </c>
      <c r="G438" s="321">
        <v>8</v>
      </c>
      <c r="H438" s="321">
        <v>7</v>
      </c>
      <c r="I438" s="315">
        <f t="shared" si="32"/>
        <v>196</v>
      </c>
      <c r="J438" s="316">
        <f t="shared" si="29"/>
        <v>1.1490075154471164</v>
      </c>
    </row>
    <row r="439" spans="1:10" s="316" customFormat="1">
      <c r="A439" s="295">
        <v>18</v>
      </c>
      <c r="B439" s="295">
        <f t="shared" si="30"/>
        <v>6</v>
      </c>
      <c r="C439" s="295">
        <v>3.1</v>
      </c>
      <c r="D439" s="295" t="s">
        <v>115</v>
      </c>
      <c r="E439" s="295">
        <v>25</v>
      </c>
      <c r="F439" s="316">
        <f t="shared" si="28"/>
        <v>1.0416666666666667</v>
      </c>
      <c r="G439" s="321">
        <v>8.4</v>
      </c>
      <c r="H439" s="321">
        <v>6.7</v>
      </c>
      <c r="I439" s="315">
        <f t="shared" si="32"/>
        <v>188.53800000000001</v>
      </c>
      <c r="J439" s="316">
        <f t="shared" si="29"/>
        <v>1.037776248795927</v>
      </c>
    </row>
    <row r="440" spans="1:10" s="316" customFormat="1">
      <c r="A440" s="295">
        <v>18</v>
      </c>
      <c r="B440" s="295">
        <f t="shared" si="30"/>
        <v>6</v>
      </c>
      <c r="C440" s="295">
        <v>3.2</v>
      </c>
      <c r="D440" s="295" t="s">
        <v>113</v>
      </c>
      <c r="E440" s="295">
        <v>32</v>
      </c>
      <c r="F440" s="316">
        <f t="shared" si="28"/>
        <v>1.0666666666666667</v>
      </c>
      <c r="G440" s="321">
        <v>9.6</v>
      </c>
      <c r="H440" s="321">
        <v>7.5</v>
      </c>
      <c r="I440" s="315">
        <f t="shared" si="32"/>
        <v>270</v>
      </c>
      <c r="J440" s="316">
        <f t="shared" si="29"/>
        <v>1.4070121315712678</v>
      </c>
    </row>
    <row r="441" spans="1:10" s="316" customFormat="1">
      <c r="A441" s="295">
        <v>18</v>
      </c>
      <c r="B441" s="295">
        <f t="shared" si="30"/>
        <v>6</v>
      </c>
      <c r="C441" s="295">
        <v>3.3</v>
      </c>
      <c r="D441" s="295" t="s">
        <v>114</v>
      </c>
      <c r="E441" s="295">
        <v>26</v>
      </c>
      <c r="F441" s="316">
        <f t="shared" si="28"/>
        <v>1.04</v>
      </c>
      <c r="G441" s="321">
        <v>9.4</v>
      </c>
      <c r="H441" s="321">
        <v>9.1</v>
      </c>
      <c r="I441" s="315">
        <f t="shared" si="32"/>
        <v>389.20699999999994</v>
      </c>
      <c r="J441" s="316">
        <f t="shared" si="29"/>
        <v>1.8911904761904759</v>
      </c>
    </row>
    <row r="442" spans="1:10" s="316" customFormat="1">
      <c r="A442" s="295">
        <v>18</v>
      </c>
      <c r="B442" s="295">
        <f t="shared" si="30"/>
        <v>6</v>
      </c>
      <c r="C442" s="295">
        <v>3.4</v>
      </c>
      <c r="D442" s="295" t="s">
        <v>114</v>
      </c>
      <c r="E442" s="295">
        <v>27</v>
      </c>
      <c r="F442" s="316">
        <f t="shared" si="28"/>
        <v>1.08</v>
      </c>
      <c r="G442" s="321">
        <v>9.1999999999999993</v>
      </c>
      <c r="H442" s="321">
        <v>9</v>
      </c>
      <c r="I442" s="315">
        <f t="shared" si="32"/>
        <v>372.59999999999997</v>
      </c>
      <c r="J442" s="316">
        <f t="shared" si="29"/>
        <v>1.5890752145208888</v>
      </c>
    </row>
    <row r="443" spans="1:10" s="316" customFormat="1">
      <c r="A443" s="295">
        <v>18</v>
      </c>
      <c r="B443" s="295">
        <f t="shared" si="30"/>
        <v>6</v>
      </c>
      <c r="C443" s="295">
        <v>3.5</v>
      </c>
      <c r="D443" s="295" t="s">
        <v>115</v>
      </c>
      <c r="E443" s="295">
        <v>29</v>
      </c>
      <c r="F443" s="316">
        <f t="shared" si="28"/>
        <v>1.0740740740740742</v>
      </c>
      <c r="G443" s="321">
        <v>9.8000000000000007</v>
      </c>
      <c r="H443" s="321">
        <v>7.7</v>
      </c>
      <c r="I443" s="315">
        <f t="shared" si="32"/>
        <v>290.52100000000007</v>
      </c>
      <c r="J443" s="316">
        <f t="shared" si="29"/>
        <v>1.2483177931508618</v>
      </c>
    </row>
    <row r="444" spans="1:10" s="316" customFormat="1">
      <c r="A444" s="295">
        <v>18</v>
      </c>
      <c r="B444" s="295">
        <f t="shared" si="30"/>
        <v>6</v>
      </c>
      <c r="C444" s="295">
        <v>4.0999999999999996</v>
      </c>
      <c r="D444" s="295" t="s">
        <v>111</v>
      </c>
      <c r="E444" s="295">
        <v>31</v>
      </c>
      <c r="F444" s="316">
        <f t="shared" si="28"/>
        <v>1.1071428571428572</v>
      </c>
      <c r="G444" s="321">
        <v>15.2</v>
      </c>
      <c r="H444" s="321">
        <v>10.3</v>
      </c>
      <c r="I444" s="315">
        <f t="shared" si="32"/>
        <v>806.28400000000011</v>
      </c>
      <c r="J444" s="316">
        <f t="shared" si="29"/>
        <v>29.917773654916513</v>
      </c>
    </row>
    <row r="445" spans="1:10" s="316" customFormat="1">
      <c r="A445" s="295">
        <v>18</v>
      </c>
      <c r="B445" s="295">
        <f t="shared" si="30"/>
        <v>6</v>
      </c>
      <c r="C445" s="295">
        <v>4.2</v>
      </c>
      <c r="D445" s="295" t="s">
        <v>112</v>
      </c>
      <c r="E445" s="295">
        <v>30</v>
      </c>
      <c r="F445" s="316">
        <f t="shared" si="28"/>
        <v>1.0344827586206897</v>
      </c>
      <c r="G445" s="321">
        <v>12</v>
      </c>
      <c r="H445" s="321">
        <v>8.8000000000000007</v>
      </c>
      <c r="I445" s="315">
        <f t="shared" si="32"/>
        <v>464.6400000000001</v>
      </c>
      <c r="J445" s="316">
        <f t="shared" si="29"/>
        <v>1.395994447749356</v>
      </c>
    </row>
    <row r="446" spans="1:10" s="316" customFormat="1">
      <c r="A446" s="295">
        <v>18</v>
      </c>
      <c r="B446" s="295">
        <f t="shared" si="30"/>
        <v>6</v>
      </c>
      <c r="C446" s="295">
        <v>4.3</v>
      </c>
      <c r="D446" s="295" t="s">
        <v>113</v>
      </c>
      <c r="E446" s="295">
        <v>28</v>
      </c>
      <c r="F446" s="316">
        <f t="shared" si="28"/>
        <v>1.0769230769230769</v>
      </c>
      <c r="G446" s="321">
        <v>7.4</v>
      </c>
      <c r="H446" s="321">
        <v>7.1</v>
      </c>
      <c r="I446" s="315">
        <f t="shared" si="32"/>
        <v>186.517</v>
      </c>
      <c r="J446" s="316">
        <f t="shared" si="29"/>
        <v>1.3393052045036764</v>
      </c>
    </row>
    <row r="447" spans="1:10" s="316" customFormat="1">
      <c r="A447" s="295">
        <v>18</v>
      </c>
      <c r="B447" s="295">
        <f t="shared" si="30"/>
        <v>6</v>
      </c>
      <c r="C447" s="295">
        <v>4.4000000000000004</v>
      </c>
      <c r="D447" s="295" t="s">
        <v>112</v>
      </c>
      <c r="E447" s="295">
        <v>30</v>
      </c>
      <c r="F447" s="316">
        <f t="shared" si="28"/>
        <v>0.967741935483871</v>
      </c>
      <c r="G447" s="321">
        <v>12.3</v>
      </c>
      <c r="H447" s="321">
        <v>9.1</v>
      </c>
      <c r="I447" s="315">
        <f t="shared" si="32"/>
        <v>509.28149999999994</v>
      </c>
      <c r="J447" s="316">
        <f t="shared" si="29"/>
        <v>2.7087640449438197</v>
      </c>
    </row>
    <row r="448" spans="1:10" s="316" customFormat="1">
      <c r="A448" s="295">
        <v>18</v>
      </c>
      <c r="B448" s="295">
        <f t="shared" si="30"/>
        <v>6</v>
      </c>
      <c r="C448" s="295">
        <v>4.5</v>
      </c>
      <c r="D448" s="295" t="s">
        <v>112</v>
      </c>
      <c r="E448" s="295">
        <v>28</v>
      </c>
      <c r="F448" s="316">
        <f t="shared" si="28"/>
        <v>1.037037037037037</v>
      </c>
      <c r="G448" s="321">
        <v>9.8000000000000007</v>
      </c>
      <c r="H448" s="321">
        <v>9.1999999999999993</v>
      </c>
      <c r="I448" s="315">
        <f t="shared" si="32"/>
        <v>414.73599999999999</v>
      </c>
      <c r="J448" s="316">
        <f t="shared" si="29"/>
        <v>1.8530055670232062</v>
      </c>
    </row>
    <row r="449" spans="1:11" s="316" customFormat="1">
      <c r="A449" s="295">
        <v>18</v>
      </c>
      <c r="B449" s="295">
        <f t="shared" si="30"/>
        <v>6</v>
      </c>
      <c r="C449" s="295">
        <v>5.0999999999999996</v>
      </c>
      <c r="D449" s="295" t="s">
        <v>113</v>
      </c>
      <c r="E449" s="295">
        <v>26</v>
      </c>
      <c r="F449" s="316">
        <f t="shared" si="28"/>
        <v>1.0833333333333333</v>
      </c>
      <c r="G449" s="321">
        <v>6.5</v>
      </c>
      <c r="H449" s="321">
        <v>6.2</v>
      </c>
      <c r="I449" s="315">
        <f t="shared" si="32"/>
        <v>124.93000000000002</v>
      </c>
      <c r="J449" s="316">
        <f t="shared" si="29"/>
        <v>0.75216896557952473</v>
      </c>
    </row>
    <row r="450" spans="1:11" s="316" customFormat="1">
      <c r="A450" s="295">
        <v>18</v>
      </c>
      <c r="B450" s="295">
        <f t="shared" si="30"/>
        <v>6</v>
      </c>
      <c r="C450" s="295">
        <v>5.2</v>
      </c>
      <c r="D450" s="295" t="s">
        <v>114</v>
      </c>
      <c r="E450" s="295">
        <v>29</v>
      </c>
      <c r="F450" s="316">
        <f t="shared" si="28"/>
        <v>1.0740740740740742</v>
      </c>
      <c r="G450" s="321">
        <v>7.2</v>
      </c>
      <c r="H450" s="321">
        <v>6.3</v>
      </c>
      <c r="I450" s="315">
        <f t="shared" si="32"/>
        <v>142.88399999999999</v>
      </c>
      <c r="J450" s="316">
        <f t="shared" si="29"/>
        <v>0.86320139190952594</v>
      </c>
    </row>
    <row r="451" spans="1:11" s="316" customFormat="1">
      <c r="A451" s="295">
        <v>18</v>
      </c>
      <c r="B451" s="295">
        <f t="shared" si="30"/>
        <v>6</v>
      </c>
      <c r="C451" s="295">
        <v>5.3</v>
      </c>
      <c r="D451" s="295" t="s">
        <v>112</v>
      </c>
      <c r="E451" s="295">
        <v>30</v>
      </c>
      <c r="F451" s="316">
        <f t="shared" si="28"/>
        <v>1.0714285714285714</v>
      </c>
      <c r="G451" s="321">
        <v>10</v>
      </c>
      <c r="H451" s="321">
        <v>7.9</v>
      </c>
      <c r="I451" s="315">
        <f t="shared" si="32"/>
        <v>312.05</v>
      </c>
      <c r="J451" s="316">
        <f t="shared" si="29"/>
        <v>1.315135116910265</v>
      </c>
    </row>
    <row r="452" spans="1:11">
      <c r="A452" s="295">
        <v>18</v>
      </c>
      <c r="B452" s="295">
        <f t="shared" si="30"/>
        <v>6</v>
      </c>
      <c r="C452" s="295">
        <v>5.4</v>
      </c>
      <c r="D452" s="295" t="s">
        <v>113</v>
      </c>
      <c r="E452" s="295">
        <v>27</v>
      </c>
      <c r="F452" s="316">
        <f t="shared" si="28"/>
        <v>1.0384615384615385</v>
      </c>
      <c r="G452" s="321">
        <v>7.8</v>
      </c>
      <c r="H452" s="321">
        <v>6.9</v>
      </c>
      <c r="I452" s="315">
        <f t="shared" si="32"/>
        <v>185.67900000000003</v>
      </c>
      <c r="J452" s="316">
        <f t="shared" si="29"/>
        <v>1.0381828347777469</v>
      </c>
    </row>
    <row r="453" spans="1:11">
      <c r="A453" s="295">
        <v>18</v>
      </c>
      <c r="B453" s="295">
        <f t="shared" si="30"/>
        <v>6</v>
      </c>
      <c r="C453" s="295">
        <v>5.5</v>
      </c>
      <c r="D453" s="295" t="s">
        <v>114</v>
      </c>
      <c r="E453" s="295">
        <v>24</v>
      </c>
      <c r="F453" s="316">
        <f t="shared" si="28"/>
        <v>1.0909090909090908</v>
      </c>
      <c r="G453" s="321">
        <v>7.5</v>
      </c>
      <c r="H453" s="321">
        <v>5.7</v>
      </c>
      <c r="I453" s="315">
        <f t="shared" si="32"/>
        <v>121.83750000000001</v>
      </c>
      <c r="J453" s="316">
        <f t="shared" si="29"/>
        <v>1.2110842726784754</v>
      </c>
    </row>
    <row r="454" spans="1:11">
      <c r="A454" s="295">
        <v>18</v>
      </c>
      <c r="B454" s="295">
        <f t="shared" si="30"/>
        <v>6</v>
      </c>
      <c r="C454" s="295">
        <v>6.1</v>
      </c>
      <c r="D454" s="295" t="s">
        <v>115</v>
      </c>
      <c r="E454" s="295">
        <v>27</v>
      </c>
      <c r="F454" s="316">
        <f t="shared" si="28"/>
        <v>1.08</v>
      </c>
      <c r="G454" s="321">
        <v>12</v>
      </c>
      <c r="H454" s="321">
        <v>6.8</v>
      </c>
      <c r="I454" s="315">
        <f t="shared" si="32"/>
        <v>277.43999999999994</v>
      </c>
      <c r="J454" s="316">
        <f t="shared" si="29"/>
        <v>2.0621376542292249</v>
      </c>
    </row>
    <row r="455" spans="1:11">
      <c r="A455" s="295">
        <v>18</v>
      </c>
      <c r="B455" s="295">
        <f t="shared" si="30"/>
        <v>6</v>
      </c>
      <c r="C455" s="295">
        <v>6.2</v>
      </c>
      <c r="D455" s="295" t="s">
        <v>115</v>
      </c>
      <c r="E455" s="295">
        <v>30</v>
      </c>
      <c r="F455" s="316">
        <f t="shared" si="28"/>
        <v>1.1111111111111112</v>
      </c>
      <c r="G455" s="321">
        <v>8.6999999999999993</v>
      </c>
      <c r="H455" s="321">
        <v>7.2</v>
      </c>
      <c r="I455" s="315">
        <f t="shared" si="32"/>
        <v>225.50399999999999</v>
      </c>
      <c r="J455" s="316">
        <f t="shared" si="29"/>
        <v>1.8090466773897245</v>
      </c>
    </row>
    <row r="456" spans="1:11">
      <c r="A456" s="295">
        <v>18</v>
      </c>
      <c r="B456" s="295">
        <f t="shared" si="30"/>
        <v>6</v>
      </c>
      <c r="C456" s="295">
        <v>6.3</v>
      </c>
      <c r="D456" s="295" t="s">
        <v>114</v>
      </c>
      <c r="E456" s="295">
        <v>26</v>
      </c>
      <c r="F456" s="316">
        <f t="shared" si="28"/>
        <v>1.0833333333333333</v>
      </c>
      <c r="G456" s="321">
        <v>8.6999999999999993</v>
      </c>
      <c r="H456" s="321">
        <v>8.5</v>
      </c>
      <c r="I456" s="315">
        <f t="shared" si="32"/>
        <v>314.28749999999997</v>
      </c>
      <c r="J456" s="316">
        <f t="shared" si="29"/>
        <v>2.0899345996681769</v>
      </c>
    </row>
    <row r="457" spans="1:11">
      <c r="A457" s="295">
        <v>18</v>
      </c>
      <c r="B457" s="295">
        <f t="shared" si="30"/>
        <v>6</v>
      </c>
      <c r="C457" s="295">
        <v>6.4</v>
      </c>
      <c r="D457" s="295" t="s">
        <v>112</v>
      </c>
      <c r="E457" s="295">
        <v>31</v>
      </c>
      <c r="F457" s="316">
        <f t="shared" ref="F457:F520" si="33">IF(ISBLANK(E457),"",E457/SUMIFS(E:E,C:C,C457,B:B,"0"))</f>
        <v>1.0689655172413792</v>
      </c>
      <c r="G457" s="321">
        <v>9</v>
      </c>
      <c r="H457" s="321">
        <v>5.8</v>
      </c>
      <c r="I457" s="315">
        <f>G457*(H457^2)*0.5</f>
        <v>151.38</v>
      </c>
      <c r="J457" s="316">
        <f t="shared" ref="J457:J520" si="34">IF(ISBLANK(I457),"",I457/SUMIFS(I:I,C:C,C457,B:B,"0"))</f>
        <v>2.6064049586776852</v>
      </c>
    </row>
    <row r="458" spans="1:11">
      <c r="A458" s="295">
        <v>18</v>
      </c>
      <c r="B458" s="295">
        <f t="shared" ref="B458:B521" si="35">A458-12</f>
        <v>6</v>
      </c>
      <c r="C458" s="295">
        <v>6.5</v>
      </c>
      <c r="D458" s="295" t="s">
        <v>113</v>
      </c>
      <c r="E458" s="295">
        <v>27</v>
      </c>
      <c r="F458" s="316">
        <f t="shared" si="33"/>
        <v>1.125</v>
      </c>
      <c r="G458" s="321">
        <v>8</v>
      </c>
      <c r="H458" s="321">
        <v>7.6</v>
      </c>
      <c r="I458" s="315">
        <f t="shared" ref="I458:I491" si="36">G458*(H458^2)*0.5</f>
        <v>231.04</v>
      </c>
      <c r="J458" s="316">
        <f t="shared" si="34"/>
        <v>4.5637530864197533</v>
      </c>
      <c r="K458" s="316" t="s">
        <v>141</v>
      </c>
    </row>
    <row r="459" spans="1:11">
      <c r="A459" s="295">
        <v>18</v>
      </c>
      <c r="B459" s="295">
        <f t="shared" si="35"/>
        <v>6</v>
      </c>
      <c r="C459" s="295">
        <v>7.1</v>
      </c>
      <c r="D459" s="295" t="s">
        <v>114</v>
      </c>
      <c r="E459" s="295">
        <v>29</v>
      </c>
      <c r="F459" s="316">
        <f t="shared" si="33"/>
        <v>1.0740740740740742</v>
      </c>
      <c r="G459" s="321">
        <v>8.3000000000000007</v>
      </c>
      <c r="H459" s="321">
        <v>7.9</v>
      </c>
      <c r="I459" s="315">
        <f t="shared" si="36"/>
        <v>259.00150000000002</v>
      </c>
      <c r="J459" s="316">
        <f t="shared" si="34"/>
        <v>1.9185296296296297</v>
      </c>
    </row>
    <row r="460" spans="1:11">
      <c r="A460" s="295">
        <v>18</v>
      </c>
      <c r="B460" s="295">
        <f t="shared" si="35"/>
        <v>6</v>
      </c>
      <c r="C460" s="295">
        <v>7.2</v>
      </c>
      <c r="D460" s="295" t="s">
        <v>111</v>
      </c>
      <c r="E460" s="295">
        <v>31</v>
      </c>
      <c r="F460" s="316">
        <f t="shared" si="33"/>
        <v>1.0689655172413792</v>
      </c>
      <c r="G460" s="321">
        <v>5.9</v>
      </c>
      <c r="H460" s="321">
        <v>4.3</v>
      </c>
      <c r="I460" s="315">
        <f t="shared" si="36"/>
        <v>54.545499999999997</v>
      </c>
      <c r="J460" s="316">
        <f t="shared" si="34"/>
        <v>3.6032170696261061</v>
      </c>
    </row>
    <row r="461" spans="1:11">
      <c r="A461" s="295">
        <v>18</v>
      </c>
      <c r="B461" s="295">
        <f t="shared" si="35"/>
        <v>6</v>
      </c>
      <c r="C461" s="295">
        <v>7.3</v>
      </c>
      <c r="D461" s="295" t="s">
        <v>113</v>
      </c>
      <c r="E461" s="295">
        <v>28</v>
      </c>
      <c r="F461" s="316">
        <f t="shared" si="33"/>
        <v>1.037037037037037</v>
      </c>
      <c r="G461" s="321">
        <v>6.8</v>
      </c>
      <c r="H461" s="321">
        <v>6.8</v>
      </c>
      <c r="I461" s="315">
        <f t="shared" si="36"/>
        <v>157.21599999999998</v>
      </c>
      <c r="J461" s="316">
        <f t="shared" si="34"/>
        <v>1.1003051426331849</v>
      </c>
    </row>
    <row r="462" spans="1:11">
      <c r="A462" s="295">
        <v>18</v>
      </c>
      <c r="B462" s="295">
        <f t="shared" si="35"/>
        <v>6</v>
      </c>
      <c r="C462" s="295">
        <v>7.4</v>
      </c>
      <c r="D462" s="295" t="s">
        <v>115</v>
      </c>
      <c r="E462" s="295">
        <v>31</v>
      </c>
      <c r="F462" s="316">
        <f t="shared" si="33"/>
        <v>1.1481481481481481</v>
      </c>
      <c r="G462" s="321">
        <v>7.3</v>
      </c>
      <c r="H462" s="321">
        <v>6.1</v>
      </c>
      <c r="I462" s="315">
        <f t="shared" si="36"/>
        <v>135.81649999999996</v>
      </c>
      <c r="J462" s="316">
        <f t="shared" si="34"/>
        <v>1.1475446541730736</v>
      </c>
    </row>
    <row r="463" spans="1:11">
      <c r="A463" s="295">
        <v>18</v>
      </c>
      <c r="B463" s="295">
        <f t="shared" si="35"/>
        <v>6</v>
      </c>
      <c r="C463" s="295">
        <v>7.5</v>
      </c>
      <c r="D463" s="295" t="s">
        <v>111</v>
      </c>
      <c r="E463" s="295">
        <v>30</v>
      </c>
      <c r="F463" s="316">
        <f t="shared" si="33"/>
        <v>1.0344827586206897</v>
      </c>
      <c r="G463" s="321">
        <v>8.3000000000000007</v>
      </c>
      <c r="H463" s="321">
        <v>6.7</v>
      </c>
      <c r="I463" s="315">
        <f t="shared" si="36"/>
        <v>186.29350000000002</v>
      </c>
      <c r="J463" s="316">
        <f t="shared" si="34"/>
        <v>3.011923624135032</v>
      </c>
    </row>
    <row r="464" spans="1:11">
      <c r="A464" s="295">
        <v>19</v>
      </c>
      <c r="B464" s="295">
        <f t="shared" si="35"/>
        <v>7</v>
      </c>
      <c r="C464" s="295">
        <v>1.1000000000000001</v>
      </c>
      <c r="D464" s="295" t="s">
        <v>112</v>
      </c>
      <c r="E464" s="295">
        <v>29</v>
      </c>
      <c r="F464" s="316">
        <f t="shared" si="33"/>
        <v>1.0357142857142858</v>
      </c>
      <c r="G464" s="321">
        <v>11.5</v>
      </c>
      <c r="H464" s="321">
        <v>9.4</v>
      </c>
      <c r="I464" s="315">
        <f t="shared" si="36"/>
        <v>508.07000000000005</v>
      </c>
      <c r="J464" s="316">
        <f t="shared" si="34"/>
        <v>2.2554425030186809</v>
      </c>
    </row>
    <row r="465" spans="1:10">
      <c r="A465" s="295">
        <v>19</v>
      </c>
      <c r="B465" s="295">
        <f t="shared" si="35"/>
        <v>7</v>
      </c>
      <c r="C465" s="295">
        <v>1.2</v>
      </c>
      <c r="D465" s="295" t="s">
        <v>113</v>
      </c>
      <c r="E465" s="295">
        <v>28</v>
      </c>
      <c r="F465" s="316">
        <f t="shared" si="33"/>
        <v>1.037037037037037</v>
      </c>
      <c r="G465" s="321">
        <v>9.1</v>
      </c>
      <c r="H465" s="321">
        <v>8.3000000000000007</v>
      </c>
      <c r="I465" s="315">
        <f t="shared" si="36"/>
        <v>313.44950000000006</v>
      </c>
      <c r="J465" s="316">
        <f t="shared" si="34"/>
        <v>1.4983138266217022</v>
      </c>
    </row>
    <row r="466" spans="1:10">
      <c r="A466" s="295">
        <v>19</v>
      </c>
      <c r="B466" s="295">
        <f t="shared" si="35"/>
        <v>7</v>
      </c>
      <c r="C466" s="295">
        <v>1.3</v>
      </c>
      <c r="D466" s="295" t="s">
        <v>115</v>
      </c>
      <c r="E466" s="295">
        <v>29</v>
      </c>
      <c r="F466" s="316">
        <f t="shared" si="33"/>
        <v>1.2083333333333333</v>
      </c>
      <c r="G466" s="321">
        <v>8.6</v>
      </c>
      <c r="H466" s="321">
        <v>6.3</v>
      </c>
      <c r="I466" s="315">
        <f t="shared" si="36"/>
        <v>170.66699999999997</v>
      </c>
      <c r="J466" s="316">
        <f t="shared" si="34"/>
        <v>1.7214052287581696</v>
      </c>
    </row>
    <row r="467" spans="1:10">
      <c r="A467" s="295">
        <v>19</v>
      </c>
      <c r="B467" s="295">
        <f t="shared" si="35"/>
        <v>7</v>
      </c>
      <c r="C467" s="295">
        <v>1.4</v>
      </c>
      <c r="D467" s="295" t="s">
        <v>115</v>
      </c>
      <c r="E467" s="295">
        <v>29</v>
      </c>
      <c r="F467" s="316">
        <f t="shared" si="33"/>
        <v>1.0357142857142858</v>
      </c>
      <c r="G467" s="321">
        <v>8.5</v>
      </c>
      <c r="H467" s="321">
        <v>8.1999999999999993</v>
      </c>
      <c r="I467" s="315">
        <f t="shared" si="36"/>
        <v>285.77</v>
      </c>
      <c r="J467" s="316">
        <f t="shared" si="34"/>
        <v>1.5746985827327029</v>
      </c>
    </row>
    <row r="468" spans="1:10" s="316" customFormat="1">
      <c r="A468" s="295">
        <v>19</v>
      </c>
      <c r="B468" s="295">
        <f t="shared" si="35"/>
        <v>7</v>
      </c>
      <c r="C468" s="295">
        <v>1.5</v>
      </c>
      <c r="D468" s="295" t="s">
        <v>112</v>
      </c>
      <c r="E468" s="295">
        <v>28</v>
      </c>
      <c r="F468" s="316">
        <f t="shared" si="33"/>
        <v>1</v>
      </c>
      <c r="G468" s="321">
        <v>10.3</v>
      </c>
      <c r="H468" s="321">
        <v>8.1</v>
      </c>
      <c r="I468" s="315">
        <f t="shared" si="36"/>
        <v>337.89150000000001</v>
      </c>
      <c r="J468" s="316">
        <f t="shared" si="34"/>
        <v>2.4262659409466911</v>
      </c>
    </row>
    <row r="469" spans="1:10" s="316" customFormat="1">
      <c r="A469" s="295">
        <v>19</v>
      </c>
      <c r="B469" s="295">
        <f t="shared" si="35"/>
        <v>7</v>
      </c>
      <c r="C469" s="295">
        <v>2.1</v>
      </c>
      <c r="D469" s="295" t="s">
        <v>114</v>
      </c>
      <c r="E469" s="295">
        <v>28</v>
      </c>
      <c r="F469" s="316">
        <f t="shared" si="33"/>
        <v>1.0769230769230769</v>
      </c>
      <c r="G469" s="321">
        <v>8.3000000000000007</v>
      </c>
      <c r="H469" s="321">
        <v>7.6</v>
      </c>
      <c r="I469" s="315">
        <f t="shared" si="36"/>
        <v>239.70400000000001</v>
      </c>
      <c r="J469" s="316">
        <f t="shared" si="34"/>
        <v>1.2746178735985152</v>
      </c>
    </row>
    <row r="470" spans="1:10" s="316" customFormat="1">
      <c r="A470" s="295">
        <v>19</v>
      </c>
      <c r="B470" s="295">
        <f t="shared" si="35"/>
        <v>7</v>
      </c>
      <c r="C470" s="295">
        <v>2.2000000000000002</v>
      </c>
      <c r="D470" s="295" t="s">
        <v>115</v>
      </c>
      <c r="E470" s="295">
        <v>29</v>
      </c>
      <c r="F470" s="316">
        <f t="shared" si="33"/>
        <v>1.0357142857142858</v>
      </c>
      <c r="G470" s="321">
        <v>6.1</v>
      </c>
      <c r="H470" s="321">
        <v>5.7</v>
      </c>
      <c r="I470" s="315">
        <f t="shared" si="36"/>
        <v>99.094499999999996</v>
      </c>
      <c r="J470" s="316">
        <f t="shared" si="34"/>
        <v>1.1296038757480764</v>
      </c>
    </row>
    <row r="471" spans="1:10" s="316" customFormat="1">
      <c r="A471" s="295">
        <v>19</v>
      </c>
      <c r="B471" s="295">
        <f t="shared" si="35"/>
        <v>7</v>
      </c>
      <c r="C471" s="295">
        <v>2.2999999999999998</v>
      </c>
      <c r="D471" s="295" t="s">
        <v>112</v>
      </c>
      <c r="E471" s="295">
        <v>25</v>
      </c>
      <c r="F471" s="316">
        <f t="shared" si="33"/>
        <v>1</v>
      </c>
      <c r="G471" s="321">
        <v>11.9</v>
      </c>
      <c r="H471" s="321">
        <v>9.8000000000000007</v>
      </c>
      <c r="I471" s="315">
        <f t="shared" si="36"/>
        <v>571.4380000000001</v>
      </c>
      <c r="J471" s="316">
        <f t="shared" si="34"/>
        <v>3.4404700980775833</v>
      </c>
    </row>
    <row r="472" spans="1:10" s="316" customFormat="1">
      <c r="A472" s="295">
        <v>19</v>
      </c>
      <c r="B472" s="295">
        <f t="shared" si="35"/>
        <v>7</v>
      </c>
      <c r="C472" s="295">
        <v>2.4</v>
      </c>
      <c r="D472" s="295" t="s">
        <v>114</v>
      </c>
      <c r="E472" s="295">
        <v>27</v>
      </c>
      <c r="F472" s="316">
        <f t="shared" si="33"/>
        <v>1.08</v>
      </c>
      <c r="G472" s="321">
        <v>8.6</v>
      </c>
      <c r="H472" s="321">
        <v>6.8</v>
      </c>
      <c r="I472" s="315">
        <f t="shared" si="36"/>
        <v>198.83199999999997</v>
      </c>
      <c r="J472" s="316">
        <f t="shared" si="34"/>
        <v>1.8495999999999997</v>
      </c>
    </row>
    <row r="473" spans="1:10" s="316" customFormat="1">
      <c r="A473" s="295">
        <v>19</v>
      </c>
      <c r="B473" s="295">
        <f t="shared" si="35"/>
        <v>7</v>
      </c>
      <c r="C473" s="295">
        <v>2.5</v>
      </c>
      <c r="D473" s="295" t="s">
        <v>113</v>
      </c>
      <c r="E473" s="295">
        <v>28</v>
      </c>
      <c r="F473" s="316">
        <f t="shared" si="33"/>
        <v>1.037037037037037</v>
      </c>
      <c r="G473" s="321">
        <v>8</v>
      </c>
      <c r="H473" s="321">
        <v>6.5</v>
      </c>
      <c r="I473" s="315">
        <f t="shared" si="36"/>
        <v>169</v>
      </c>
      <c r="J473" s="316">
        <f t="shared" si="34"/>
        <v>0.99072586791103401</v>
      </c>
    </row>
    <row r="474" spans="1:10" s="316" customFormat="1">
      <c r="A474" s="295">
        <v>19</v>
      </c>
      <c r="B474" s="295">
        <f t="shared" si="35"/>
        <v>7</v>
      </c>
      <c r="C474" s="295">
        <v>3.1</v>
      </c>
      <c r="D474" s="295" t="s">
        <v>115</v>
      </c>
      <c r="E474" s="295">
        <v>25</v>
      </c>
      <c r="F474" s="316">
        <f t="shared" si="33"/>
        <v>1.0416666666666667</v>
      </c>
      <c r="G474" s="321">
        <v>7.6</v>
      </c>
      <c r="H474" s="321">
        <v>6</v>
      </c>
      <c r="I474" s="315">
        <f t="shared" si="36"/>
        <v>136.79999999999998</v>
      </c>
      <c r="J474" s="316">
        <f t="shared" si="34"/>
        <v>0.752992981973304</v>
      </c>
    </row>
    <row r="475" spans="1:10" s="316" customFormat="1">
      <c r="A475" s="295">
        <v>19</v>
      </c>
      <c r="B475" s="295">
        <f t="shared" si="35"/>
        <v>7</v>
      </c>
      <c r="C475" s="295">
        <v>3.2</v>
      </c>
      <c r="D475" s="295" t="s">
        <v>113</v>
      </c>
      <c r="E475" s="295">
        <v>31</v>
      </c>
      <c r="F475" s="316">
        <f t="shared" si="33"/>
        <v>1.0333333333333334</v>
      </c>
      <c r="G475" s="321">
        <v>10.1</v>
      </c>
      <c r="H475" s="321">
        <v>8</v>
      </c>
      <c r="I475" s="315">
        <f t="shared" si="36"/>
        <v>323.2</v>
      </c>
      <c r="J475" s="316">
        <f t="shared" si="34"/>
        <v>1.6842456330512361</v>
      </c>
    </row>
    <row r="476" spans="1:10" s="316" customFormat="1">
      <c r="A476" s="295">
        <v>19</v>
      </c>
      <c r="B476" s="295">
        <f t="shared" si="35"/>
        <v>7</v>
      </c>
      <c r="C476" s="295">
        <v>3.3</v>
      </c>
      <c r="D476" s="295" t="s">
        <v>114</v>
      </c>
      <c r="E476" s="295">
        <v>26</v>
      </c>
      <c r="F476" s="316">
        <f t="shared" si="33"/>
        <v>1.04</v>
      </c>
      <c r="G476" s="321">
        <v>10.3</v>
      </c>
      <c r="H476" s="321">
        <v>9</v>
      </c>
      <c r="I476" s="315">
        <f t="shared" si="36"/>
        <v>417.15000000000003</v>
      </c>
      <c r="J476" s="316">
        <f t="shared" si="34"/>
        <v>2.0269679300291545</v>
      </c>
    </row>
    <row r="477" spans="1:10" s="316" customFormat="1">
      <c r="A477" s="295">
        <v>19</v>
      </c>
      <c r="B477" s="295">
        <f t="shared" si="35"/>
        <v>7</v>
      </c>
      <c r="C477" s="295">
        <v>3.4</v>
      </c>
      <c r="D477" s="295" t="s">
        <v>114</v>
      </c>
      <c r="E477" s="295">
        <v>26</v>
      </c>
      <c r="F477" s="316">
        <f t="shared" si="33"/>
        <v>1.04</v>
      </c>
      <c r="G477" s="321">
        <v>9.4</v>
      </c>
      <c r="H477" s="321">
        <v>8.1</v>
      </c>
      <c r="I477" s="315">
        <f t="shared" si="36"/>
        <v>308.36700000000002</v>
      </c>
      <c r="J477" s="316">
        <f t="shared" si="34"/>
        <v>1.3151324655828314</v>
      </c>
    </row>
    <row r="478" spans="1:10" s="316" customFormat="1">
      <c r="A478" s="295">
        <v>19</v>
      </c>
      <c r="B478" s="295">
        <f t="shared" si="35"/>
        <v>7</v>
      </c>
      <c r="C478" s="295">
        <v>3.5</v>
      </c>
      <c r="D478" s="295" t="s">
        <v>115</v>
      </c>
      <c r="E478" s="295">
        <v>29</v>
      </c>
      <c r="F478" s="316">
        <f t="shared" si="33"/>
        <v>1.0740740740740742</v>
      </c>
      <c r="G478" s="321">
        <v>9.4</v>
      </c>
      <c r="H478" s="321">
        <v>9</v>
      </c>
      <c r="I478" s="315">
        <f t="shared" si="36"/>
        <v>380.7</v>
      </c>
      <c r="J478" s="316">
        <f t="shared" si="34"/>
        <v>1.6358011429553558</v>
      </c>
    </row>
    <row r="479" spans="1:10" s="316" customFormat="1">
      <c r="A479" s="295">
        <v>19</v>
      </c>
      <c r="B479" s="295">
        <f t="shared" si="35"/>
        <v>7</v>
      </c>
      <c r="C479" s="295">
        <v>4.0999999999999996</v>
      </c>
      <c r="D479" s="295" t="s">
        <v>111</v>
      </c>
      <c r="E479" s="295">
        <v>30</v>
      </c>
      <c r="F479" s="316">
        <f t="shared" si="33"/>
        <v>1.0714285714285714</v>
      </c>
      <c r="G479" s="321">
        <v>16.5</v>
      </c>
      <c r="H479" s="321">
        <v>11.1</v>
      </c>
      <c r="I479" s="315">
        <f t="shared" si="36"/>
        <v>1016.4825</v>
      </c>
      <c r="J479" s="316">
        <f t="shared" si="34"/>
        <v>37.717346938775506</v>
      </c>
    </row>
    <row r="480" spans="1:10" s="316" customFormat="1">
      <c r="A480" s="295">
        <v>19</v>
      </c>
      <c r="B480" s="295">
        <f t="shared" si="35"/>
        <v>7</v>
      </c>
      <c r="C480" s="295">
        <v>4.2</v>
      </c>
      <c r="D480" s="295" t="s">
        <v>112</v>
      </c>
      <c r="E480" s="295">
        <v>31</v>
      </c>
      <c r="F480" s="316">
        <f t="shared" si="33"/>
        <v>1.0689655172413792</v>
      </c>
      <c r="G480" s="321">
        <v>13.3</v>
      </c>
      <c r="H480" s="321">
        <v>10.1</v>
      </c>
      <c r="I480" s="315">
        <f t="shared" si="36"/>
        <v>678.36649999999997</v>
      </c>
      <c r="J480" s="316">
        <f t="shared" si="34"/>
        <v>2.0381281584434472</v>
      </c>
    </row>
    <row r="481" spans="1:11" s="316" customFormat="1">
      <c r="A481" s="295">
        <v>19</v>
      </c>
      <c r="B481" s="295">
        <f t="shared" si="35"/>
        <v>7</v>
      </c>
      <c r="C481" s="295">
        <v>4.3</v>
      </c>
      <c r="D481" s="295" t="s">
        <v>113</v>
      </c>
      <c r="E481" s="295">
        <v>27</v>
      </c>
      <c r="F481" s="316">
        <f t="shared" si="33"/>
        <v>1.0384615384615385</v>
      </c>
      <c r="G481" s="321">
        <v>9.1999999999999993</v>
      </c>
      <c r="H481" s="321">
        <v>8.6</v>
      </c>
      <c r="I481" s="315">
        <f t="shared" si="36"/>
        <v>340.21599999999995</v>
      </c>
      <c r="J481" s="316">
        <f t="shared" si="34"/>
        <v>2.4429572610294112</v>
      </c>
    </row>
    <row r="482" spans="1:11" s="316" customFormat="1">
      <c r="A482" s="295">
        <v>19</v>
      </c>
      <c r="B482" s="295">
        <f t="shared" si="35"/>
        <v>7</v>
      </c>
      <c r="C482" s="295">
        <v>4.4000000000000004</v>
      </c>
      <c r="D482" s="295" t="s">
        <v>112</v>
      </c>
      <c r="E482" s="295">
        <v>30</v>
      </c>
      <c r="F482" s="316">
        <f t="shared" si="33"/>
        <v>0.967741935483871</v>
      </c>
      <c r="G482" s="321">
        <v>15.6</v>
      </c>
      <c r="H482" s="321">
        <v>10.1</v>
      </c>
      <c r="I482" s="315">
        <f t="shared" si="36"/>
        <v>795.67799999999988</v>
      </c>
      <c r="J482" s="316">
        <f t="shared" si="34"/>
        <v>4.2320484010371642</v>
      </c>
    </row>
    <row r="483" spans="1:11" s="316" customFormat="1">
      <c r="A483" s="295">
        <v>19</v>
      </c>
      <c r="B483" s="295">
        <f t="shared" si="35"/>
        <v>7</v>
      </c>
      <c r="C483" s="295">
        <v>4.5</v>
      </c>
      <c r="D483" s="295" t="s">
        <v>112</v>
      </c>
      <c r="E483" s="295">
        <v>28</v>
      </c>
      <c r="F483" s="316">
        <f t="shared" si="33"/>
        <v>1.037037037037037</v>
      </c>
      <c r="G483" s="321">
        <v>11.9</v>
      </c>
      <c r="H483" s="321">
        <v>9.6999999999999993</v>
      </c>
      <c r="I483" s="315">
        <f t="shared" si="36"/>
        <v>559.83549999999991</v>
      </c>
      <c r="J483" s="316">
        <f t="shared" si="34"/>
        <v>2.5012979295677731</v>
      </c>
    </row>
    <row r="484" spans="1:11">
      <c r="A484" s="295">
        <v>19</v>
      </c>
      <c r="B484" s="295">
        <f t="shared" si="35"/>
        <v>7</v>
      </c>
      <c r="C484" s="295">
        <v>5.0999999999999996</v>
      </c>
      <c r="D484" s="295" t="s">
        <v>113</v>
      </c>
      <c r="E484" s="295">
        <v>25</v>
      </c>
      <c r="F484" s="316">
        <f t="shared" si="33"/>
        <v>1.0416666666666667</v>
      </c>
      <c r="G484" s="321">
        <v>7.3</v>
      </c>
      <c r="H484" s="321">
        <v>5.5</v>
      </c>
      <c r="I484" s="315">
        <f t="shared" si="36"/>
        <v>110.41249999999999</v>
      </c>
      <c r="J484" s="316">
        <f t="shared" si="34"/>
        <v>0.66476311464059279</v>
      </c>
    </row>
    <row r="485" spans="1:11">
      <c r="A485" s="295">
        <v>19</v>
      </c>
      <c r="B485" s="295">
        <f t="shared" si="35"/>
        <v>7</v>
      </c>
      <c r="C485" s="295">
        <v>5.2</v>
      </c>
      <c r="D485" s="295" t="s">
        <v>114</v>
      </c>
      <c r="E485" s="295">
        <v>29</v>
      </c>
      <c r="F485" s="316">
        <f t="shared" si="33"/>
        <v>1.0740740740740742</v>
      </c>
      <c r="G485" s="321">
        <v>6.8</v>
      </c>
      <c r="H485" s="321">
        <v>6.4</v>
      </c>
      <c r="I485" s="315">
        <f t="shared" si="36"/>
        <v>139.26400000000001</v>
      </c>
      <c r="J485" s="316">
        <f t="shared" si="34"/>
        <v>0.84133198008796117</v>
      </c>
    </row>
    <row r="486" spans="1:11">
      <c r="A486" s="295">
        <v>19</v>
      </c>
      <c r="B486" s="295">
        <f t="shared" si="35"/>
        <v>7</v>
      </c>
      <c r="C486" s="295">
        <v>5.3</v>
      </c>
      <c r="D486" s="295" t="s">
        <v>112</v>
      </c>
      <c r="E486" s="295">
        <v>31</v>
      </c>
      <c r="F486" s="316">
        <f t="shared" si="33"/>
        <v>1.1071428571428572</v>
      </c>
      <c r="G486" s="321">
        <v>10.1</v>
      </c>
      <c r="H486" s="321">
        <v>8.6</v>
      </c>
      <c r="I486" s="315">
        <f t="shared" si="36"/>
        <v>373.49799999999993</v>
      </c>
      <c r="J486" s="316">
        <f t="shared" si="34"/>
        <v>1.5741077900841214</v>
      </c>
    </row>
    <row r="487" spans="1:11">
      <c r="A487" s="295">
        <v>19</v>
      </c>
      <c r="B487" s="295">
        <f t="shared" si="35"/>
        <v>7</v>
      </c>
      <c r="C487" s="295">
        <v>5.4</v>
      </c>
      <c r="D487" s="295" t="s">
        <v>113</v>
      </c>
      <c r="E487" s="295">
        <v>26</v>
      </c>
      <c r="F487" s="316">
        <f t="shared" si="33"/>
        <v>1</v>
      </c>
      <c r="G487" s="321">
        <v>8.6</v>
      </c>
      <c r="H487" s="321">
        <v>7.9</v>
      </c>
      <c r="I487" s="315">
        <f t="shared" si="36"/>
        <v>268.363</v>
      </c>
      <c r="J487" s="316">
        <f t="shared" si="34"/>
        <v>1.5004920324294102</v>
      </c>
    </row>
    <row r="488" spans="1:11">
      <c r="A488" s="295">
        <v>19</v>
      </c>
      <c r="B488" s="295">
        <f t="shared" si="35"/>
        <v>7</v>
      </c>
      <c r="C488" s="295">
        <v>5.5</v>
      </c>
      <c r="D488" s="295" t="s">
        <v>114</v>
      </c>
      <c r="E488" s="295">
        <v>23</v>
      </c>
      <c r="F488" s="316">
        <f t="shared" si="33"/>
        <v>1.0454545454545454</v>
      </c>
      <c r="G488" s="321">
        <v>8.5</v>
      </c>
      <c r="H488" s="321">
        <v>6</v>
      </c>
      <c r="I488" s="315">
        <f t="shared" si="36"/>
        <v>153</v>
      </c>
      <c r="J488" s="316">
        <f t="shared" si="34"/>
        <v>1.5208445160135979</v>
      </c>
    </row>
    <row r="489" spans="1:11">
      <c r="A489" s="295">
        <v>19</v>
      </c>
      <c r="B489" s="295">
        <f t="shared" si="35"/>
        <v>7</v>
      </c>
      <c r="C489" s="295">
        <v>6.1</v>
      </c>
      <c r="D489" s="295" t="s">
        <v>115</v>
      </c>
      <c r="E489" s="295">
        <v>28</v>
      </c>
      <c r="F489" s="316">
        <f t="shared" si="33"/>
        <v>1.1200000000000001</v>
      </c>
      <c r="G489" s="321">
        <v>9.6</v>
      </c>
      <c r="H489" s="321">
        <v>7.6</v>
      </c>
      <c r="I489" s="315">
        <f t="shared" si="36"/>
        <v>277.24799999999999</v>
      </c>
      <c r="J489" s="316">
        <f t="shared" si="34"/>
        <v>2.0607105693474055</v>
      </c>
    </row>
    <row r="490" spans="1:11">
      <c r="A490" s="295">
        <v>19</v>
      </c>
      <c r="B490" s="295">
        <f t="shared" si="35"/>
        <v>7</v>
      </c>
      <c r="C490" s="295">
        <v>6.2</v>
      </c>
      <c r="D490" s="295" t="s">
        <v>115</v>
      </c>
      <c r="E490" s="295">
        <v>29</v>
      </c>
      <c r="F490" s="316">
        <f t="shared" si="33"/>
        <v>1.0740740740740742</v>
      </c>
      <c r="G490" s="321">
        <v>8.6999999999999993</v>
      </c>
      <c r="H490" s="321">
        <v>6.5</v>
      </c>
      <c r="I490" s="315">
        <f t="shared" si="36"/>
        <v>183.78749999999999</v>
      </c>
      <c r="J490" s="316">
        <f t="shared" si="34"/>
        <v>1.4743870007661239</v>
      </c>
    </row>
    <row r="491" spans="1:11">
      <c r="A491" s="295">
        <v>19</v>
      </c>
      <c r="B491" s="295">
        <f t="shared" si="35"/>
        <v>7</v>
      </c>
      <c r="C491" s="295">
        <v>6.3</v>
      </c>
      <c r="D491" s="295" t="s">
        <v>114</v>
      </c>
      <c r="E491" s="295">
        <v>27</v>
      </c>
      <c r="F491" s="316">
        <f t="shared" si="33"/>
        <v>1.125</v>
      </c>
      <c r="G491" s="321">
        <v>9.6999999999999993</v>
      </c>
      <c r="H491" s="321">
        <v>8.4</v>
      </c>
      <c r="I491" s="315">
        <f t="shared" si="36"/>
        <v>342.21600000000001</v>
      </c>
      <c r="J491" s="316">
        <f t="shared" si="34"/>
        <v>2.2756522577577694</v>
      </c>
    </row>
    <row r="492" spans="1:11">
      <c r="A492" s="295">
        <v>19</v>
      </c>
      <c r="B492" s="295">
        <f t="shared" si="35"/>
        <v>7</v>
      </c>
      <c r="C492" s="295">
        <v>6.4</v>
      </c>
      <c r="D492" s="295" t="s">
        <v>112</v>
      </c>
      <c r="E492" s="295">
        <v>31</v>
      </c>
      <c r="F492" s="316">
        <f t="shared" si="33"/>
        <v>1.0689655172413792</v>
      </c>
      <c r="G492" s="321">
        <v>9.8000000000000007</v>
      </c>
      <c r="H492" s="321">
        <v>7.6</v>
      </c>
      <c r="I492" s="315">
        <f>G492*(H492^2)*0.5</f>
        <v>283.024</v>
      </c>
      <c r="J492" s="316">
        <f t="shared" si="34"/>
        <v>4.873002754820936</v>
      </c>
    </row>
    <row r="493" spans="1:11">
      <c r="A493" s="295">
        <v>19</v>
      </c>
      <c r="B493" s="295">
        <f t="shared" si="35"/>
        <v>7</v>
      </c>
      <c r="C493" s="295">
        <v>6.5</v>
      </c>
      <c r="D493" s="295" t="s">
        <v>113</v>
      </c>
      <c r="E493" s="295">
        <v>26</v>
      </c>
      <c r="F493" s="316">
        <f t="shared" si="33"/>
        <v>1.0833333333333333</v>
      </c>
      <c r="G493" s="321">
        <v>8.6</v>
      </c>
      <c r="H493" s="321">
        <v>7.9</v>
      </c>
      <c r="I493" s="315">
        <f t="shared" ref="I493:I526" si="37">G493*(H493^2)*0.5</f>
        <v>268.363</v>
      </c>
      <c r="J493" s="316">
        <f t="shared" si="34"/>
        <v>5.3009975308641977</v>
      </c>
      <c r="K493" s="316" t="s">
        <v>141</v>
      </c>
    </row>
    <row r="494" spans="1:11">
      <c r="A494" s="295">
        <v>19</v>
      </c>
      <c r="B494" s="295">
        <f t="shared" si="35"/>
        <v>7</v>
      </c>
      <c r="C494" s="295">
        <v>7.1</v>
      </c>
      <c r="D494" s="295" t="s">
        <v>114</v>
      </c>
      <c r="E494" s="295">
        <v>28</v>
      </c>
      <c r="F494" s="316">
        <f t="shared" si="33"/>
        <v>1.037037037037037</v>
      </c>
      <c r="G494" s="321">
        <v>8.4</v>
      </c>
      <c r="H494" s="321">
        <v>7.9</v>
      </c>
      <c r="I494" s="315">
        <f t="shared" si="37"/>
        <v>262.12200000000001</v>
      </c>
      <c r="J494" s="316">
        <f t="shared" si="34"/>
        <v>1.9416444444444445</v>
      </c>
    </row>
    <row r="495" spans="1:11">
      <c r="A495" s="295">
        <v>19</v>
      </c>
      <c r="B495" s="295">
        <f t="shared" si="35"/>
        <v>7</v>
      </c>
      <c r="C495" s="295">
        <v>7.2</v>
      </c>
      <c r="D495" s="295" t="s">
        <v>111</v>
      </c>
      <c r="E495" s="295">
        <v>31</v>
      </c>
      <c r="F495" s="316">
        <f t="shared" si="33"/>
        <v>1.0689655172413792</v>
      </c>
      <c r="G495" s="321">
        <v>5.4</v>
      </c>
      <c r="H495" s="321">
        <v>4.3</v>
      </c>
      <c r="I495" s="315">
        <f t="shared" si="37"/>
        <v>49.923000000000002</v>
      </c>
      <c r="J495" s="316">
        <f t="shared" si="34"/>
        <v>3.2978596908442332</v>
      </c>
    </row>
    <row r="496" spans="1:11">
      <c r="A496" s="295">
        <v>19</v>
      </c>
      <c r="B496" s="295">
        <f t="shared" si="35"/>
        <v>7</v>
      </c>
      <c r="C496" s="295">
        <v>7.3</v>
      </c>
      <c r="D496" s="295" t="s">
        <v>113</v>
      </c>
      <c r="E496" s="295">
        <v>28</v>
      </c>
      <c r="F496" s="316">
        <f t="shared" si="33"/>
        <v>1.037037037037037</v>
      </c>
      <c r="G496" s="321">
        <v>7.8</v>
      </c>
      <c r="H496" s="321">
        <v>7.6</v>
      </c>
      <c r="I496" s="315">
        <f t="shared" si="37"/>
        <v>225.26399999999998</v>
      </c>
      <c r="J496" s="316">
        <f t="shared" si="34"/>
        <v>1.5765516082976401</v>
      </c>
    </row>
    <row r="497" spans="1:11">
      <c r="A497" s="295">
        <v>19</v>
      </c>
      <c r="B497" s="295">
        <f t="shared" si="35"/>
        <v>7</v>
      </c>
      <c r="C497" s="295">
        <v>7.4</v>
      </c>
      <c r="D497" s="295" t="s">
        <v>115</v>
      </c>
      <c r="E497" s="295">
        <v>30</v>
      </c>
      <c r="F497" s="316">
        <f t="shared" si="33"/>
        <v>1.1111111111111112</v>
      </c>
      <c r="G497" s="321">
        <v>7.7</v>
      </c>
      <c r="H497" s="321">
        <v>6.6</v>
      </c>
      <c r="I497" s="315">
        <f t="shared" si="37"/>
        <v>167.70599999999999</v>
      </c>
      <c r="J497" s="316">
        <f t="shared" si="34"/>
        <v>1.4169863291481486</v>
      </c>
    </row>
    <row r="498" spans="1:11">
      <c r="A498" s="295">
        <v>19</v>
      </c>
      <c r="B498" s="295">
        <f t="shared" si="35"/>
        <v>7</v>
      </c>
      <c r="C498" s="295">
        <v>7.5</v>
      </c>
      <c r="D498" s="295" t="s">
        <v>111</v>
      </c>
      <c r="E498" s="295">
        <v>29</v>
      </c>
      <c r="F498" s="316">
        <f t="shared" si="33"/>
        <v>1</v>
      </c>
      <c r="G498" s="321">
        <v>8.3000000000000007</v>
      </c>
      <c r="H498" s="321">
        <v>7.7</v>
      </c>
      <c r="I498" s="315">
        <f t="shared" si="37"/>
        <v>246.05350000000004</v>
      </c>
      <c r="J498" s="316">
        <f t="shared" si="34"/>
        <v>3.978100950656406</v>
      </c>
    </row>
    <row r="499" spans="1:11">
      <c r="A499" s="295">
        <v>20</v>
      </c>
      <c r="B499" s="295">
        <f t="shared" si="35"/>
        <v>8</v>
      </c>
      <c r="C499" s="295">
        <v>1.1000000000000001</v>
      </c>
      <c r="D499" s="295" t="s">
        <v>112</v>
      </c>
      <c r="E499" s="295">
        <v>28</v>
      </c>
      <c r="F499" s="316">
        <f t="shared" si="33"/>
        <v>1</v>
      </c>
      <c r="G499" s="321">
        <v>12.7</v>
      </c>
      <c r="H499" s="321">
        <v>8.3000000000000007</v>
      </c>
      <c r="I499" s="315">
        <f t="shared" si="37"/>
        <v>437.45150000000007</v>
      </c>
      <c r="J499" s="316">
        <f t="shared" si="34"/>
        <v>1.9419503338305282</v>
      </c>
    </row>
    <row r="500" spans="1:11">
      <c r="A500" s="295">
        <v>20</v>
      </c>
      <c r="B500" s="295">
        <f t="shared" si="35"/>
        <v>8</v>
      </c>
      <c r="C500" s="295">
        <v>1.2</v>
      </c>
      <c r="D500" s="295" t="s">
        <v>113</v>
      </c>
      <c r="E500" s="295">
        <v>27</v>
      </c>
      <c r="F500" s="316">
        <f t="shared" si="33"/>
        <v>1</v>
      </c>
      <c r="G500" s="321">
        <v>9.9</v>
      </c>
      <c r="H500" s="321">
        <v>9.3000000000000007</v>
      </c>
      <c r="I500" s="315">
        <f t="shared" si="37"/>
        <v>428.12550000000005</v>
      </c>
      <c r="J500" s="316">
        <f t="shared" si="34"/>
        <v>2.0464743321630103</v>
      </c>
    </row>
    <row r="501" spans="1:11">
      <c r="A501" s="295">
        <v>20</v>
      </c>
      <c r="B501" s="295">
        <f t="shared" si="35"/>
        <v>8</v>
      </c>
      <c r="C501" s="295">
        <v>1.3</v>
      </c>
      <c r="D501" s="295" t="s">
        <v>115</v>
      </c>
      <c r="E501" s="295">
        <v>24</v>
      </c>
      <c r="F501" s="316">
        <f t="shared" si="33"/>
        <v>1</v>
      </c>
      <c r="G501" s="321">
        <v>8.6999999999999993</v>
      </c>
      <c r="H501" s="321">
        <v>6.6</v>
      </c>
      <c r="I501" s="315">
        <f t="shared" si="37"/>
        <v>189.48599999999996</v>
      </c>
      <c r="J501" s="316">
        <f t="shared" si="34"/>
        <v>1.9112200435729843</v>
      </c>
    </row>
    <row r="502" spans="1:11">
      <c r="A502" s="295">
        <v>20</v>
      </c>
      <c r="B502" s="295">
        <f t="shared" si="35"/>
        <v>8</v>
      </c>
      <c r="C502" s="295">
        <v>1.4</v>
      </c>
      <c r="D502" s="295" t="s">
        <v>115</v>
      </c>
      <c r="E502" s="295">
        <v>28</v>
      </c>
      <c r="F502" s="316">
        <f t="shared" si="33"/>
        <v>1</v>
      </c>
      <c r="G502" s="321">
        <v>8.9</v>
      </c>
      <c r="H502" s="321">
        <v>6.7</v>
      </c>
      <c r="I502" s="315">
        <f t="shared" si="37"/>
        <v>199.76050000000001</v>
      </c>
      <c r="J502" s="316">
        <f t="shared" si="34"/>
        <v>1.1007543697238202</v>
      </c>
      <c r="K502" s="316" t="s">
        <v>134</v>
      </c>
    </row>
    <row r="503" spans="1:11">
      <c r="A503" s="295">
        <v>20</v>
      </c>
      <c r="B503" s="295">
        <f t="shared" si="35"/>
        <v>8</v>
      </c>
      <c r="C503" s="295">
        <v>1.5</v>
      </c>
      <c r="D503" s="295" t="s">
        <v>112</v>
      </c>
      <c r="E503" s="295">
        <v>28</v>
      </c>
      <c r="F503" s="316">
        <f t="shared" si="33"/>
        <v>1</v>
      </c>
      <c r="G503" s="321">
        <v>10.199999999999999</v>
      </c>
      <c r="H503" s="321">
        <v>8.1999999999999993</v>
      </c>
      <c r="I503" s="315">
        <f t="shared" si="37"/>
        <v>342.92399999999998</v>
      </c>
      <c r="J503" s="316">
        <f t="shared" si="34"/>
        <v>2.4624023437499996</v>
      </c>
    </row>
    <row r="504" spans="1:11">
      <c r="A504" s="295">
        <v>20</v>
      </c>
      <c r="B504" s="295">
        <f t="shared" si="35"/>
        <v>8</v>
      </c>
      <c r="C504" s="295">
        <v>2.1</v>
      </c>
      <c r="D504" s="295" t="s">
        <v>114</v>
      </c>
      <c r="E504" s="295">
        <v>28</v>
      </c>
      <c r="F504" s="316">
        <f t="shared" si="33"/>
        <v>1.0769230769230769</v>
      </c>
      <c r="G504" s="321">
        <v>8.1</v>
      </c>
      <c r="H504" s="321">
        <v>7.2</v>
      </c>
      <c r="I504" s="315">
        <f t="shared" si="37"/>
        <v>209.952</v>
      </c>
      <c r="J504" s="316">
        <f t="shared" si="34"/>
        <v>1.1164126247278119</v>
      </c>
    </row>
    <row r="505" spans="1:11">
      <c r="A505" s="295">
        <v>20</v>
      </c>
      <c r="B505" s="295">
        <f t="shared" si="35"/>
        <v>8</v>
      </c>
      <c r="C505" s="295">
        <v>2.2000000000000002</v>
      </c>
      <c r="D505" s="295" t="s">
        <v>115</v>
      </c>
      <c r="E505" s="295">
        <v>28</v>
      </c>
      <c r="F505" s="316">
        <f t="shared" si="33"/>
        <v>1</v>
      </c>
      <c r="G505" s="321">
        <v>5.8</v>
      </c>
      <c r="H505" s="321">
        <v>5.5</v>
      </c>
      <c r="I505" s="315">
        <f t="shared" si="37"/>
        <v>87.724999999999994</v>
      </c>
      <c r="J505" s="316">
        <f t="shared" si="34"/>
        <v>1</v>
      </c>
    </row>
    <row r="506" spans="1:11">
      <c r="A506" s="295">
        <v>20</v>
      </c>
      <c r="B506" s="295">
        <f t="shared" si="35"/>
        <v>8</v>
      </c>
      <c r="C506" s="295">
        <v>2.2999999999999998</v>
      </c>
      <c r="D506" s="295" t="s">
        <v>112</v>
      </c>
      <c r="E506" s="295">
        <v>24</v>
      </c>
      <c r="F506" s="316">
        <f t="shared" si="33"/>
        <v>0.96</v>
      </c>
      <c r="G506" s="321">
        <v>14</v>
      </c>
      <c r="H506" s="321">
        <v>9</v>
      </c>
      <c r="I506" s="315">
        <f t="shared" si="37"/>
        <v>567</v>
      </c>
      <c r="J506" s="316">
        <f t="shared" si="34"/>
        <v>3.4137501279403706</v>
      </c>
    </row>
    <row r="507" spans="1:11">
      <c r="A507" s="295">
        <v>20</v>
      </c>
      <c r="B507" s="295">
        <f t="shared" si="35"/>
        <v>8</v>
      </c>
      <c r="C507" s="295">
        <v>2.4</v>
      </c>
      <c r="D507" s="295" t="s">
        <v>114</v>
      </c>
      <c r="E507" s="295">
        <v>27</v>
      </c>
      <c r="F507" s="316">
        <f t="shared" si="33"/>
        <v>1.08</v>
      </c>
      <c r="G507" s="321">
        <v>9.4</v>
      </c>
      <c r="H507" s="321">
        <v>8.1</v>
      </c>
      <c r="I507" s="315">
        <f t="shared" si="37"/>
        <v>308.36700000000002</v>
      </c>
      <c r="J507" s="316">
        <f t="shared" si="34"/>
        <v>2.8685302325581397</v>
      </c>
    </row>
    <row r="508" spans="1:11">
      <c r="A508" s="295">
        <v>20</v>
      </c>
      <c r="B508" s="295">
        <f t="shared" si="35"/>
        <v>8</v>
      </c>
      <c r="C508" s="295">
        <v>2.5</v>
      </c>
      <c r="D508" s="295" t="s">
        <v>113</v>
      </c>
      <c r="E508" s="295">
        <v>27</v>
      </c>
      <c r="F508" s="316">
        <f t="shared" si="33"/>
        <v>1</v>
      </c>
      <c r="G508" s="321">
        <v>10.1</v>
      </c>
      <c r="H508" s="321">
        <v>8.5</v>
      </c>
      <c r="I508" s="315">
        <f t="shared" si="37"/>
        <v>364.86250000000001</v>
      </c>
      <c r="J508" s="316">
        <f t="shared" si="34"/>
        <v>2.1389273194123648</v>
      </c>
    </row>
    <row r="509" spans="1:11">
      <c r="A509" s="295">
        <v>20</v>
      </c>
      <c r="B509" s="295">
        <f t="shared" si="35"/>
        <v>8</v>
      </c>
      <c r="C509" s="295">
        <v>3.1</v>
      </c>
      <c r="D509" s="295" t="s">
        <v>115</v>
      </c>
      <c r="E509" s="295">
        <v>24</v>
      </c>
      <c r="F509" s="316">
        <f t="shared" si="33"/>
        <v>1</v>
      </c>
      <c r="G509" s="321">
        <v>11</v>
      </c>
      <c r="H509" s="321">
        <v>9</v>
      </c>
      <c r="I509" s="315">
        <f t="shared" si="37"/>
        <v>445.5</v>
      </c>
      <c r="J509" s="316">
        <f t="shared" si="34"/>
        <v>2.4521810926104308</v>
      </c>
    </row>
    <row r="510" spans="1:11">
      <c r="A510" s="295">
        <v>20</v>
      </c>
      <c r="B510" s="295">
        <f t="shared" si="35"/>
        <v>8</v>
      </c>
      <c r="C510" s="295">
        <v>3.2</v>
      </c>
      <c r="D510" s="295" t="s">
        <v>113</v>
      </c>
      <c r="E510" s="295">
        <v>31</v>
      </c>
      <c r="F510" s="316">
        <f t="shared" si="33"/>
        <v>1.0333333333333334</v>
      </c>
      <c r="G510" s="321">
        <v>10.6</v>
      </c>
      <c r="H510" s="321">
        <v>8.9</v>
      </c>
      <c r="I510" s="315">
        <f t="shared" si="37"/>
        <v>419.81300000000005</v>
      </c>
      <c r="J510" s="316">
        <f t="shared" si="34"/>
        <v>2.1877110518197362</v>
      </c>
    </row>
    <row r="511" spans="1:11">
      <c r="A511" s="295">
        <v>20</v>
      </c>
      <c r="B511" s="295">
        <f t="shared" si="35"/>
        <v>8</v>
      </c>
      <c r="C511" s="295">
        <v>3.3</v>
      </c>
      <c r="D511" s="295" t="s">
        <v>114</v>
      </c>
      <c r="E511" s="295">
        <v>27</v>
      </c>
      <c r="F511" s="316">
        <f t="shared" si="33"/>
        <v>1.08</v>
      </c>
      <c r="G511" s="321">
        <v>11.9</v>
      </c>
      <c r="H511" s="321">
        <v>9.6</v>
      </c>
      <c r="I511" s="315">
        <f t="shared" si="37"/>
        <v>548.35199999999998</v>
      </c>
      <c r="J511" s="316">
        <f t="shared" si="34"/>
        <v>2.6644897959183669</v>
      </c>
    </row>
    <row r="512" spans="1:11">
      <c r="A512" s="295">
        <v>20</v>
      </c>
      <c r="B512" s="295">
        <f t="shared" si="35"/>
        <v>8</v>
      </c>
      <c r="C512" s="295">
        <v>3.4</v>
      </c>
      <c r="D512" s="295" t="s">
        <v>114</v>
      </c>
      <c r="E512" s="295">
        <v>27</v>
      </c>
      <c r="F512" s="316">
        <f t="shared" si="33"/>
        <v>1.08</v>
      </c>
      <c r="G512" s="321">
        <v>9.9</v>
      </c>
      <c r="H512" s="321">
        <v>8.1999999999999993</v>
      </c>
      <c r="I512" s="315">
        <f t="shared" si="37"/>
        <v>332.83799999999997</v>
      </c>
      <c r="J512" s="316">
        <f t="shared" si="34"/>
        <v>1.4194970913867515</v>
      </c>
    </row>
    <row r="513" spans="1:11">
      <c r="A513" s="295">
        <v>20</v>
      </c>
      <c r="B513" s="295">
        <f t="shared" si="35"/>
        <v>8</v>
      </c>
      <c r="C513" s="295">
        <v>3.5</v>
      </c>
      <c r="D513" s="295" t="s">
        <v>115</v>
      </c>
      <c r="E513" s="295">
        <v>28</v>
      </c>
      <c r="F513" s="316">
        <f t="shared" si="33"/>
        <v>1.037037037037037</v>
      </c>
      <c r="G513" s="321">
        <v>10.199999999999999</v>
      </c>
      <c r="H513" s="321">
        <v>8.6999999999999993</v>
      </c>
      <c r="I513" s="315">
        <f t="shared" si="37"/>
        <v>386.01899999999989</v>
      </c>
      <c r="J513" s="316">
        <f t="shared" si="34"/>
        <v>1.6586559532505472</v>
      </c>
    </row>
    <row r="514" spans="1:11">
      <c r="A514" s="295">
        <v>20</v>
      </c>
      <c r="B514" s="295">
        <f t="shared" si="35"/>
        <v>8</v>
      </c>
      <c r="C514" s="295">
        <v>4.0999999999999996</v>
      </c>
      <c r="D514" s="295" t="s">
        <v>111</v>
      </c>
      <c r="E514" s="295">
        <v>29</v>
      </c>
      <c r="F514" s="316">
        <f t="shared" si="33"/>
        <v>1.0357142857142858</v>
      </c>
      <c r="G514" s="321">
        <v>17.5</v>
      </c>
      <c r="H514" s="321">
        <v>12</v>
      </c>
      <c r="I514" s="315">
        <f t="shared" si="37"/>
        <v>1260</v>
      </c>
      <c r="J514" s="316">
        <f t="shared" si="34"/>
        <v>46.753246753246749</v>
      </c>
    </row>
    <row r="515" spans="1:11">
      <c r="A515" s="295">
        <v>20</v>
      </c>
      <c r="B515" s="295">
        <f t="shared" si="35"/>
        <v>8</v>
      </c>
      <c r="C515" s="295">
        <v>4.2</v>
      </c>
      <c r="D515" s="295" t="s">
        <v>112</v>
      </c>
      <c r="E515" s="295">
        <v>30</v>
      </c>
      <c r="F515" s="316">
        <f t="shared" si="33"/>
        <v>1.0344827586206897</v>
      </c>
      <c r="G515" s="321">
        <v>13.9</v>
      </c>
      <c r="H515" s="321">
        <v>10.1</v>
      </c>
      <c r="I515" s="315">
        <f t="shared" si="37"/>
        <v>708.96949999999993</v>
      </c>
      <c r="J515" s="316">
        <f t="shared" si="34"/>
        <v>2.1300737896514219</v>
      </c>
    </row>
    <row r="516" spans="1:11">
      <c r="A516" s="295">
        <v>20</v>
      </c>
      <c r="B516" s="295">
        <f t="shared" si="35"/>
        <v>8</v>
      </c>
      <c r="C516" s="295">
        <v>4.3</v>
      </c>
      <c r="D516" s="295" t="s">
        <v>113</v>
      </c>
      <c r="E516" s="295">
        <v>27</v>
      </c>
      <c r="F516" s="316">
        <f t="shared" si="33"/>
        <v>1.0384615384615385</v>
      </c>
      <c r="G516" s="321">
        <v>10.1</v>
      </c>
      <c r="H516" s="321">
        <v>9</v>
      </c>
      <c r="I516" s="315">
        <f t="shared" si="37"/>
        <v>409.05</v>
      </c>
      <c r="J516" s="316">
        <f t="shared" si="34"/>
        <v>2.9372271369485294</v>
      </c>
    </row>
    <row r="517" spans="1:11">
      <c r="A517" s="295">
        <v>20</v>
      </c>
      <c r="B517" s="295">
        <f t="shared" si="35"/>
        <v>8</v>
      </c>
      <c r="C517" s="295">
        <v>4.4000000000000004</v>
      </c>
      <c r="D517" s="295" t="s">
        <v>112</v>
      </c>
      <c r="E517" s="295">
        <v>30</v>
      </c>
      <c r="F517" s="316">
        <f t="shared" si="33"/>
        <v>0.967741935483871</v>
      </c>
      <c r="G517" s="321">
        <v>15.7</v>
      </c>
      <c r="H517" s="321">
        <v>11</v>
      </c>
      <c r="I517" s="315">
        <f t="shared" si="37"/>
        <v>949.84999999999991</v>
      </c>
      <c r="J517" s="316">
        <f t="shared" si="34"/>
        <v>5.0520577089289267</v>
      </c>
    </row>
    <row r="518" spans="1:11">
      <c r="A518" s="295">
        <v>20</v>
      </c>
      <c r="B518" s="295">
        <f t="shared" si="35"/>
        <v>8</v>
      </c>
      <c r="C518" s="295">
        <v>4.5</v>
      </c>
      <c r="D518" s="295" t="s">
        <v>112</v>
      </c>
      <c r="E518" s="295">
        <v>27</v>
      </c>
      <c r="F518" s="316">
        <f t="shared" si="33"/>
        <v>1</v>
      </c>
      <c r="G518" s="321">
        <v>12.8</v>
      </c>
      <c r="H518" s="321">
        <v>11</v>
      </c>
      <c r="I518" s="315">
        <f t="shared" si="37"/>
        <v>774.40000000000009</v>
      </c>
      <c r="J518" s="316">
        <f t="shared" si="34"/>
        <v>3.4599540698245899</v>
      </c>
    </row>
    <row r="519" spans="1:11">
      <c r="A519" s="295">
        <v>20</v>
      </c>
      <c r="B519" s="295">
        <f t="shared" si="35"/>
        <v>8</v>
      </c>
      <c r="C519" s="295">
        <v>5.0999999999999996</v>
      </c>
      <c r="D519" s="295" t="s">
        <v>113</v>
      </c>
      <c r="E519" s="295">
        <v>24</v>
      </c>
      <c r="F519" s="316">
        <f t="shared" si="33"/>
        <v>1</v>
      </c>
      <c r="G519" s="321">
        <v>8.8000000000000007</v>
      </c>
      <c r="H519" s="321">
        <v>7.2</v>
      </c>
      <c r="I519" s="315">
        <f t="shared" si="37"/>
        <v>228.09600000000003</v>
      </c>
      <c r="J519" s="316">
        <f t="shared" si="34"/>
        <v>1.3733029086114406</v>
      </c>
    </row>
    <row r="520" spans="1:11">
      <c r="A520" s="295">
        <v>20</v>
      </c>
      <c r="B520" s="295">
        <f t="shared" si="35"/>
        <v>8</v>
      </c>
      <c r="C520" s="295">
        <v>5.2</v>
      </c>
      <c r="D520" s="295" t="s">
        <v>114</v>
      </c>
      <c r="E520" s="295">
        <v>28</v>
      </c>
      <c r="F520" s="316">
        <f t="shared" si="33"/>
        <v>1.037037037037037</v>
      </c>
      <c r="G520" s="321">
        <v>7.2</v>
      </c>
      <c r="H520" s="321">
        <v>7.1</v>
      </c>
      <c r="I520" s="315">
        <f t="shared" si="37"/>
        <v>181.476</v>
      </c>
      <c r="J520" s="316">
        <f t="shared" si="34"/>
        <v>1.0963462374945632</v>
      </c>
    </row>
    <row r="521" spans="1:11">
      <c r="A521" s="295">
        <v>20</v>
      </c>
      <c r="B521" s="295">
        <f t="shared" si="35"/>
        <v>8</v>
      </c>
      <c r="C521" s="295">
        <v>5.3</v>
      </c>
      <c r="D521" s="295" t="s">
        <v>112</v>
      </c>
      <c r="E521" s="295">
        <v>30</v>
      </c>
      <c r="F521" s="316">
        <f t="shared" ref="F521:F584" si="38">IF(ISBLANK(E521),"",E521/SUMIFS(E:E,C:C,C521,B:B,"0"))</f>
        <v>1.0714285714285714</v>
      </c>
      <c r="G521" s="321">
        <v>10.4</v>
      </c>
      <c r="H521" s="321">
        <v>8.6999999999999993</v>
      </c>
      <c r="I521" s="315">
        <f t="shared" si="37"/>
        <v>393.58799999999991</v>
      </c>
      <c r="J521" s="316">
        <f t="shared" ref="J521:J584" si="39">IF(ISBLANK(I521),"",I521/SUMIFS(I:I,C:C,C521,B:B,"0"))</f>
        <v>1.6587771203155817</v>
      </c>
    </row>
    <row r="522" spans="1:11">
      <c r="A522" s="295">
        <v>20</v>
      </c>
      <c r="B522" s="295">
        <f t="shared" ref="B522:B585" si="40">A522-12</f>
        <v>8</v>
      </c>
      <c r="C522" s="295">
        <v>5.4</v>
      </c>
      <c r="D522" s="295" t="s">
        <v>113</v>
      </c>
      <c r="E522" s="295">
        <v>25</v>
      </c>
      <c r="F522" s="316">
        <f t="shared" si="38"/>
        <v>0.96153846153846156</v>
      </c>
      <c r="G522" s="321">
        <v>8.1999999999999993</v>
      </c>
      <c r="H522" s="321">
        <v>6.6</v>
      </c>
      <c r="I522" s="315">
        <f t="shared" si="37"/>
        <v>178.59599999999998</v>
      </c>
      <c r="J522" s="316">
        <f t="shared" si="39"/>
        <v>0.99857981548783892</v>
      </c>
    </row>
    <row r="523" spans="1:11">
      <c r="A523" s="295">
        <v>20</v>
      </c>
      <c r="B523" s="295">
        <f t="shared" si="40"/>
        <v>8</v>
      </c>
      <c r="C523" s="295">
        <v>5.5</v>
      </c>
      <c r="D523" s="295" t="s">
        <v>114</v>
      </c>
      <c r="E523" s="295">
        <v>23</v>
      </c>
      <c r="F523" s="316">
        <f t="shared" si="38"/>
        <v>1.0454545454545454</v>
      </c>
      <c r="G523" s="321">
        <v>7.3</v>
      </c>
      <c r="H523" s="321">
        <v>7.1</v>
      </c>
      <c r="I523" s="315">
        <f t="shared" si="37"/>
        <v>183.99649999999997</v>
      </c>
      <c r="J523" s="316">
        <f t="shared" si="39"/>
        <v>1.8289546927496465</v>
      </c>
    </row>
    <row r="524" spans="1:11">
      <c r="A524" s="295">
        <v>20</v>
      </c>
      <c r="B524" s="295">
        <f t="shared" si="40"/>
        <v>8</v>
      </c>
      <c r="C524" s="295">
        <v>6.1</v>
      </c>
      <c r="D524" s="295" t="s">
        <v>115</v>
      </c>
      <c r="E524" s="295">
        <v>27</v>
      </c>
      <c r="F524" s="316">
        <f t="shared" si="38"/>
        <v>1.08</v>
      </c>
      <c r="G524" s="321">
        <v>12.4</v>
      </c>
      <c r="H524" s="321">
        <v>9.1</v>
      </c>
      <c r="I524" s="315">
        <f t="shared" si="37"/>
        <v>513.42199999999991</v>
      </c>
      <c r="J524" s="316">
        <f t="shared" si="39"/>
        <v>3.8161290322580634</v>
      </c>
    </row>
    <row r="525" spans="1:11">
      <c r="A525" s="295">
        <v>20</v>
      </c>
      <c r="B525" s="295">
        <f t="shared" si="40"/>
        <v>8</v>
      </c>
      <c r="C525" s="295">
        <v>6.2</v>
      </c>
      <c r="D525" s="295" t="s">
        <v>115</v>
      </c>
      <c r="E525" s="295">
        <v>28</v>
      </c>
      <c r="F525" s="316">
        <f t="shared" si="38"/>
        <v>1.037037037037037</v>
      </c>
      <c r="G525" s="321">
        <v>8.8000000000000007</v>
      </c>
      <c r="H525" s="321">
        <v>6.3</v>
      </c>
      <c r="I525" s="315">
        <f t="shared" si="37"/>
        <v>174.636</v>
      </c>
      <c r="J525" s="316">
        <f t="shared" si="39"/>
        <v>1.4009714929785366</v>
      </c>
    </row>
    <row r="526" spans="1:11">
      <c r="A526" s="295">
        <v>20</v>
      </c>
      <c r="B526" s="295">
        <f t="shared" si="40"/>
        <v>8</v>
      </c>
      <c r="C526" s="295">
        <v>6.3</v>
      </c>
      <c r="D526" s="295" t="s">
        <v>114</v>
      </c>
      <c r="E526" s="295">
        <v>26</v>
      </c>
      <c r="F526" s="316">
        <f t="shared" si="38"/>
        <v>1.0833333333333333</v>
      </c>
      <c r="G526" s="321">
        <v>10.199999999999999</v>
      </c>
      <c r="H526" s="321">
        <v>8.9</v>
      </c>
      <c r="I526" s="315">
        <f t="shared" si="37"/>
        <v>403.971</v>
      </c>
      <c r="J526" s="316">
        <f t="shared" si="39"/>
        <v>2.6863078237682161</v>
      </c>
    </row>
    <row r="527" spans="1:11">
      <c r="A527" s="295">
        <v>20</v>
      </c>
      <c r="B527" s="295">
        <f t="shared" si="40"/>
        <v>8</v>
      </c>
      <c r="C527" s="295">
        <v>6.4</v>
      </c>
      <c r="D527" s="295" t="s">
        <v>112</v>
      </c>
      <c r="E527" s="295">
        <v>30</v>
      </c>
      <c r="F527" s="316">
        <f t="shared" si="38"/>
        <v>1.0344827586206897</v>
      </c>
      <c r="G527" s="321">
        <v>8.6</v>
      </c>
      <c r="H527" s="321">
        <v>8.1</v>
      </c>
      <c r="I527" s="315">
        <f>G527*(H527^2)*0.5</f>
        <v>282.12299999999999</v>
      </c>
      <c r="J527" s="316">
        <f t="shared" si="39"/>
        <v>4.8574896694214864</v>
      </c>
    </row>
    <row r="528" spans="1:11">
      <c r="A528" s="295">
        <v>20</v>
      </c>
      <c r="B528" s="295">
        <f t="shared" si="40"/>
        <v>8</v>
      </c>
      <c r="C528" s="295">
        <v>6.5</v>
      </c>
      <c r="D528" s="295" t="s">
        <v>113</v>
      </c>
      <c r="E528" s="295">
        <v>26</v>
      </c>
      <c r="F528" s="316">
        <f t="shared" si="38"/>
        <v>1.0833333333333333</v>
      </c>
      <c r="G528" s="321">
        <v>8.9</v>
      </c>
      <c r="H528" s="321">
        <v>8.6999999999999993</v>
      </c>
      <c r="I528" s="315">
        <f t="shared" ref="I528:I561" si="41">G528*(H528^2)*0.5</f>
        <v>336.82049999999992</v>
      </c>
      <c r="J528" s="316">
        <f t="shared" si="39"/>
        <v>6.653244444444443</v>
      </c>
      <c r="K528" s="316" t="s">
        <v>141</v>
      </c>
    </row>
    <row r="529" spans="1:11">
      <c r="A529" s="295">
        <v>20</v>
      </c>
      <c r="B529" s="295">
        <f t="shared" si="40"/>
        <v>8</v>
      </c>
      <c r="C529" s="295">
        <v>7.1</v>
      </c>
      <c r="D529" s="295" t="s">
        <v>114</v>
      </c>
      <c r="E529" s="295">
        <v>27</v>
      </c>
      <c r="F529" s="316">
        <f t="shared" si="38"/>
        <v>1</v>
      </c>
      <c r="G529" s="321">
        <v>8.5</v>
      </c>
      <c r="H529" s="321">
        <v>8.1999999999999993</v>
      </c>
      <c r="I529" s="315">
        <f t="shared" si="41"/>
        <v>285.77</v>
      </c>
      <c r="J529" s="316">
        <f t="shared" si="39"/>
        <v>2.1168148148148145</v>
      </c>
    </row>
    <row r="530" spans="1:11">
      <c r="A530" s="295">
        <v>20</v>
      </c>
      <c r="B530" s="295">
        <f t="shared" si="40"/>
        <v>8</v>
      </c>
      <c r="C530" s="295">
        <v>7.2</v>
      </c>
      <c r="D530" s="295" t="s">
        <v>111</v>
      </c>
      <c r="E530" s="295">
        <v>31</v>
      </c>
      <c r="F530" s="316">
        <f t="shared" si="38"/>
        <v>1.0689655172413792</v>
      </c>
      <c r="G530" s="321">
        <v>5.8</v>
      </c>
      <c r="H530" s="321">
        <v>4.7</v>
      </c>
      <c r="I530" s="315">
        <f t="shared" si="41"/>
        <v>64.061000000000007</v>
      </c>
      <c r="J530" s="316">
        <f t="shared" si="39"/>
        <v>4.2318007662835253</v>
      </c>
    </row>
    <row r="531" spans="1:11">
      <c r="A531" s="295">
        <v>20</v>
      </c>
      <c r="B531" s="295">
        <f t="shared" si="40"/>
        <v>8</v>
      </c>
      <c r="C531" s="295">
        <v>7.3</v>
      </c>
      <c r="D531" s="295" t="s">
        <v>113</v>
      </c>
      <c r="E531" s="295">
        <v>28</v>
      </c>
      <c r="F531" s="316">
        <f t="shared" si="38"/>
        <v>1.037037037037037</v>
      </c>
      <c r="G531" s="321">
        <v>7.2</v>
      </c>
      <c r="H531" s="321">
        <v>6.8</v>
      </c>
      <c r="I531" s="315">
        <f t="shared" si="41"/>
        <v>166.464</v>
      </c>
      <c r="J531" s="316">
        <f t="shared" si="39"/>
        <v>1.1650289745527842</v>
      </c>
    </row>
    <row r="532" spans="1:11">
      <c r="A532" s="295">
        <v>20</v>
      </c>
      <c r="B532" s="295">
        <f t="shared" si="40"/>
        <v>8</v>
      </c>
      <c r="C532" s="295">
        <v>7.4</v>
      </c>
      <c r="D532" s="295" t="s">
        <v>115</v>
      </c>
      <c r="E532" s="295">
        <v>28</v>
      </c>
      <c r="F532" s="316">
        <f t="shared" si="38"/>
        <v>1.037037037037037</v>
      </c>
      <c r="G532" s="321">
        <v>7.7</v>
      </c>
      <c r="H532" s="321">
        <v>6.9</v>
      </c>
      <c r="I532" s="315">
        <f t="shared" si="41"/>
        <v>183.29850000000002</v>
      </c>
      <c r="J532" s="316">
        <f t="shared" si="39"/>
        <v>1.5487309258664685</v>
      </c>
    </row>
    <row r="533" spans="1:11">
      <c r="A533" s="295">
        <v>20</v>
      </c>
      <c r="B533" s="295">
        <f t="shared" si="40"/>
        <v>8</v>
      </c>
      <c r="C533" s="295">
        <v>7.5</v>
      </c>
      <c r="D533" s="295" t="s">
        <v>111</v>
      </c>
      <c r="E533" s="295">
        <v>29</v>
      </c>
      <c r="F533" s="316">
        <f t="shared" si="38"/>
        <v>1</v>
      </c>
      <c r="G533" s="321">
        <v>8.8000000000000007</v>
      </c>
      <c r="H533" s="321">
        <v>8.1</v>
      </c>
      <c r="I533" s="315">
        <f t="shared" si="41"/>
        <v>288.68400000000003</v>
      </c>
      <c r="J533" s="316">
        <f t="shared" si="39"/>
        <v>4.667334928539093</v>
      </c>
    </row>
    <row r="534" spans="1:11">
      <c r="A534" s="295">
        <v>21</v>
      </c>
      <c r="B534" s="295">
        <f t="shared" si="40"/>
        <v>9</v>
      </c>
      <c r="C534" s="295">
        <v>1.1000000000000001</v>
      </c>
      <c r="D534" s="295" t="s">
        <v>112</v>
      </c>
      <c r="E534" s="295">
        <v>29</v>
      </c>
      <c r="F534" s="316">
        <f t="shared" si="38"/>
        <v>1.0357142857142858</v>
      </c>
      <c r="G534" s="321">
        <v>9.9</v>
      </c>
      <c r="H534" s="321">
        <v>7.9</v>
      </c>
      <c r="I534" s="315">
        <f t="shared" si="41"/>
        <v>308.92950000000002</v>
      </c>
      <c r="J534" s="316">
        <f t="shared" si="39"/>
        <v>1.3714108779032603</v>
      </c>
    </row>
    <row r="535" spans="1:11">
      <c r="A535" s="295">
        <v>21</v>
      </c>
      <c r="B535" s="295">
        <f t="shared" si="40"/>
        <v>9</v>
      </c>
      <c r="C535" s="295">
        <v>1.2</v>
      </c>
      <c r="D535" s="295" t="s">
        <v>113</v>
      </c>
      <c r="E535" s="295">
        <v>27</v>
      </c>
      <c r="F535" s="316">
        <f t="shared" si="38"/>
        <v>1</v>
      </c>
      <c r="G535" s="321">
        <v>9.3000000000000007</v>
      </c>
      <c r="H535" s="321">
        <v>9.1999999999999993</v>
      </c>
      <c r="I535" s="315">
        <f t="shared" si="41"/>
        <v>393.57599999999996</v>
      </c>
      <c r="J535" s="316">
        <f t="shared" si="39"/>
        <v>1.8813249426987855</v>
      </c>
    </row>
    <row r="536" spans="1:11">
      <c r="A536" s="295">
        <v>21</v>
      </c>
      <c r="B536" s="295">
        <f t="shared" si="40"/>
        <v>9</v>
      </c>
      <c r="C536" s="295">
        <v>1.3</v>
      </c>
      <c r="D536" s="295" t="s">
        <v>115</v>
      </c>
      <c r="E536" s="295">
        <v>24</v>
      </c>
      <c r="F536" s="316">
        <f t="shared" si="38"/>
        <v>1</v>
      </c>
      <c r="G536" s="321">
        <v>6.8</v>
      </c>
      <c r="H536" s="321">
        <v>6.8</v>
      </c>
      <c r="I536" s="315">
        <f t="shared" si="41"/>
        <v>157.21599999999998</v>
      </c>
      <c r="J536" s="316">
        <f t="shared" si="39"/>
        <v>1.5857338820301781</v>
      </c>
    </row>
    <row r="537" spans="1:11">
      <c r="A537" s="295">
        <v>21</v>
      </c>
      <c r="B537" s="295">
        <f t="shared" si="40"/>
        <v>9</v>
      </c>
      <c r="C537" s="295">
        <v>1.4</v>
      </c>
      <c r="D537" s="295" t="s">
        <v>115</v>
      </c>
      <c r="F537" s="316" t="str">
        <f t="shared" si="38"/>
        <v/>
      </c>
      <c r="G537" s="321">
        <v>8.1</v>
      </c>
      <c r="H537" s="321">
        <v>8</v>
      </c>
      <c r="I537" s="315">
        <f t="shared" si="41"/>
        <v>259.2</v>
      </c>
      <c r="J537" s="316">
        <f t="shared" si="39"/>
        <v>1.428288038087681</v>
      </c>
      <c r="K537" s="316" t="s">
        <v>136</v>
      </c>
    </row>
    <row r="538" spans="1:11">
      <c r="A538" s="295">
        <v>21</v>
      </c>
      <c r="B538" s="295">
        <f t="shared" si="40"/>
        <v>9</v>
      </c>
      <c r="C538" s="295">
        <v>1.5</v>
      </c>
      <c r="D538" s="295" t="s">
        <v>112</v>
      </c>
      <c r="E538" s="295">
        <v>27</v>
      </c>
      <c r="F538" s="316">
        <f t="shared" si="38"/>
        <v>0.9642857142857143</v>
      </c>
      <c r="G538" s="321">
        <v>9</v>
      </c>
      <c r="H538" s="321">
        <v>7.4</v>
      </c>
      <c r="I538" s="315">
        <f t="shared" si="41"/>
        <v>246.42000000000002</v>
      </c>
      <c r="J538" s="316">
        <f t="shared" si="39"/>
        <v>1.7694450827205883</v>
      </c>
    </row>
    <row r="539" spans="1:11">
      <c r="A539" s="295">
        <v>21</v>
      </c>
      <c r="B539" s="295">
        <f t="shared" si="40"/>
        <v>9</v>
      </c>
      <c r="C539" s="295">
        <v>2.1</v>
      </c>
      <c r="D539" s="295" t="s">
        <v>114</v>
      </c>
      <c r="E539" s="295">
        <v>28</v>
      </c>
      <c r="F539" s="316">
        <f t="shared" si="38"/>
        <v>1.0769230769230769</v>
      </c>
      <c r="G539" s="321">
        <v>12.4</v>
      </c>
      <c r="H539" s="321">
        <v>7.9</v>
      </c>
      <c r="I539" s="315">
        <f t="shared" si="41"/>
        <v>386.94200000000001</v>
      </c>
      <c r="J539" s="316">
        <f t="shared" si="39"/>
        <v>2.0575509346775882</v>
      </c>
    </row>
    <row r="540" spans="1:11">
      <c r="A540" s="295">
        <v>21</v>
      </c>
      <c r="B540" s="295">
        <f t="shared" si="40"/>
        <v>9</v>
      </c>
      <c r="C540" s="295">
        <v>2.2000000000000002</v>
      </c>
      <c r="D540" s="295" t="s">
        <v>115</v>
      </c>
      <c r="E540" s="295">
        <v>27</v>
      </c>
      <c r="F540" s="316">
        <f t="shared" si="38"/>
        <v>0.9642857142857143</v>
      </c>
      <c r="G540" s="321">
        <v>5.9</v>
      </c>
      <c r="H540" s="321">
        <v>5.5</v>
      </c>
      <c r="I540" s="315">
        <f t="shared" si="41"/>
        <v>89.237500000000011</v>
      </c>
      <c r="J540" s="316">
        <f t="shared" si="39"/>
        <v>1.017241379310345</v>
      </c>
    </row>
    <row r="541" spans="1:11">
      <c r="A541" s="295">
        <v>21</v>
      </c>
      <c r="B541" s="295">
        <f t="shared" si="40"/>
        <v>9</v>
      </c>
      <c r="C541" s="295">
        <v>2.2999999999999998</v>
      </c>
      <c r="D541" s="295" t="s">
        <v>112</v>
      </c>
      <c r="E541" s="295">
        <v>25</v>
      </c>
      <c r="F541" s="316">
        <f t="shared" si="38"/>
        <v>1</v>
      </c>
      <c r="G541" s="321">
        <v>11.8</v>
      </c>
      <c r="H541" s="321">
        <v>9.1</v>
      </c>
      <c r="I541" s="315">
        <f t="shared" si="41"/>
        <v>488.57899999999995</v>
      </c>
      <c r="J541" s="316">
        <f t="shared" si="39"/>
        <v>2.9415989837019012</v>
      </c>
    </row>
    <row r="542" spans="1:11">
      <c r="A542" s="295">
        <v>21</v>
      </c>
      <c r="B542" s="295">
        <f t="shared" si="40"/>
        <v>9</v>
      </c>
      <c r="C542" s="295">
        <v>2.4</v>
      </c>
      <c r="D542" s="295" t="s">
        <v>114</v>
      </c>
      <c r="E542" s="295">
        <v>26</v>
      </c>
      <c r="F542" s="316">
        <f t="shared" si="38"/>
        <v>1.04</v>
      </c>
      <c r="G542" s="321">
        <v>8.9</v>
      </c>
      <c r="H542" s="321">
        <v>7.1</v>
      </c>
      <c r="I542" s="315">
        <f t="shared" si="41"/>
        <v>224.3245</v>
      </c>
      <c r="J542" s="316">
        <f t="shared" si="39"/>
        <v>2.086739534883721</v>
      </c>
    </row>
    <row r="543" spans="1:11">
      <c r="A543" s="295">
        <v>21</v>
      </c>
      <c r="B543" s="295">
        <f t="shared" si="40"/>
        <v>9</v>
      </c>
      <c r="C543" s="295">
        <v>2.5</v>
      </c>
      <c r="D543" s="295" t="s">
        <v>113</v>
      </c>
      <c r="E543" s="295">
        <v>28</v>
      </c>
      <c r="F543" s="316">
        <f t="shared" si="38"/>
        <v>1.037037037037037</v>
      </c>
      <c r="G543" s="321">
        <v>9</v>
      </c>
      <c r="H543" s="321">
        <v>6.9</v>
      </c>
      <c r="I543" s="315">
        <f t="shared" si="41"/>
        <v>214.24500000000003</v>
      </c>
      <c r="J543" s="316">
        <f t="shared" si="39"/>
        <v>1.2559648731988138</v>
      </c>
    </row>
    <row r="544" spans="1:11">
      <c r="A544" s="295">
        <v>21</v>
      </c>
      <c r="B544" s="295">
        <f t="shared" si="40"/>
        <v>9</v>
      </c>
      <c r="C544" s="295">
        <v>3.1</v>
      </c>
      <c r="D544" s="295" t="s">
        <v>115</v>
      </c>
      <c r="E544" s="295">
        <v>24</v>
      </c>
      <c r="F544" s="316">
        <f t="shared" si="38"/>
        <v>1</v>
      </c>
      <c r="G544" s="321">
        <v>5.3</v>
      </c>
      <c r="H544" s="321">
        <v>4.5999999999999996</v>
      </c>
      <c r="I544" s="315">
        <f t="shared" si="41"/>
        <v>56.073999999999991</v>
      </c>
      <c r="J544" s="316">
        <f t="shared" si="39"/>
        <v>0.30865006192376493</v>
      </c>
    </row>
    <row r="545" spans="1:10">
      <c r="A545" s="295">
        <v>21</v>
      </c>
      <c r="B545" s="295">
        <f t="shared" si="40"/>
        <v>9</v>
      </c>
      <c r="C545" s="295">
        <v>3.2</v>
      </c>
      <c r="D545" s="295" t="s">
        <v>113</v>
      </c>
      <c r="E545" s="295">
        <v>31</v>
      </c>
      <c r="F545" s="316">
        <f t="shared" si="38"/>
        <v>1.0333333333333334</v>
      </c>
      <c r="G545" s="321">
        <v>9.9</v>
      </c>
      <c r="H545" s="321">
        <v>8.8000000000000007</v>
      </c>
      <c r="I545" s="315">
        <f t="shared" si="41"/>
        <v>383.32800000000009</v>
      </c>
      <c r="J545" s="316">
        <f t="shared" si="39"/>
        <v>1.9975820235961153</v>
      </c>
    </row>
    <row r="546" spans="1:10">
      <c r="A546" s="295">
        <v>21</v>
      </c>
      <c r="B546" s="295">
        <f t="shared" si="40"/>
        <v>9</v>
      </c>
      <c r="C546" s="295">
        <v>3.3</v>
      </c>
      <c r="D546" s="295" t="s">
        <v>114</v>
      </c>
      <c r="E546" s="295">
        <v>27</v>
      </c>
      <c r="F546" s="316">
        <f t="shared" si="38"/>
        <v>1.08</v>
      </c>
      <c r="G546" s="321">
        <v>11.7</v>
      </c>
      <c r="H546" s="321">
        <v>9.9</v>
      </c>
      <c r="I546" s="315">
        <f t="shared" si="41"/>
        <v>573.35850000000005</v>
      </c>
      <c r="J546" s="316">
        <f t="shared" si="39"/>
        <v>2.7859985422740525</v>
      </c>
    </row>
    <row r="547" spans="1:10">
      <c r="A547" s="295">
        <v>21</v>
      </c>
      <c r="B547" s="295">
        <f t="shared" si="40"/>
        <v>9</v>
      </c>
      <c r="C547" s="295">
        <v>3.4</v>
      </c>
      <c r="D547" s="295" t="s">
        <v>114</v>
      </c>
      <c r="E547" s="295">
        <v>26</v>
      </c>
      <c r="F547" s="316">
        <f t="shared" si="38"/>
        <v>1.04</v>
      </c>
      <c r="G547" s="321">
        <v>9.6</v>
      </c>
      <c r="H547" s="321">
        <v>8</v>
      </c>
      <c r="I547" s="315">
        <f t="shared" si="41"/>
        <v>307.2</v>
      </c>
      <c r="J547" s="316">
        <f t="shared" si="39"/>
        <v>1.3101554103618278</v>
      </c>
    </row>
    <row r="548" spans="1:10">
      <c r="A548" s="295">
        <v>21</v>
      </c>
      <c r="B548" s="295">
        <f t="shared" si="40"/>
        <v>9</v>
      </c>
      <c r="C548" s="295">
        <v>3.5</v>
      </c>
      <c r="D548" s="295" t="s">
        <v>115</v>
      </c>
      <c r="E548" s="295">
        <v>28</v>
      </c>
      <c r="F548" s="316">
        <f t="shared" si="38"/>
        <v>1.037037037037037</v>
      </c>
      <c r="G548" s="321">
        <v>10.199999999999999</v>
      </c>
      <c r="H548" s="321">
        <v>8.4</v>
      </c>
      <c r="I548" s="315">
        <f t="shared" si="41"/>
        <v>359.85599999999999</v>
      </c>
      <c r="J548" s="316">
        <f t="shared" si="39"/>
        <v>1.5462381300219137</v>
      </c>
    </row>
    <row r="549" spans="1:10">
      <c r="A549" s="295">
        <v>21</v>
      </c>
      <c r="B549" s="295">
        <f t="shared" si="40"/>
        <v>9</v>
      </c>
      <c r="C549" s="295">
        <v>4.0999999999999996</v>
      </c>
      <c r="D549" s="295" t="s">
        <v>111</v>
      </c>
      <c r="E549" s="295">
        <v>29</v>
      </c>
      <c r="F549" s="316">
        <f t="shared" si="38"/>
        <v>1.0357142857142858</v>
      </c>
      <c r="G549" s="321">
        <v>16.8</v>
      </c>
      <c r="H549" s="321">
        <v>13.4</v>
      </c>
      <c r="I549" s="315">
        <f t="shared" si="41"/>
        <v>1508.3040000000001</v>
      </c>
      <c r="J549" s="316">
        <f t="shared" si="39"/>
        <v>55.966753246753242</v>
      </c>
    </row>
    <row r="550" spans="1:10">
      <c r="A550" s="295">
        <v>21</v>
      </c>
      <c r="B550" s="295">
        <f t="shared" si="40"/>
        <v>9</v>
      </c>
      <c r="C550" s="295">
        <v>4.2</v>
      </c>
      <c r="D550" s="295" t="s">
        <v>112</v>
      </c>
      <c r="E550" s="295">
        <v>30</v>
      </c>
      <c r="F550" s="316">
        <f t="shared" si="38"/>
        <v>1.0344827586206897</v>
      </c>
      <c r="G550" s="321">
        <v>13</v>
      </c>
      <c r="H550" s="321">
        <v>9</v>
      </c>
      <c r="I550" s="315">
        <f t="shared" si="41"/>
        <v>526.5</v>
      </c>
      <c r="J550" s="316">
        <f t="shared" si="39"/>
        <v>1.5818506300362341</v>
      </c>
    </row>
    <row r="551" spans="1:10">
      <c r="A551" s="295">
        <v>21</v>
      </c>
      <c r="B551" s="295">
        <f t="shared" si="40"/>
        <v>9</v>
      </c>
      <c r="C551" s="295">
        <v>4.3</v>
      </c>
      <c r="D551" s="295" t="s">
        <v>113</v>
      </c>
      <c r="E551" s="295">
        <v>27</v>
      </c>
      <c r="F551" s="316">
        <f t="shared" si="38"/>
        <v>1.0384615384615385</v>
      </c>
      <c r="G551" s="321">
        <v>9.1</v>
      </c>
      <c r="H551" s="321">
        <v>7.4</v>
      </c>
      <c r="I551" s="315">
        <f t="shared" si="41"/>
        <v>249.15800000000002</v>
      </c>
      <c r="J551" s="316">
        <f t="shared" si="39"/>
        <v>1.7891055836397058</v>
      </c>
    </row>
    <row r="552" spans="1:10">
      <c r="A552" s="295">
        <v>21</v>
      </c>
      <c r="B552" s="295">
        <f t="shared" si="40"/>
        <v>9</v>
      </c>
      <c r="C552" s="295">
        <v>4.4000000000000004</v>
      </c>
      <c r="D552" s="295" t="s">
        <v>112</v>
      </c>
      <c r="E552" s="295">
        <v>31</v>
      </c>
      <c r="F552" s="316">
        <f t="shared" si="38"/>
        <v>1</v>
      </c>
      <c r="G552" s="321">
        <v>15.8</v>
      </c>
      <c r="H552" s="321">
        <v>11.8</v>
      </c>
      <c r="I552" s="315">
        <f t="shared" si="41"/>
        <v>1099.9960000000001</v>
      </c>
      <c r="J552" s="316">
        <f t="shared" si="39"/>
        <v>5.8506535469716106</v>
      </c>
    </row>
    <row r="553" spans="1:10">
      <c r="A553" s="295">
        <v>21</v>
      </c>
      <c r="B553" s="295">
        <f t="shared" si="40"/>
        <v>9</v>
      </c>
      <c r="C553" s="295">
        <v>4.5</v>
      </c>
      <c r="D553" s="295" t="s">
        <v>112</v>
      </c>
      <c r="E553" s="295">
        <v>28</v>
      </c>
      <c r="F553" s="316">
        <f t="shared" si="38"/>
        <v>1.037037037037037</v>
      </c>
      <c r="G553" s="321">
        <v>12.3</v>
      </c>
      <c r="H553" s="321">
        <v>10.199999999999999</v>
      </c>
      <c r="I553" s="315">
        <f t="shared" si="41"/>
        <v>639.846</v>
      </c>
      <c r="J553" s="316">
        <f t="shared" si="39"/>
        <v>2.8587781143607751</v>
      </c>
    </row>
    <row r="554" spans="1:10">
      <c r="A554" s="295">
        <v>21</v>
      </c>
      <c r="B554" s="295">
        <f t="shared" si="40"/>
        <v>9</v>
      </c>
      <c r="C554" s="295">
        <v>5.0999999999999996</v>
      </c>
      <c r="D554" s="295" t="s">
        <v>113</v>
      </c>
      <c r="E554" s="295">
        <v>25</v>
      </c>
      <c r="F554" s="316">
        <f t="shared" si="38"/>
        <v>1.0416666666666667</v>
      </c>
      <c r="G554" s="321">
        <v>8.3000000000000007</v>
      </c>
      <c r="H554" s="321">
        <v>7.3</v>
      </c>
      <c r="I554" s="315">
        <f t="shared" si="41"/>
        <v>221.15350000000001</v>
      </c>
      <c r="J554" s="316">
        <f t="shared" si="39"/>
        <v>1.3315040368949924</v>
      </c>
    </row>
    <row r="555" spans="1:10">
      <c r="A555" s="295">
        <v>21</v>
      </c>
      <c r="B555" s="295">
        <f t="shared" si="40"/>
        <v>9</v>
      </c>
      <c r="C555" s="295">
        <v>5.2</v>
      </c>
      <c r="D555" s="295" t="s">
        <v>114</v>
      </c>
      <c r="E555" s="295">
        <v>29</v>
      </c>
      <c r="F555" s="316">
        <f t="shared" si="38"/>
        <v>1.0740740740740742</v>
      </c>
      <c r="G555" s="321">
        <v>7.7</v>
      </c>
      <c r="H555" s="321">
        <v>7.2</v>
      </c>
      <c r="I555" s="315">
        <f t="shared" si="41"/>
        <v>199.58400000000003</v>
      </c>
      <c r="J555" s="316">
        <f t="shared" si="39"/>
        <v>1.2057416267942589</v>
      </c>
    </row>
    <row r="556" spans="1:10">
      <c r="A556" s="295">
        <v>21</v>
      </c>
      <c r="B556" s="295">
        <f t="shared" si="40"/>
        <v>9</v>
      </c>
      <c r="C556" s="295">
        <v>5.3</v>
      </c>
      <c r="D556" s="295" t="s">
        <v>112</v>
      </c>
      <c r="E556" s="295">
        <v>31</v>
      </c>
      <c r="F556" s="316">
        <f t="shared" si="38"/>
        <v>1.1071428571428572</v>
      </c>
      <c r="G556" s="321">
        <v>10.4</v>
      </c>
      <c r="H556" s="321">
        <v>9</v>
      </c>
      <c r="I556" s="315">
        <f t="shared" si="41"/>
        <v>421.2</v>
      </c>
      <c r="J556" s="316">
        <f t="shared" si="39"/>
        <v>1.775147928994083</v>
      </c>
    </row>
    <row r="557" spans="1:10">
      <c r="A557" s="295">
        <v>21</v>
      </c>
      <c r="B557" s="295">
        <f t="shared" si="40"/>
        <v>9</v>
      </c>
      <c r="C557" s="295">
        <v>5.4</v>
      </c>
      <c r="D557" s="295" t="s">
        <v>113</v>
      </c>
      <c r="E557" s="295">
        <v>26</v>
      </c>
      <c r="F557" s="316">
        <f t="shared" si="38"/>
        <v>1</v>
      </c>
      <c r="G557" s="321">
        <v>10.8</v>
      </c>
      <c r="H557" s="321">
        <v>7.9</v>
      </c>
      <c r="I557" s="315">
        <f t="shared" si="41"/>
        <v>337.01400000000007</v>
      </c>
      <c r="J557" s="316">
        <f t="shared" si="39"/>
        <v>1.8843388314229805</v>
      </c>
    </row>
    <row r="558" spans="1:10">
      <c r="A558" s="295">
        <v>21</v>
      </c>
      <c r="B558" s="295">
        <f t="shared" si="40"/>
        <v>9</v>
      </c>
      <c r="C558" s="295">
        <v>5.5</v>
      </c>
      <c r="D558" s="295" t="s">
        <v>114</v>
      </c>
      <c r="E558" s="295">
        <v>23</v>
      </c>
      <c r="F558" s="316">
        <f t="shared" si="38"/>
        <v>1.0454545454545454</v>
      </c>
      <c r="G558" s="321">
        <v>7.6</v>
      </c>
      <c r="H558" s="321">
        <v>6.6</v>
      </c>
      <c r="I558" s="315">
        <f t="shared" si="41"/>
        <v>165.52799999999996</v>
      </c>
      <c r="J558" s="316">
        <f t="shared" si="39"/>
        <v>1.6453748434424755</v>
      </c>
    </row>
    <row r="559" spans="1:10">
      <c r="A559" s="295">
        <v>21</v>
      </c>
      <c r="B559" s="295">
        <f t="shared" si="40"/>
        <v>9</v>
      </c>
      <c r="C559" s="295">
        <v>6.1</v>
      </c>
      <c r="D559" s="295" t="s">
        <v>115</v>
      </c>
      <c r="E559" s="295">
        <v>27</v>
      </c>
      <c r="F559" s="316">
        <f t="shared" si="38"/>
        <v>1.08</v>
      </c>
      <c r="G559" s="321">
        <v>13.3</v>
      </c>
      <c r="H559" s="321">
        <v>8.5</v>
      </c>
      <c r="I559" s="315">
        <f t="shared" si="41"/>
        <v>480.46250000000003</v>
      </c>
      <c r="J559" s="316">
        <f t="shared" si="39"/>
        <v>3.5711498439125906</v>
      </c>
    </row>
    <row r="560" spans="1:10">
      <c r="A560" s="295">
        <v>21</v>
      </c>
      <c r="B560" s="295">
        <f t="shared" si="40"/>
        <v>9</v>
      </c>
      <c r="C560" s="295">
        <v>6.2</v>
      </c>
      <c r="D560" s="295" t="s">
        <v>115</v>
      </c>
      <c r="E560" s="295">
        <v>29</v>
      </c>
      <c r="F560" s="316">
        <f t="shared" si="38"/>
        <v>1.0740740740740742</v>
      </c>
      <c r="G560" s="321">
        <v>7.7</v>
      </c>
      <c r="H560" s="321">
        <v>7</v>
      </c>
      <c r="I560" s="315">
        <f t="shared" si="41"/>
        <v>188.65</v>
      </c>
      <c r="J560" s="316">
        <f t="shared" si="39"/>
        <v>1.5133951313039748</v>
      </c>
    </row>
    <row r="561" spans="1:11">
      <c r="A561" s="295">
        <v>21</v>
      </c>
      <c r="B561" s="295">
        <f t="shared" si="40"/>
        <v>9</v>
      </c>
      <c r="C561" s="295">
        <v>6.3</v>
      </c>
      <c r="D561" s="295" t="s">
        <v>114</v>
      </c>
      <c r="E561" s="295">
        <v>26</v>
      </c>
      <c r="F561" s="316">
        <f t="shared" si="38"/>
        <v>1.0833333333333333</v>
      </c>
      <c r="G561" s="321">
        <v>10.199999999999999</v>
      </c>
      <c r="H561" s="321">
        <v>9.3000000000000007</v>
      </c>
      <c r="I561" s="315">
        <f t="shared" si="41"/>
        <v>441.09899999999999</v>
      </c>
      <c r="J561" s="316">
        <f t="shared" si="39"/>
        <v>2.9331998949338844</v>
      </c>
    </row>
    <row r="562" spans="1:11">
      <c r="A562" s="295">
        <v>21</v>
      </c>
      <c r="B562" s="295">
        <f t="shared" si="40"/>
        <v>9</v>
      </c>
      <c r="C562" s="295">
        <v>6.4</v>
      </c>
      <c r="D562" s="295" t="s">
        <v>112</v>
      </c>
      <c r="E562" s="295">
        <v>30</v>
      </c>
      <c r="F562" s="316">
        <f t="shared" si="38"/>
        <v>1.0344827586206897</v>
      </c>
      <c r="G562" s="321">
        <v>9.9</v>
      </c>
      <c r="H562" s="321">
        <v>8.3000000000000007</v>
      </c>
      <c r="I562" s="315">
        <f>G562*(H562^2)*0.5</f>
        <v>341.0055000000001</v>
      </c>
      <c r="J562" s="316">
        <f t="shared" si="39"/>
        <v>5.8713068181818189</v>
      </c>
    </row>
    <row r="563" spans="1:11">
      <c r="A563" s="295">
        <v>21</v>
      </c>
      <c r="B563" s="295">
        <f t="shared" si="40"/>
        <v>9</v>
      </c>
      <c r="C563" s="295">
        <v>6.5</v>
      </c>
      <c r="D563" s="295" t="s">
        <v>113</v>
      </c>
      <c r="E563" s="295">
        <v>27</v>
      </c>
      <c r="F563" s="316">
        <f t="shared" si="38"/>
        <v>1.125</v>
      </c>
      <c r="G563" s="321">
        <v>8.6</v>
      </c>
      <c r="H563" s="321">
        <v>8.4</v>
      </c>
      <c r="I563" s="315">
        <f t="shared" ref="I563:I596" si="42">G563*(H563^2)*0.5</f>
        <v>303.40800000000002</v>
      </c>
      <c r="J563" s="316">
        <f t="shared" si="39"/>
        <v>5.9932444444444446</v>
      </c>
      <c r="K563" s="316" t="s">
        <v>141</v>
      </c>
    </row>
    <row r="564" spans="1:11">
      <c r="A564" s="295">
        <v>21</v>
      </c>
      <c r="B564" s="295">
        <f t="shared" si="40"/>
        <v>9</v>
      </c>
      <c r="C564" s="295">
        <v>7.1</v>
      </c>
      <c r="D564" s="295" t="s">
        <v>114</v>
      </c>
      <c r="E564" s="295">
        <v>28</v>
      </c>
      <c r="F564" s="316">
        <f t="shared" si="38"/>
        <v>1.037037037037037</v>
      </c>
      <c r="G564" s="321">
        <v>7.5</v>
      </c>
      <c r="H564" s="321">
        <v>6.6</v>
      </c>
      <c r="I564" s="315">
        <f t="shared" si="42"/>
        <v>163.35</v>
      </c>
      <c r="J564" s="316">
        <f t="shared" si="39"/>
        <v>1.21</v>
      </c>
    </row>
    <row r="565" spans="1:11">
      <c r="A565" s="295">
        <v>21</v>
      </c>
      <c r="B565" s="295">
        <f t="shared" si="40"/>
        <v>9</v>
      </c>
      <c r="C565" s="295">
        <v>7.2</v>
      </c>
      <c r="D565" s="295" t="s">
        <v>111</v>
      </c>
      <c r="E565" s="295">
        <v>30</v>
      </c>
      <c r="F565" s="316">
        <f t="shared" si="38"/>
        <v>1.0344827586206897</v>
      </c>
      <c r="G565" s="321">
        <v>5.8</v>
      </c>
      <c r="H565" s="321">
        <v>4.4000000000000004</v>
      </c>
      <c r="I565" s="315">
        <f t="shared" si="42"/>
        <v>56.144000000000005</v>
      </c>
      <c r="J565" s="316">
        <f t="shared" si="39"/>
        <v>3.7088122605363987</v>
      </c>
    </row>
    <row r="566" spans="1:11">
      <c r="A566" s="295">
        <v>21</v>
      </c>
      <c r="B566" s="295">
        <f t="shared" si="40"/>
        <v>9</v>
      </c>
      <c r="C566" s="295">
        <v>7.3</v>
      </c>
      <c r="D566" s="295" t="s">
        <v>113</v>
      </c>
      <c r="E566" s="295">
        <v>28</v>
      </c>
      <c r="F566" s="316">
        <f t="shared" si="38"/>
        <v>1.037037037037037</v>
      </c>
      <c r="G566" s="321">
        <v>6.3</v>
      </c>
      <c r="H566" s="321">
        <v>5.2</v>
      </c>
      <c r="I566" s="315">
        <f t="shared" si="42"/>
        <v>85.176000000000002</v>
      </c>
      <c r="J566" s="316">
        <f t="shared" si="39"/>
        <v>0.59611992945326286</v>
      </c>
    </row>
    <row r="567" spans="1:11">
      <c r="A567" s="295">
        <v>21</v>
      </c>
      <c r="B567" s="295">
        <f t="shared" si="40"/>
        <v>9</v>
      </c>
      <c r="C567" s="295">
        <v>7.4</v>
      </c>
      <c r="D567" s="295" t="s">
        <v>115</v>
      </c>
      <c r="E567" s="295">
        <v>29</v>
      </c>
      <c r="F567" s="316">
        <f t="shared" si="38"/>
        <v>1.0740740740740742</v>
      </c>
      <c r="G567" s="321">
        <v>6.4</v>
      </c>
      <c r="H567" s="321">
        <v>5.9</v>
      </c>
      <c r="I567" s="315">
        <f t="shared" si="42"/>
        <v>111.39200000000001</v>
      </c>
      <c r="J567" s="316">
        <f t="shared" si="39"/>
        <v>0.94117647058823539</v>
      </c>
    </row>
    <row r="568" spans="1:11">
      <c r="A568" s="295">
        <v>21</v>
      </c>
      <c r="B568" s="295">
        <f t="shared" si="40"/>
        <v>9</v>
      </c>
      <c r="C568" s="295">
        <v>7.5</v>
      </c>
      <c r="D568" s="295" t="s">
        <v>111</v>
      </c>
      <c r="E568" s="295">
        <v>29</v>
      </c>
      <c r="F568" s="316">
        <f t="shared" si="38"/>
        <v>1</v>
      </c>
      <c r="G568" s="321">
        <v>8.8000000000000007</v>
      </c>
      <c r="H568" s="321">
        <v>7.5</v>
      </c>
      <c r="I568" s="315">
        <f t="shared" si="42"/>
        <v>247.50000000000003</v>
      </c>
      <c r="J568" s="316">
        <f t="shared" si="39"/>
        <v>4.0014874215870142</v>
      </c>
    </row>
    <row r="569" spans="1:11">
      <c r="A569" s="295">
        <v>22</v>
      </c>
      <c r="B569" s="295">
        <f t="shared" si="40"/>
        <v>10</v>
      </c>
      <c r="C569" s="295">
        <v>1.1000000000000001</v>
      </c>
      <c r="D569" s="295" t="s">
        <v>112</v>
      </c>
      <c r="E569" s="295">
        <v>28</v>
      </c>
      <c r="F569" s="316">
        <f t="shared" si="38"/>
        <v>1</v>
      </c>
      <c r="G569" s="321">
        <v>11.1</v>
      </c>
      <c r="H569" s="321">
        <v>9.5</v>
      </c>
      <c r="I569" s="315">
        <f t="shared" si="42"/>
        <v>500.88749999999999</v>
      </c>
      <c r="J569" s="316">
        <f t="shared" si="39"/>
        <v>2.2235576923076925</v>
      </c>
    </row>
    <row r="570" spans="1:11">
      <c r="A570" s="295">
        <v>22</v>
      </c>
      <c r="B570" s="295">
        <f t="shared" si="40"/>
        <v>10</v>
      </c>
      <c r="C570" s="295">
        <v>1.2</v>
      </c>
      <c r="D570" s="295" t="s">
        <v>113</v>
      </c>
      <c r="E570" s="295">
        <v>27</v>
      </c>
      <c r="F570" s="316">
        <f t="shared" si="38"/>
        <v>1</v>
      </c>
      <c r="G570" s="321">
        <v>7.9</v>
      </c>
      <c r="H570" s="321">
        <v>6.5</v>
      </c>
      <c r="I570" s="315">
        <f t="shared" si="42"/>
        <v>166.88750000000002</v>
      </c>
      <c r="J570" s="316">
        <f t="shared" si="39"/>
        <v>0.79773567589142524</v>
      </c>
    </row>
    <row r="571" spans="1:11">
      <c r="A571" s="295">
        <v>22</v>
      </c>
      <c r="B571" s="295">
        <f t="shared" si="40"/>
        <v>10</v>
      </c>
      <c r="C571" s="295">
        <v>1.3</v>
      </c>
      <c r="D571" s="295" t="s">
        <v>115</v>
      </c>
      <c r="E571" s="295">
        <v>24</v>
      </c>
      <c r="F571" s="316">
        <f t="shared" si="38"/>
        <v>1</v>
      </c>
      <c r="G571" s="321">
        <v>7.5</v>
      </c>
      <c r="H571" s="321">
        <v>7</v>
      </c>
      <c r="I571" s="315">
        <f t="shared" si="42"/>
        <v>183.75</v>
      </c>
      <c r="J571" s="316">
        <f t="shared" si="39"/>
        <v>1.8533648027112077</v>
      </c>
    </row>
    <row r="572" spans="1:11">
      <c r="A572" s="295">
        <v>22</v>
      </c>
      <c r="B572" s="295">
        <f t="shared" si="40"/>
        <v>10</v>
      </c>
      <c r="C572" s="295">
        <v>1.4</v>
      </c>
      <c r="D572" s="295" t="s">
        <v>115</v>
      </c>
      <c r="E572" s="295">
        <v>25</v>
      </c>
      <c r="F572" s="316">
        <f t="shared" si="38"/>
        <v>0.8928571428571429</v>
      </c>
      <c r="G572" s="321">
        <v>10</v>
      </c>
      <c r="H572" s="321">
        <v>8.4</v>
      </c>
      <c r="I572" s="315">
        <f t="shared" si="42"/>
        <v>352.8</v>
      </c>
      <c r="J572" s="316">
        <f t="shared" si="39"/>
        <v>1.9440587185082325</v>
      </c>
      <c r="K572" s="316" t="s">
        <v>134</v>
      </c>
    </row>
    <row r="573" spans="1:11">
      <c r="A573" s="295">
        <v>22</v>
      </c>
      <c r="B573" s="295">
        <f t="shared" si="40"/>
        <v>10</v>
      </c>
      <c r="C573" s="295">
        <v>1.5</v>
      </c>
      <c r="D573" s="295" t="s">
        <v>112</v>
      </c>
      <c r="E573" s="295">
        <v>27</v>
      </c>
      <c r="F573" s="316">
        <f t="shared" si="38"/>
        <v>0.9642857142857143</v>
      </c>
      <c r="G573" s="321">
        <v>9.9</v>
      </c>
      <c r="H573" s="321">
        <v>7.7</v>
      </c>
      <c r="I573" s="315">
        <f t="shared" si="42"/>
        <v>293.48550000000006</v>
      </c>
      <c r="J573" s="316">
        <f t="shared" si="39"/>
        <v>2.1074039234834561</v>
      </c>
    </row>
    <row r="574" spans="1:11">
      <c r="A574" s="295">
        <v>22</v>
      </c>
      <c r="B574" s="295">
        <f t="shared" si="40"/>
        <v>10</v>
      </c>
      <c r="C574" s="295">
        <v>2.1</v>
      </c>
      <c r="D574" s="295" t="s">
        <v>114</v>
      </c>
      <c r="E574" s="295">
        <v>27</v>
      </c>
      <c r="F574" s="316">
        <f t="shared" si="38"/>
        <v>1.0384615384615385</v>
      </c>
      <c r="G574" s="321">
        <v>10.7</v>
      </c>
      <c r="H574" s="321">
        <v>8.8000000000000007</v>
      </c>
      <c r="I574" s="315">
        <f t="shared" si="42"/>
        <v>414.30400000000003</v>
      </c>
      <c r="J574" s="316">
        <f t="shared" si="39"/>
        <v>2.2030474397730502</v>
      </c>
    </row>
    <row r="575" spans="1:11">
      <c r="A575" s="295">
        <v>22</v>
      </c>
      <c r="B575" s="295">
        <f t="shared" si="40"/>
        <v>10</v>
      </c>
      <c r="C575" s="295">
        <v>2.2000000000000002</v>
      </c>
      <c r="D575" s="295" t="s">
        <v>115</v>
      </c>
      <c r="E575" s="295">
        <v>25</v>
      </c>
      <c r="F575" s="316">
        <f t="shared" si="38"/>
        <v>0.8928571428571429</v>
      </c>
      <c r="G575" s="321">
        <v>5.3</v>
      </c>
      <c r="H575" s="321">
        <v>5.0999999999999996</v>
      </c>
      <c r="I575" s="315">
        <f t="shared" si="42"/>
        <v>68.92649999999999</v>
      </c>
      <c r="J575" s="316">
        <f t="shared" si="39"/>
        <v>0.78571102878312904</v>
      </c>
    </row>
    <row r="576" spans="1:11">
      <c r="A576" s="295">
        <v>22</v>
      </c>
      <c r="B576" s="295">
        <f t="shared" si="40"/>
        <v>10</v>
      </c>
      <c r="C576" s="295">
        <v>2.2999999999999998</v>
      </c>
      <c r="D576" s="295" t="s">
        <v>112</v>
      </c>
      <c r="E576" s="295">
        <v>24</v>
      </c>
      <c r="F576" s="316">
        <f t="shared" si="38"/>
        <v>0.96</v>
      </c>
      <c r="G576" s="321">
        <v>10.6</v>
      </c>
      <c r="H576" s="321">
        <v>9</v>
      </c>
      <c r="I576" s="315">
        <f t="shared" si="42"/>
        <v>429.3</v>
      </c>
      <c r="J576" s="316">
        <f t="shared" si="39"/>
        <v>2.5846965254405663</v>
      </c>
    </row>
    <row r="577" spans="1:11">
      <c r="A577" s="295">
        <v>22</v>
      </c>
      <c r="B577" s="295">
        <f t="shared" si="40"/>
        <v>10</v>
      </c>
      <c r="C577" s="295">
        <v>2.4</v>
      </c>
      <c r="D577" s="295" t="s">
        <v>114</v>
      </c>
      <c r="E577" s="295">
        <v>25</v>
      </c>
      <c r="F577" s="316">
        <f t="shared" si="38"/>
        <v>1</v>
      </c>
      <c r="G577" s="321">
        <v>8</v>
      </c>
      <c r="H577" s="321">
        <v>6.1</v>
      </c>
      <c r="I577" s="315">
        <f t="shared" si="42"/>
        <v>148.83999999999997</v>
      </c>
      <c r="J577" s="316">
        <f t="shared" si="39"/>
        <v>1.3845581395348834</v>
      </c>
    </row>
    <row r="578" spans="1:11">
      <c r="A578" s="295">
        <v>22</v>
      </c>
      <c r="B578" s="295">
        <f t="shared" si="40"/>
        <v>10</v>
      </c>
      <c r="C578" s="295">
        <v>2.5</v>
      </c>
      <c r="D578" s="295" t="s">
        <v>113</v>
      </c>
      <c r="E578" s="295">
        <v>28</v>
      </c>
      <c r="F578" s="316">
        <f t="shared" si="38"/>
        <v>1.037037037037037</v>
      </c>
      <c r="G578" s="321">
        <v>8.6999999999999993</v>
      </c>
      <c r="H578" s="321">
        <v>7.4</v>
      </c>
      <c r="I578" s="315">
        <f t="shared" si="42"/>
        <v>238.20599999999999</v>
      </c>
      <c r="J578" s="316">
        <f t="shared" si="39"/>
        <v>1.3964310419622235</v>
      </c>
    </row>
    <row r="579" spans="1:11">
      <c r="A579" s="295">
        <v>22</v>
      </c>
      <c r="B579" s="295">
        <f t="shared" si="40"/>
        <v>10</v>
      </c>
      <c r="C579" s="295">
        <v>3.1</v>
      </c>
      <c r="D579" s="295" t="s">
        <v>115</v>
      </c>
      <c r="E579" s="295">
        <v>23</v>
      </c>
      <c r="F579" s="316">
        <f t="shared" si="38"/>
        <v>0.95833333333333337</v>
      </c>
      <c r="G579" s="321">
        <v>8.1</v>
      </c>
      <c r="H579" s="321">
        <v>6</v>
      </c>
      <c r="I579" s="315">
        <f t="shared" si="42"/>
        <v>145.79999999999998</v>
      </c>
      <c r="J579" s="316">
        <f t="shared" si="39"/>
        <v>0.80253199394523189</v>
      </c>
    </row>
    <row r="580" spans="1:11">
      <c r="A580" s="295">
        <v>22</v>
      </c>
      <c r="B580" s="295">
        <f t="shared" si="40"/>
        <v>10</v>
      </c>
      <c r="C580" s="295">
        <v>3.2</v>
      </c>
      <c r="D580" s="295" t="s">
        <v>113</v>
      </c>
      <c r="E580" s="295">
        <v>31</v>
      </c>
      <c r="F580" s="316">
        <f t="shared" si="38"/>
        <v>1.0333333333333334</v>
      </c>
      <c r="G580" s="321">
        <v>10.8</v>
      </c>
      <c r="H580" s="321">
        <v>8.4</v>
      </c>
      <c r="I580" s="315">
        <f t="shared" si="42"/>
        <v>381.02400000000006</v>
      </c>
      <c r="J580" s="316">
        <f t="shared" si="39"/>
        <v>1.9855755200733736</v>
      </c>
    </row>
    <row r="581" spans="1:11">
      <c r="A581" s="295">
        <v>22</v>
      </c>
      <c r="B581" s="295">
        <f t="shared" si="40"/>
        <v>10</v>
      </c>
      <c r="C581" s="295">
        <v>3.3</v>
      </c>
      <c r="D581" s="295" t="s">
        <v>114</v>
      </c>
      <c r="E581" s="295">
        <v>25</v>
      </c>
      <c r="F581" s="316">
        <f t="shared" si="38"/>
        <v>1</v>
      </c>
      <c r="G581" s="321">
        <v>9.1999999999999993</v>
      </c>
      <c r="H581" s="321">
        <v>7.9</v>
      </c>
      <c r="I581" s="315">
        <f t="shared" si="42"/>
        <v>287.08600000000001</v>
      </c>
      <c r="J581" s="316">
        <f t="shared" si="39"/>
        <v>1.3949757045675413</v>
      </c>
    </row>
    <row r="582" spans="1:11">
      <c r="A582" s="295">
        <v>22</v>
      </c>
      <c r="B582" s="295">
        <f t="shared" si="40"/>
        <v>10</v>
      </c>
      <c r="C582" s="295">
        <v>3.4</v>
      </c>
      <c r="D582" s="295" t="s">
        <v>114</v>
      </c>
      <c r="E582" s="295">
        <v>26</v>
      </c>
      <c r="F582" s="316">
        <f t="shared" si="38"/>
        <v>1.04</v>
      </c>
      <c r="G582" s="321">
        <v>9.6999999999999993</v>
      </c>
      <c r="H582" s="321">
        <v>7.9</v>
      </c>
      <c r="I582" s="315">
        <f t="shared" si="42"/>
        <v>302.68849999999998</v>
      </c>
      <c r="J582" s="316">
        <f t="shared" si="39"/>
        <v>1.2909146351865433</v>
      </c>
    </row>
    <row r="583" spans="1:11">
      <c r="A583" s="295">
        <v>22</v>
      </c>
      <c r="B583" s="295">
        <f t="shared" si="40"/>
        <v>10</v>
      </c>
      <c r="C583" s="295">
        <v>3.5</v>
      </c>
      <c r="D583" s="295" t="s">
        <v>115</v>
      </c>
      <c r="E583" s="295">
        <v>28</v>
      </c>
      <c r="F583" s="316">
        <f t="shared" si="38"/>
        <v>1.037037037037037</v>
      </c>
      <c r="G583" s="321">
        <v>8.6</v>
      </c>
      <c r="H583" s="321">
        <v>8.1999999999999993</v>
      </c>
      <c r="I583" s="315">
        <f t="shared" si="42"/>
        <v>289.13199999999995</v>
      </c>
      <c r="J583" s="316">
        <f t="shared" si="39"/>
        <v>1.2423495037167529</v>
      </c>
      <c r="K583" s="316" t="s">
        <v>142</v>
      </c>
    </row>
    <row r="584" spans="1:11">
      <c r="A584" s="295">
        <v>22</v>
      </c>
      <c r="B584" s="295">
        <f t="shared" si="40"/>
        <v>10</v>
      </c>
      <c r="C584" s="295">
        <v>4.0999999999999996</v>
      </c>
      <c r="D584" s="295" t="s">
        <v>111</v>
      </c>
      <c r="E584" s="295">
        <v>27</v>
      </c>
      <c r="F584" s="316">
        <f t="shared" si="38"/>
        <v>0.9642857142857143</v>
      </c>
      <c r="G584" s="321">
        <v>18.5</v>
      </c>
      <c r="H584" s="321">
        <v>13.9</v>
      </c>
      <c r="I584" s="315">
        <f t="shared" si="42"/>
        <v>1787.1925000000001</v>
      </c>
      <c r="J584" s="316">
        <f t="shared" si="39"/>
        <v>66.315120593692015</v>
      </c>
      <c r="K584" s="316" t="s">
        <v>143</v>
      </c>
    </row>
    <row r="585" spans="1:11">
      <c r="A585" s="295">
        <v>22</v>
      </c>
      <c r="B585" s="295">
        <f t="shared" si="40"/>
        <v>10</v>
      </c>
      <c r="C585" s="295">
        <v>4.2</v>
      </c>
      <c r="D585" s="295" t="s">
        <v>112</v>
      </c>
      <c r="E585" s="295">
        <v>30</v>
      </c>
      <c r="F585" s="316">
        <f t="shared" ref="F585:F648" si="43">IF(ISBLANK(E585),"",E585/SUMIFS(E:E,C:C,C585,B:B,"0"))</f>
        <v>1.0344827586206897</v>
      </c>
      <c r="G585" s="321">
        <v>13.2</v>
      </c>
      <c r="H585" s="321">
        <v>9.4</v>
      </c>
      <c r="I585" s="315">
        <f t="shared" si="42"/>
        <v>583.17600000000004</v>
      </c>
      <c r="J585" s="316">
        <f t="shared" ref="J585:J648" si="44">IF(ISBLANK(I585),"",I585/SUMIFS(I:I,C:C,C585,B:B,"0"))</f>
        <v>1.7521316676581402</v>
      </c>
    </row>
    <row r="586" spans="1:11">
      <c r="A586" s="295">
        <v>22</v>
      </c>
      <c r="B586" s="295">
        <f t="shared" ref="B586:B649" si="45">A586-12</f>
        <v>10</v>
      </c>
      <c r="C586" s="295">
        <v>4.3</v>
      </c>
      <c r="D586" s="295" t="s">
        <v>113</v>
      </c>
      <c r="E586" s="295">
        <v>27</v>
      </c>
      <c r="F586" s="316">
        <f t="shared" si="43"/>
        <v>1.0384615384615385</v>
      </c>
      <c r="G586" s="321">
        <v>9.1999999999999993</v>
      </c>
      <c r="H586" s="321">
        <v>7.8</v>
      </c>
      <c r="I586" s="315">
        <f t="shared" si="42"/>
        <v>279.86399999999998</v>
      </c>
      <c r="J586" s="316">
        <f t="shared" si="44"/>
        <v>2.0095932904411762</v>
      </c>
    </row>
    <row r="587" spans="1:11">
      <c r="A587" s="295">
        <v>22</v>
      </c>
      <c r="B587" s="295">
        <f t="shared" si="45"/>
        <v>10</v>
      </c>
      <c r="C587" s="295">
        <v>4.4000000000000004</v>
      </c>
      <c r="D587" s="295" t="s">
        <v>112</v>
      </c>
      <c r="E587" s="295">
        <v>29</v>
      </c>
      <c r="F587" s="316">
        <f t="shared" si="43"/>
        <v>0.93548387096774188</v>
      </c>
      <c r="G587" s="321">
        <v>15.5</v>
      </c>
      <c r="H587" s="321">
        <v>10.4</v>
      </c>
      <c r="I587" s="315">
        <f t="shared" si="42"/>
        <v>838.24000000000012</v>
      </c>
      <c r="J587" s="316">
        <f t="shared" si="44"/>
        <v>4.4584269662921354</v>
      </c>
    </row>
    <row r="588" spans="1:11">
      <c r="A588" s="295">
        <v>22</v>
      </c>
      <c r="B588" s="295">
        <f t="shared" si="45"/>
        <v>10</v>
      </c>
      <c r="C588" s="295">
        <v>4.5</v>
      </c>
      <c r="D588" s="295" t="s">
        <v>112</v>
      </c>
      <c r="E588" s="295">
        <v>28</v>
      </c>
      <c r="F588" s="316">
        <f t="shared" si="43"/>
        <v>1.037037037037037</v>
      </c>
      <c r="G588" s="321">
        <v>13.2</v>
      </c>
      <c r="H588" s="321">
        <v>10.5</v>
      </c>
      <c r="I588" s="315">
        <f t="shared" si="42"/>
        <v>727.65</v>
      </c>
      <c r="J588" s="316">
        <f t="shared" si="44"/>
        <v>3.251079001688872</v>
      </c>
    </row>
    <row r="589" spans="1:11">
      <c r="A589" s="295">
        <v>22</v>
      </c>
      <c r="B589" s="295">
        <f t="shared" si="45"/>
        <v>10</v>
      </c>
      <c r="C589" s="295">
        <v>5.0999999999999996</v>
      </c>
      <c r="D589" s="295" t="s">
        <v>113</v>
      </c>
      <c r="E589" s="295">
        <v>24</v>
      </c>
      <c r="F589" s="316">
        <f t="shared" si="43"/>
        <v>1</v>
      </c>
      <c r="G589" s="321">
        <v>10.5</v>
      </c>
      <c r="H589" s="321">
        <v>9</v>
      </c>
      <c r="I589" s="315">
        <f t="shared" si="42"/>
        <v>425.25</v>
      </c>
      <c r="J589" s="316">
        <f t="shared" si="44"/>
        <v>2.5603125959552777</v>
      </c>
    </row>
    <row r="590" spans="1:11">
      <c r="A590" s="295">
        <v>22</v>
      </c>
      <c r="B590" s="295">
        <f t="shared" si="45"/>
        <v>10</v>
      </c>
      <c r="C590" s="295">
        <v>5.2</v>
      </c>
      <c r="D590" s="295" t="s">
        <v>114</v>
      </c>
      <c r="E590" s="295">
        <v>28</v>
      </c>
      <c r="F590" s="316">
        <f t="shared" si="43"/>
        <v>1.037037037037037</v>
      </c>
      <c r="G590" s="321">
        <v>8.1999999999999993</v>
      </c>
      <c r="H590" s="321">
        <v>7.5</v>
      </c>
      <c r="I590" s="315">
        <f t="shared" si="42"/>
        <v>230.62499999999997</v>
      </c>
      <c r="J590" s="316">
        <f t="shared" si="44"/>
        <v>1.3932688125271859</v>
      </c>
    </row>
    <row r="591" spans="1:11">
      <c r="A591" s="295">
        <v>22</v>
      </c>
      <c r="B591" s="295">
        <f t="shared" si="45"/>
        <v>10</v>
      </c>
      <c r="C591" s="295">
        <v>5.3</v>
      </c>
      <c r="D591" s="295" t="s">
        <v>112</v>
      </c>
      <c r="E591" s="295">
        <v>31</v>
      </c>
      <c r="F591" s="316">
        <f t="shared" si="43"/>
        <v>1.1071428571428572</v>
      </c>
      <c r="G591" s="321">
        <v>10.6</v>
      </c>
      <c r="H591" s="321">
        <v>8.5</v>
      </c>
      <c r="I591" s="315">
        <f t="shared" si="42"/>
        <v>382.92500000000001</v>
      </c>
      <c r="J591" s="316">
        <f t="shared" si="44"/>
        <v>1.6138378934236923</v>
      </c>
    </row>
    <row r="592" spans="1:11">
      <c r="A592" s="295">
        <v>22</v>
      </c>
      <c r="B592" s="295">
        <f t="shared" si="45"/>
        <v>10</v>
      </c>
      <c r="C592" s="295">
        <v>5.4</v>
      </c>
      <c r="D592" s="295" t="s">
        <v>113</v>
      </c>
      <c r="E592" s="295">
        <v>25</v>
      </c>
      <c r="F592" s="316">
        <f t="shared" si="43"/>
        <v>0.96153846153846156</v>
      </c>
      <c r="G592" s="321">
        <v>8.6</v>
      </c>
      <c r="H592" s="321">
        <v>7.6</v>
      </c>
      <c r="I592" s="315">
        <f t="shared" si="42"/>
        <v>248.36799999999999</v>
      </c>
      <c r="J592" s="316">
        <f t="shared" si="44"/>
        <v>1.388694436678781</v>
      </c>
    </row>
    <row r="593" spans="1:11">
      <c r="A593" s="295">
        <v>22</v>
      </c>
      <c r="B593" s="295">
        <f t="shared" si="45"/>
        <v>10</v>
      </c>
      <c r="C593" s="295">
        <v>5.5</v>
      </c>
      <c r="D593" s="295" t="s">
        <v>114</v>
      </c>
      <c r="E593" s="295">
        <v>22</v>
      </c>
      <c r="F593" s="316">
        <f t="shared" si="43"/>
        <v>1</v>
      </c>
      <c r="G593" s="321">
        <v>7</v>
      </c>
      <c r="H593" s="321">
        <v>6.4</v>
      </c>
      <c r="I593" s="315">
        <f t="shared" si="42"/>
        <v>143.36000000000001</v>
      </c>
      <c r="J593" s="316">
        <f t="shared" si="44"/>
        <v>1.4250213713445059</v>
      </c>
    </row>
    <row r="594" spans="1:11">
      <c r="A594" s="295">
        <v>22</v>
      </c>
      <c r="B594" s="295">
        <f t="shared" si="45"/>
        <v>10</v>
      </c>
      <c r="C594" s="295">
        <v>6.1</v>
      </c>
      <c r="D594" s="295" t="s">
        <v>115</v>
      </c>
      <c r="E594" s="295">
        <v>27</v>
      </c>
      <c r="F594" s="316">
        <f t="shared" si="43"/>
        <v>1.08</v>
      </c>
      <c r="G594" s="321">
        <v>12</v>
      </c>
      <c r="H594" s="321">
        <v>7.8</v>
      </c>
      <c r="I594" s="315">
        <f t="shared" si="42"/>
        <v>365.03999999999996</v>
      </c>
      <c r="J594" s="316">
        <f t="shared" si="44"/>
        <v>2.7132451315593871</v>
      </c>
    </row>
    <row r="595" spans="1:11">
      <c r="A595" s="295">
        <v>22</v>
      </c>
      <c r="B595" s="295">
        <f t="shared" si="45"/>
        <v>10</v>
      </c>
      <c r="C595" s="295">
        <v>6.2</v>
      </c>
      <c r="D595" s="295" t="s">
        <v>115</v>
      </c>
      <c r="E595" s="295">
        <v>28</v>
      </c>
      <c r="F595" s="316">
        <f t="shared" si="43"/>
        <v>1.037037037037037</v>
      </c>
      <c r="G595" s="321">
        <v>6.4</v>
      </c>
      <c r="H595" s="321">
        <v>5.9</v>
      </c>
      <c r="I595" s="315">
        <f t="shared" si="42"/>
        <v>111.39200000000001</v>
      </c>
      <c r="J595" s="316">
        <f t="shared" si="44"/>
        <v>0.89361309550072821</v>
      </c>
    </row>
    <row r="596" spans="1:11">
      <c r="A596" s="295">
        <v>22</v>
      </c>
      <c r="B596" s="295">
        <f t="shared" si="45"/>
        <v>10</v>
      </c>
      <c r="C596" s="295">
        <v>6.3</v>
      </c>
      <c r="D596" s="295" t="s">
        <v>114</v>
      </c>
      <c r="E596" s="295">
        <v>25</v>
      </c>
      <c r="F596" s="316">
        <f t="shared" si="43"/>
        <v>1.0416666666666667</v>
      </c>
      <c r="G596" s="321">
        <v>10.199999999999999</v>
      </c>
      <c r="H596" s="321">
        <v>8</v>
      </c>
      <c r="I596" s="315">
        <f t="shared" si="42"/>
        <v>326.39999999999998</v>
      </c>
      <c r="J596" s="316">
        <f t="shared" si="44"/>
        <v>2.1704797465113725</v>
      </c>
    </row>
    <row r="597" spans="1:11">
      <c r="A597" s="295">
        <v>22</v>
      </c>
      <c r="B597" s="295">
        <f t="shared" si="45"/>
        <v>10</v>
      </c>
      <c r="C597" s="295">
        <v>6.4</v>
      </c>
      <c r="D597" s="295" t="s">
        <v>112</v>
      </c>
      <c r="E597" s="295">
        <v>30</v>
      </c>
      <c r="F597" s="316">
        <f t="shared" si="43"/>
        <v>1.0344827586206897</v>
      </c>
      <c r="G597" s="321">
        <v>10.6</v>
      </c>
      <c r="H597" s="321">
        <v>9.6</v>
      </c>
      <c r="I597" s="315">
        <f>G597*(H597^2)*0.5</f>
        <v>488.44799999999998</v>
      </c>
      <c r="J597" s="316">
        <f t="shared" si="44"/>
        <v>8.4099173553718991</v>
      </c>
    </row>
    <row r="598" spans="1:11">
      <c r="A598" s="295">
        <v>22</v>
      </c>
      <c r="B598" s="295">
        <f t="shared" si="45"/>
        <v>10</v>
      </c>
      <c r="C598" s="295">
        <v>6.5</v>
      </c>
      <c r="D598" s="295" t="s">
        <v>113</v>
      </c>
      <c r="E598" s="295">
        <v>25</v>
      </c>
      <c r="F598" s="316">
        <f t="shared" si="43"/>
        <v>1.0416666666666667</v>
      </c>
      <c r="G598" s="321">
        <v>10.3</v>
      </c>
      <c r="H598" s="321">
        <v>9.1</v>
      </c>
      <c r="I598" s="315">
        <f t="shared" ref="I598:I631" si="46">G598*(H598^2)*0.5</f>
        <v>426.47149999999999</v>
      </c>
      <c r="J598" s="316">
        <f t="shared" si="44"/>
        <v>8.4241283950617287</v>
      </c>
      <c r="K598" s="316" t="s">
        <v>141</v>
      </c>
    </row>
    <row r="599" spans="1:11">
      <c r="A599" s="295">
        <v>22</v>
      </c>
      <c r="B599" s="295">
        <f t="shared" si="45"/>
        <v>10</v>
      </c>
      <c r="C599" s="295">
        <v>7.1</v>
      </c>
      <c r="D599" s="295" t="s">
        <v>114</v>
      </c>
      <c r="E599" s="295">
        <v>26</v>
      </c>
      <c r="F599" s="316">
        <f t="shared" si="43"/>
        <v>0.96296296296296291</v>
      </c>
      <c r="G599" s="321">
        <v>8.9</v>
      </c>
      <c r="H599" s="321">
        <v>8.1</v>
      </c>
      <c r="I599" s="315">
        <f t="shared" si="46"/>
        <v>291.96449999999999</v>
      </c>
      <c r="J599" s="316">
        <f t="shared" si="44"/>
        <v>2.1627000000000001</v>
      </c>
    </row>
    <row r="600" spans="1:11">
      <c r="A600" s="295">
        <v>22</v>
      </c>
      <c r="B600" s="295">
        <f t="shared" si="45"/>
        <v>10</v>
      </c>
      <c r="C600" s="295">
        <v>7.2</v>
      </c>
      <c r="D600" s="295" t="s">
        <v>111</v>
      </c>
      <c r="E600" s="295">
        <v>30</v>
      </c>
      <c r="F600" s="316">
        <f t="shared" si="43"/>
        <v>1.0344827586206897</v>
      </c>
      <c r="G600" s="321">
        <v>5.2</v>
      </c>
      <c r="H600" s="321">
        <v>4.9000000000000004</v>
      </c>
      <c r="I600" s="315">
        <f t="shared" si="46"/>
        <v>62.426000000000016</v>
      </c>
      <c r="J600" s="316">
        <f t="shared" si="44"/>
        <v>4.1237944246267686</v>
      </c>
    </row>
    <row r="601" spans="1:11">
      <c r="A601" s="295">
        <v>22</v>
      </c>
      <c r="B601" s="295">
        <f t="shared" si="45"/>
        <v>10</v>
      </c>
      <c r="C601" s="295">
        <v>7.3</v>
      </c>
      <c r="D601" s="295" t="s">
        <v>113</v>
      </c>
      <c r="E601" s="295">
        <v>28</v>
      </c>
      <c r="F601" s="316">
        <f t="shared" si="43"/>
        <v>1.037037037037037</v>
      </c>
      <c r="G601" s="321">
        <v>8.4</v>
      </c>
      <c r="H601" s="321">
        <v>6.1</v>
      </c>
      <c r="I601" s="315">
        <f t="shared" si="46"/>
        <v>156.28199999999998</v>
      </c>
      <c r="J601" s="316">
        <f t="shared" si="44"/>
        <v>1.0937683715461493</v>
      </c>
    </row>
    <row r="602" spans="1:11">
      <c r="A602" s="295">
        <v>22</v>
      </c>
      <c r="B602" s="295">
        <f t="shared" si="45"/>
        <v>10</v>
      </c>
      <c r="C602" s="295">
        <v>7.4</v>
      </c>
      <c r="D602" s="295" t="s">
        <v>115</v>
      </c>
      <c r="E602" s="295">
        <v>28</v>
      </c>
      <c r="F602" s="316">
        <f t="shared" si="43"/>
        <v>1.037037037037037</v>
      </c>
      <c r="G602" s="321">
        <v>7.6</v>
      </c>
      <c r="H602" s="321">
        <v>6.1</v>
      </c>
      <c r="I602" s="315">
        <f t="shared" si="46"/>
        <v>141.39799999999997</v>
      </c>
      <c r="J602" s="316">
        <f t="shared" si="44"/>
        <v>1.194704023522652</v>
      </c>
    </row>
    <row r="603" spans="1:11">
      <c r="A603" s="295">
        <v>22</v>
      </c>
      <c r="B603" s="295">
        <f t="shared" si="45"/>
        <v>10</v>
      </c>
      <c r="C603" s="295">
        <v>7.5</v>
      </c>
      <c r="D603" s="295" t="s">
        <v>111</v>
      </c>
      <c r="E603" s="295">
        <v>29</v>
      </c>
      <c r="F603" s="316">
        <f t="shared" si="43"/>
        <v>1</v>
      </c>
      <c r="G603" s="321">
        <v>10</v>
      </c>
      <c r="H603" s="321">
        <v>9</v>
      </c>
      <c r="I603" s="315">
        <f t="shared" si="46"/>
        <v>405</v>
      </c>
      <c r="J603" s="316">
        <f t="shared" si="44"/>
        <v>6.5478885080514777</v>
      </c>
    </row>
    <row r="604" spans="1:11">
      <c r="A604" s="295">
        <v>23</v>
      </c>
      <c r="B604" s="295">
        <f t="shared" si="45"/>
        <v>11</v>
      </c>
      <c r="C604" s="295">
        <v>1.1000000000000001</v>
      </c>
      <c r="D604" s="295" t="s">
        <v>112</v>
      </c>
      <c r="E604" s="295">
        <v>29</v>
      </c>
      <c r="F604" s="316">
        <f t="shared" si="43"/>
        <v>1.0357142857142858</v>
      </c>
      <c r="G604" s="321">
        <v>12.7</v>
      </c>
      <c r="H604" s="321">
        <v>11.1</v>
      </c>
      <c r="I604" s="315">
        <f t="shared" si="46"/>
        <v>782.38349999999991</v>
      </c>
      <c r="J604" s="316">
        <f t="shared" si="44"/>
        <v>3.4731847965054334</v>
      </c>
    </row>
    <row r="605" spans="1:11">
      <c r="A605" s="295">
        <v>23</v>
      </c>
      <c r="B605" s="295">
        <f t="shared" si="45"/>
        <v>11</v>
      </c>
      <c r="C605" s="295">
        <v>1.2</v>
      </c>
      <c r="D605" s="295" t="s">
        <v>113</v>
      </c>
      <c r="E605" s="295">
        <v>28</v>
      </c>
      <c r="F605" s="316">
        <f t="shared" si="43"/>
        <v>1.037037037037037</v>
      </c>
      <c r="G605" s="321">
        <v>7.8</v>
      </c>
      <c r="H605" s="321">
        <v>7.3</v>
      </c>
      <c r="I605" s="315">
        <f t="shared" si="46"/>
        <v>207.83099999999999</v>
      </c>
      <c r="J605" s="316">
        <f t="shared" si="44"/>
        <v>0.99344889974498263</v>
      </c>
    </row>
    <row r="606" spans="1:11">
      <c r="A606" s="295">
        <v>23</v>
      </c>
      <c r="B606" s="295">
        <f t="shared" si="45"/>
        <v>11</v>
      </c>
      <c r="C606" s="295">
        <v>1.3</v>
      </c>
      <c r="D606" s="295" t="s">
        <v>115</v>
      </c>
      <c r="E606" s="295">
        <v>25</v>
      </c>
      <c r="F606" s="316">
        <f t="shared" si="43"/>
        <v>1.0416666666666667</v>
      </c>
      <c r="G606" s="321">
        <v>10</v>
      </c>
      <c r="H606" s="321">
        <v>7.7</v>
      </c>
      <c r="I606" s="315">
        <f t="shared" si="46"/>
        <v>296.45000000000005</v>
      </c>
      <c r="J606" s="316">
        <f t="shared" si="44"/>
        <v>2.9900952150407489</v>
      </c>
    </row>
    <row r="607" spans="1:11">
      <c r="A607" s="295">
        <v>23</v>
      </c>
      <c r="B607" s="295">
        <f t="shared" si="45"/>
        <v>11</v>
      </c>
      <c r="C607" s="295">
        <v>1.4</v>
      </c>
      <c r="D607" s="295" t="s">
        <v>115</v>
      </c>
      <c r="E607" s="295">
        <v>28</v>
      </c>
      <c r="F607" s="316">
        <f t="shared" si="43"/>
        <v>1</v>
      </c>
      <c r="G607" s="321">
        <v>10.1</v>
      </c>
      <c r="H607" s="321">
        <v>9.1</v>
      </c>
      <c r="I607" s="315">
        <f t="shared" si="46"/>
        <v>418.19049999999993</v>
      </c>
      <c r="J607" s="316">
        <f t="shared" si="44"/>
        <v>2.304384601820626</v>
      </c>
      <c r="K607" s="316" t="s">
        <v>134</v>
      </c>
    </row>
    <row r="608" spans="1:11">
      <c r="A608" s="295">
        <v>23</v>
      </c>
      <c r="B608" s="295">
        <f t="shared" si="45"/>
        <v>11</v>
      </c>
      <c r="C608" s="295">
        <v>1.5</v>
      </c>
      <c r="D608" s="295" t="s">
        <v>112</v>
      </c>
      <c r="E608" s="295">
        <v>27</v>
      </c>
      <c r="F608" s="316">
        <f t="shared" si="43"/>
        <v>0.9642857142857143</v>
      </c>
      <c r="G608" s="321">
        <v>10.4</v>
      </c>
      <c r="H608" s="321">
        <v>8.4</v>
      </c>
      <c r="I608" s="315">
        <f t="shared" si="46"/>
        <v>366.91200000000003</v>
      </c>
      <c r="J608" s="316">
        <f t="shared" si="44"/>
        <v>2.6346507352941178</v>
      </c>
    </row>
    <row r="609" spans="1:11">
      <c r="A609" s="295">
        <v>23</v>
      </c>
      <c r="B609" s="295">
        <f t="shared" si="45"/>
        <v>11</v>
      </c>
      <c r="C609" s="295">
        <v>2.1</v>
      </c>
      <c r="D609" s="295" t="s">
        <v>114</v>
      </c>
      <c r="E609" s="295">
        <v>28</v>
      </c>
      <c r="F609" s="316">
        <f t="shared" si="43"/>
        <v>1.0769230769230769</v>
      </c>
      <c r="G609" s="321">
        <v>8.8000000000000007</v>
      </c>
      <c r="H609" s="321">
        <v>8.5</v>
      </c>
      <c r="I609" s="315">
        <f t="shared" si="46"/>
        <v>317.90000000000003</v>
      </c>
      <c r="J609" s="316">
        <f t="shared" si="44"/>
        <v>1.6904224460875412</v>
      </c>
    </row>
    <row r="610" spans="1:11">
      <c r="A610" s="295">
        <v>23</v>
      </c>
      <c r="B610" s="295">
        <f t="shared" si="45"/>
        <v>11</v>
      </c>
      <c r="C610" s="295">
        <v>2.2000000000000002</v>
      </c>
      <c r="D610" s="295" t="s">
        <v>115</v>
      </c>
      <c r="E610" s="295">
        <v>27</v>
      </c>
      <c r="F610" s="316">
        <f t="shared" si="43"/>
        <v>0.9642857142857143</v>
      </c>
      <c r="G610" s="321">
        <v>5.8</v>
      </c>
      <c r="H610" s="321">
        <v>5.0999999999999996</v>
      </c>
      <c r="I610" s="315">
        <f t="shared" si="46"/>
        <v>75.428999999999988</v>
      </c>
      <c r="J610" s="316">
        <f t="shared" si="44"/>
        <v>0.85983471074380158</v>
      </c>
    </row>
    <row r="611" spans="1:11">
      <c r="A611" s="295">
        <v>23</v>
      </c>
      <c r="B611" s="295">
        <f t="shared" si="45"/>
        <v>11</v>
      </c>
      <c r="C611" s="295">
        <v>2.2999999999999998</v>
      </c>
      <c r="D611" s="295" t="s">
        <v>112</v>
      </c>
      <c r="E611" s="295">
        <v>25</v>
      </c>
      <c r="F611" s="316">
        <f t="shared" si="43"/>
        <v>1</v>
      </c>
      <c r="G611" s="321">
        <v>12.9</v>
      </c>
      <c r="H611" s="321">
        <v>10.3</v>
      </c>
      <c r="I611" s="315">
        <f t="shared" si="46"/>
        <v>684.28050000000019</v>
      </c>
      <c r="J611" s="316">
        <f t="shared" si="44"/>
        <v>4.1198635704093496</v>
      </c>
    </row>
    <row r="612" spans="1:11">
      <c r="A612" s="295">
        <v>23</v>
      </c>
      <c r="B612" s="295">
        <f t="shared" si="45"/>
        <v>11</v>
      </c>
      <c r="C612" s="295">
        <v>2.4</v>
      </c>
      <c r="D612" s="295" t="s">
        <v>114</v>
      </c>
      <c r="E612" s="295">
        <v>25</v>
      </c>
      <c r="F612" s="316">
        <f t="shared" si="43"/>
        <v>1</v>
      </c>
      <c r="G612" s="321">
        <v>8.6999999999999993</v>
      </c>
      <c r="H612" s="321">
        <v>6.9</v>
      </c>
      <c r="I612" s="315">
        <f t="shared" si="46"/>
        <v>207.10350000000003</v>
      </c>
      <c r="J612" s="316">
        <f t="shared" si="44"/>
        <v>1.9265441860465118</v>
      </c>
    </row>
    <row r="613" spans="1:11">
      <c r="A613" s="295">
        <v>23</v>
      </c>
      <c r="B613" s="295">
        <f t="shared" si="45"/>
        <v>11</v>
      </c>
      <c r="C613" s="295">
        <v>2.5</v>
      </c>
      <c r="D613" s="295" t="s">
        <v>113</v>
      </c>
      <c r="E613" s="295">
        <v>28</v>
      </c>
      <c r="F613" s="316">
        <f t="shared" si="43"/>
        <v>1.037037037037037</v>
      </c>
      <c r="G613" s="321">
        <v>8.9</v>
      </c>
      <c r="H613" s="321">
        <v>8.1999999999999993</v>
      </c>
      <c r="I613" s="315">
        <f t="shared" si="46"/>
        <v>299.21799999999996</v>
      </c>
      <c r="J613" s="316">
        <f t="shared" si="44"/>
        <v>1.7541006671278327</v>
      </c>
    </row>
    <row r="614" spans="1:11">
      <c r="A614" s="295">
        <v>23</v>
      </c>
      <c r="B614" s="295">
        <f t="shared" si="45"/>
        <v>11</v>
      </c>
      <c r="C614" s="295">
        <v>3.1</v>
      </c>
      <c r="D614" s="295" t="s">
        <v>115</v>
      </c>
      <c r="E614" s="295">
        <v>24</v>
      </c>
      <c r="F614" s="316">
        <f t="shared" si="43"/>
        <v>1</v>
      </c>
      <c r="G614" s="321">
        <v>6.9</v>
      </c>
      <c r="H614" s="321">
        <v>5.0999999999999996</v>
      </c>
      <c r="I614" s="315">
        <f t="shared" si="46"/>
        <v>89.734499999999997</v>
      </c>
      <c r="J614" s="316">
        <f t="shared" si="44"/>
        <v>0.49392871886610706</v>
      </c>
    </row>
    <row r="615" spans="1:11">
      <c r="A615" s="295">
        <v>23</v>
      </c>
      <c r="B615" s="295">
        <f t="shared" si="45"/>
        <v>11</v>
      </c>
      <c r="C615" s="295">
        <v>3.2</v>
      </c>
      <c r="D615" s="295" t="s">
        <v>113</v>
      </c>
      <c r="E615" s="295">
        <v>32</v>
      </c>
      <c r="F615" s="316">
        <f t="shared" si="43"/>
        <v>1.0666666666666667</v>
      </c>
      <c r="G615" s="321">
        <v>10.9</v>
      </c>
      <c r="H615" s="321">
        <v>8.1</v>
      </c>
      <c r="I615" s="315">
        <f t="shared" si="46"/>
        <v>357.5745</v>
      </c>
      <c r="J615" s="316">
        <f t="shared" si="44"/>
        <v>1.8633765164464087</v>
      </c>
    </row>
    <row r="616" spans="1:11">
      <c r="A616" s="295">
        <v>23</v>
      </c>
      <c r="B616" s="295">
        <f t="shared" si="45"/>
        <v>11</v>
      </c>
      <c r="C616" s="295">
        <v>3.3</v>
      </c>
      <c r="D616" s="295" t="s">
        <v>114</v>
      </c>
      <c r="E616" s="295">
        <v>26</v>
      </c>
      <c r="F616" s="316">
        <f t="shared" si="43"/>
        <v>1.04</v>
      </c>
      <c r="G616" s="321">
        <v>9.4</v>
      </c>
      <c r="H616" s="321">
        <v>9</v>
      </c>
      <c r="I616" s="315">
        <f t="shared" si="46"/>
        <v>380.7</v>
      </c>
      <c r="J616" s="316">
        <f t="shared" si="44"/>
        <v>1.8498542274052476</v>
      </c>
    </row>
    <row r="617" spans="1:11">
      <c r="A617" s="295">
        <v>23</v>
      </c>
      <c r="B617" s="295">
        <f t="shared" si="45"/>
        <v>11</v>
      </c>
      <c r="C617" s="295">
        <v>3.4</v>
      </c>
      <c r="D617" s="295" t="s">
        <v>114</v>
      </c>
      <c r="E617" s="295">
        <v>26</v>
      </c>
      <c r="F617" s="316">
        <f t="shared" si="43"/>
        <v>1.04</v>
      </c>
      <c r="G617" s="321">
        <v>9.5</v>
      </c>
      <c r="H617" s="321">
        <v>7.6</v>
      </c>
      <c r="I617" s="315">
        <f t="shared" si="46"/>
        <v>274.36</v>
      </c>
      <c r="J617" s="316">
        <f t="shared" si="44"/>
        <v>1.1700984322489294</v>
      </c>
    </row>
    <row r="618" spans="1:11">
      <c r="A618" s="295">
        <v>23</v>
      </c>
      <c r="B618" s="295">
        <f t="shared" si="45"/>
        <v>11</v>
      </c>
      <c r="C618" s="295">
        <v>3.5</v>
      </c>
      <c r="D618" s="295" t="s">
        <v>115</v>
      </c>
      <c r="E618" s="295">
        <v>26</v>
      </c>
      <c r="F618" s="316">
        <f t="shared" si="43"/>
        <v>0.96296296296296291</v>
      </c>
      <c r="G618" s="321">
        <v>8.5</v>
      </c>
      <c r="H618" s="321">
        <v>8.3000000000000007</v>
      </c>
      <c r="I618" s="315">
        <f t="shared" si="46"/>
        <v>292.78250000000008</v>
      </c>
      <c r="J618" s="316">
        <f t="shared" si="44"/>
        <v>1.2580350620891163</v>
      </c>
      <c r="K618" s="316" t="s">
        <v>144</v>
      </c>
    </row>
    <row r="619" spans="1:11">
      <c r="A619" s="295">
        <v>23</v>
      </c>
      <c r="B619" s="295">
        <f t="shared" si="45"/>
        <v>11</v>
      </c>
      <c r="C619" s="295">
        <v>4.0999999999999996</v>
      </c>
      <c r="D619" s="295" t="s">
        <v>111</v>
      </c>
      <c r="F619" s="316" t="str">
        <f t="shared" si="43"/>
        <v/>
      </c>
      <c r="G619" s="321"/>
      <c r="H619" s="321"/>
      <c r="J619" s="316" t="str">
        <f t="shared" si="44"/>
        <v/>
      </c>
    </row>
    <row r="620" spans="1:11">
      <c r="A620" s="295">
        <v>23</v>
      </c>
      <c r="B620" s="295">
        <f t="shared" si="45"/>
        <v>11</v>
      </c>
      <c r="C620" s="295">
        <v>4.2</v>
      </c>
      <c r="D620" s="295" t="s">
        <v>112</v>
      </c>
      <c r="E620" s="295">
        <v>31</v>
      </c>
      <c r="F620" s="316">
        <f t="shared" si="43"/>
        <v>1.0689655172413792</v>
      </c>
      <c r="G620" s="321">
        <v>13</v>
      </c>
      <c r="H620" s="321">
        <v>8.1999999999999993</v>
      </c>
      <c r="I620" s="315">
        <f t="shared" si="46"/>
        <v>437.05999999999995</v>
      </c>
      <c r="J620" s="316">
        <f t="shared" si="44"/>
        <v>1.3131313131313131</v>
      </c>
    </row>
    <row r="621" spans="1:11">
      <c r="A621" s="295">
        <v>23</v>
      </c>
      <c r="B621" s="295">
        <f t="shared" si="45"/>
        <v>11</v>
      </c>
      <c r="C621" s="295">
        <v>4.3</v>
      </c>
      <c r="D621" s="295" t="s">
        <v>113</v>
      </c>
      <c r="E621" s="295">
        <v>28</v>
      </c>
      <c r="F621" s="316">
        <f t="shared" si="43"/>
        <v>1.0769230769230769</v>
      </c>
      <c r="G621" s="321">
        <v>9.9</v>
      </c>
      <c r="H621" s="321">
        <v>8</v>
      </c>
      <c r="I621" s="315">
        <f t="shared" si="46"/>
        <v>316.8</v>
      </c>
      <c r="J621" s="316">
        <f t="shared" si="44"/>
        <v>2.2748161764705883</v>
      </c>
    </row>
    <row r="622" spans="1:11">
      <c r="A622" s="295">
        <v>23</v>
      </c>
      <c r="B622" s="295">
        <f t="shared" si="45"/>
        <v>11</v>
      </c>
      <c r="C622" s="295">
        <v>4.4000000000000004</v>
      </c>
      <c r="D622" s="295" t="s">
        <v>112</v>
      </c>
      <c r="E622" s="295">
        <v>30</v>
      </c>
      <c r="F622" s="316">
        <f t="shared" si="43"/>
        <v>0.967741935483871</v>
      </c>
      <c r="G622" s="321">
        <v>16.899999999999999</v>
      </c>
      <c r="H622" s="321">
        <v>10.8</v>
      </c>
      <c r="I622" s="315">
        <f t="shared" si="46"/>
        <v>985.60800000000006</v>
      </c>
      <c r="J622" s="316">
        <f t="shared" si="44"/>
        <v>5.242247191011236</v>
      </c>
    </row>
    <row r="623" spans="1:11">
      <c r="A623" s="295">
        <v>23</v>
      </c>
      <c r="B623" s="295">
        <f t="shared" si="45"/>
        <v>11</v>
      </c>
      <c r="C623" s="295">
        <v>4.5</v>
      </c>
      <c r="D623" s="295" t="s">
        <v>112</v>
      </c>
      <c r="E623" s="295">
        <v>29</v>
      </c>
      <c r="F623" s="316">
        <f t="shared" si="43"/>
        <v>1.0740740740740742</v>
      </c>
      <c r="G623" s="321">
        <v>12.3</v>
      </c>
      <c r="H623" s="321">
        <v>10.8</v>
      </c>
      <c r="I623" s="315">
        <f t="shared" si="46"/>
        <v>717.33600000000013</v>
      </c>
      <c r="J623" s="316">
        <f t="shared" si="44"/>
        <v>3.2049969171380321</v>
      </c>
    </row>
    <row r="624" spans="1:11">
      <c r="A624" s="295">
        <v>23</v>
      </c>
      <c r="B624" s="295">
        <f t="shared" si="45"/>
        <v>11</v>
      </c>
      <c r="C624" s="295">
        <v>5.0999999999999996</v>
      </c>
      <c r="D624" s="295" t="s">
        <v>113</v>
      </c>
      <c r="E624" s="295">
        <v>25</v>
      </c>
      <c r="F624" s="316">
        <f t="shared" si="43"/>
        <v>1.0416666666666667</v>
      </c>
      <c r="G624" s="321">
        <v>8.6</v>
      </c>
      <c r="H624" s="321">
        <v>8.1999999999999993</v>
      </c>
      <c r="I624" s="315">
        <f t="shared" si="46"/>
        <v>289.13199999999995</v>
      </c>
      <c r="J624" s="316">
        <f t="shared" si="44"/>
        <v>1.7407837777630599</v>
      </c>
    </row>
    <row r="625" spans="1:11">
      <c r="A625" s="295">
        <v>23</v>
      </c>
      <c r="B625" s="295">
        <f t="shared" si="45"/>
        <v>11</v>
      </c>
      <c r="C625" s="295">
        <v>5.2</v>
      </c>
      <c r="D625" s="295" t="s">
        <v>114</v>
      </c>
      <c r="E625" s="295">
        <v>28</v>
      </c>
      <c r="F625" s="316">
        <f t="shared" si="43"/>
        <v>1.037037037037037</v>
      </c>
      <c r="G625" s="321">
        <v>8.8000000000000007</v>
      </c>
      <c r="H625" s="321">
        <v>8.1</v>
      </c>
      <c r="I625" s="315">
        <f t="shared" si="46"/>
        <v>288.68400000000003</v>
      </c>
      <c r="J625" s="316">
        <f t="shared" si="44"/>
        <v>1.7440191387559814</v>
      </c>
    </row>
    <row r="626" spans="1:11">
      <c r="A626" s="295">
        <v>23</v>
      </c>
      <c r="B626" s="295">
        <f t="shared" si="45"/>
        <v>11</v>
      </c>
      <c r="C626" s="295">
        <v>5.3</v>
      </c>
      <c r="D626" s="295" t="s">
        <v>112</v>
      </c>
      <c r="E626" s="295">
        <v>31</v>
      </c>
      <c r="F626" s="316">
        <f t="shared" si="43"/>
        <v>1.1071428571428572</v>
      </c>
      <c r="G626" s="321">
        <v>11.7</v>
      </c>
      <c r="H626" s="321">
        <v>10.8</v>
      </c>
      <c r="I626" s="315">
        <f t="shared" si="46"/>
        <v>682.34400000000005</v>
      </c>
      <c r="J626" s="316">
        <f t="shared" si="44"/>
        <v>2.8757396449704147</v>
      </c>
    </row>
    <row r="627" spans="1:11">
      <c r="A627" s="295">
        <v>23</v>
      </c>
      <c r="B627" s="295">
        <f t="shared" si="45"/>
        <v>11</v>
      </c>
      <c r="C627" s="295">
        <v>5.4</v>
      </c>
      <c r="D627" s="295" t="s">
        <v>113</v>
      </c>
      <c r="E627" s="295">
        <v>26</v>
      </c>
      <c r="F627" s="316">
        <f t="shared" si="43"/>
        <v>1</v>
      </c>
      <c r="G627" s="321">
        <v>9.1</v>
      </c>
      <c r="H627" s="321">
        <v>6.8</v>
      </c>
      <c r="I627" s="315">
        <f t="shared" si="46"/>
        <v>210.39199999999997</v>
      </c>
      <c r="J627" s="316">
        <f t="shared" si="44"/>
        <v>1.1763600782778862</v>
      </c>
    </row>
    <row r="628" spans="1:11">
      <c r="A628" s="295">
        <v>23</v>
      </c>
      <c r="B628" s="295">
        <f t="shared" si="45"/>
        <v>11</v>
      </c>
      <c r="C628" s="295">
        <v>5.5</v>
      </c>
      <c r="D628" s="295" t="s">
        <v>114</v>
      </c>
      <c r="E628" s="295">
        <v>23</v>
      </c>
      <c r="F628" s="316">
        <f t="shared" si="43"/>
        <v>1.0454545454545454</v>
      </c>
      <c r="G628" s="321">
        <v>6.8</v>
      </c>
      <c r="H628" s="321">
        <v>6.3</v>
      </c>
      <c r="I628" s="315">
        <f t="shared" si="46"/>
        <v>134.946</v>
      </c>
      <c r="J628" s="316">
        <f t="shared" si="44"/>
        <v>1.3413848631239933</v>
      </c>
    </row>
    <row r="629" spans="1:11">
      <c r="A629" s="295">
        <v>23</v>
      </c>
      <c r="B629" s="295">
        <f t="shared" si="45"/>
        <v>11</v>
      </c>
      <c r="C629" s="295">
        <v>6.1</v>
      </c>
      <c r="D629" s="295" t="s">
        <v>115</v>
      </c>
      <c r="E629" s="295">
        <v>27</v>
      </c>
      <c r="F629" s="316">
        <f t="shared" si="43"/>
        <v>1.08</v>
      </c>
      <c r="G629" s="321">
        <v>13.6</v>
      </c>
      <c r="H629" s="321">
        <v>8.9</v>
      </c>
      <c r="I629" s="315">
        <f t="shared" si="46"/>
        <v>538.62800000000004</v>
      </c>
      <c r="J629" s="316">
        <f t="shared" si="44"/>
        <v>4.0034785193994349</v>
      </c>
    </row>
    <row r="630" spans="1:11">
      <c r="A630" s="295">
        <v>23</v>
      </c>
      <c r="B630" s="295">
        <f t="shared" si="45"/>
        <v>11</v>
      </c>
      <c r="C630" s="295">
        <v>6.2</v>
      </c>
      <c r="D630" s="295" t="s">
        <v>115</v>
      </c>
      <c r="E630" s="295">
        <v>28</v>
      </c>
      <c r="F630" s="316">
        <f t="shared" si="43"/>
        <v>1.037037037037037</v>
      </c>
      <c r="G630" s="321">
        <v>7.5</v>
      </c>
      <c r="H630" s="321">
        <v>6.5</v>
      </c>
      <c r="I630" s="315">
        <f t="shared" si="46"/>
        <v>158.4375</v>
      </c>
      <c r="J630" s="316">
        <f t="shared" si="44"/>
        <v>1.2710232765225207</v>
      </c>
    </row>
    <row r="631" spans="1:11">
      <c r="A631" s="295">
        <v>23</v>
      </c>
      <c r="B631" s="295">
        <f t="shared" si="45"/>
        <v>11</v>
      </c>
      <c r="C631" s="295">
        <v>6.3</v>
      </c>
      <c r="D631" s="295" t="s">
        <v>114</v>
      </c>
      <c r="E631" s="295">
        <v>26</v>
      </c>
      <c r="F631" s="316">
        <f t="shared" si="43"/>
        <v>1.0833333333333333</v>
      </c>
      <c r="G631" s="321">
        <v>8.9</v>
      </c>
      <c r="H631" s="321">
        <v>8.6999999999999993</v>
      </c>
      <c r="I631" s="315">
        <f t="shared" si="46"/>
        <v>336.82049999999992</v>
      </c>
      <c r="J631" s="316">
        <f t="shared" si="44"/>
        <v>2.2397735093744902</v>
      </c>
    </row>
    <row r="632" spans="1:11">
      <c r="A632" s="295">
        <v>23</v>
      </c>
      <c r="B632" s="295">
        <f t="shared" si="45"/>
        <v>11</v>
      </c>
      <c r="C632" s="295">
        <v>6.4</v>
      </c>
      <c r="D632" s="295" t="s">
        <v>112</v>
      </c>
      <c r="E632" s="295">
        <v>31</v>
      </c>
      <c r="F632" s="316">
        <f t="shared" si="43"/>
        <v>1.0689655172413792</v>
      </c>
      <c r="G632" s="321">
        <v>10.6</v>
      </c>
      <c r="H632" s="321">
        <v>7.4</v>
      </c>
      <c r="I632" s="315">
        <f>G632*(H632^2)*0.5</f>
        <v>290.22800000000001</v>
      </c>
      <c r="J632" s="316">
        <f t="shared" si="44"/>
        <v>4.9970385674931119</v>
      </c>
    </row>
    <row r="633" spans="1:11">
      <c r="A633" s="295">
        <v>23</v>
      </c>
      <c r="B633" s="295">
        <f t="shared" si="45"/>
        <v>11</v>
      </c>
      <c r="C633" s="295">
        <v>6.5</v>
      </c>
      <c r="D633" s="295" t="s">
        <v>113</v>
      </c>
      <c r="E633" s="295">
        <v>27</v>
      </c>
      <c r="F633" s="316">
        <f t="shared" si="43"/>
        <v>1.125</v>
      </c>
      <c r="G633" s="321">
        <v>9.1999999999999993</v>
      </c>
      <c r="H633" s="321">
        <v>8</v>
      </c>
      <c r="I633" s="315">
        <f t="shared" ref="I633:I652" si="47">G633*(H633^2)*0.5</f>
        <v>294.39999999999998</v>
      </c>
      <c r="J633" s="316">
        <f t="shared" si="44"/>
        <v>5.8153086419753084</v>
      </c>
      <c r="K633" s="316" t="s">
        <v>145</v>
      </c>
    </row>
    <row r="634" spans="1:11">
      <c r="A634" s="295">
        <v>23</v>
      </c>
      <c r="B634" s="295">
        <f t="shared" si="45"/>
        <v>11</v>
      </c>
      <c r="C634" s="295">
        <v>7.1</v>
      </c>
      <c r="D634" s="295" t="s">
        <v>114</v>
      </c>
      <c r="E634" s="295">
        <v>27</v>
      </c>
      <c r="F634" s="316">
        <f t="shared" si="43"/>
        <v>1</v>
      </c>
      <c r="G634" s="321">
        <v>9.3000000000000007</v>
      </c>
      <c r="H634" s="321">
        <v>7.3</v>
      </c>
      <c r="I634" s="315">
        <f t="shared" si="47"/>
        <v>247.79850000000002</v>
      </c>
      <c r="J634" s="316">
        <f t="shared" si="44"/>
        <v>1.8355444444444446</v>
      </c>
    </row>
    <row r="635" spans="1:11">
      <c r="A635" s="295">
        <v>23</v>
      </c>
      <c r="B635" s="295">
        <f t="shared" si="45"/>
        <v>11</v>
      </c>
      <c r="C635" s="295">
        <v>7.2</v>
      </c>
      <c r="D635" s="295" t="s">
        <v>111</v>
      </c>
      <c r="E635" s="295">
        <v>31</v>
      </c>
      <c r="F635" s="316">
        <f t="shared" si="43"/>
        <v>1.0689655172413792</v>
      </c>
      <c r="G635" s="321">
        <v>6.6</v>
      </c>
      <c r="H635" s="321">
        <v>5.5</v>
      </c>
      <c r="I635" s="315">
        <f t="shared" si="47"/>
        <v>99.824999999999989</v>
      </c>
      <c r="J635" s="316">
        <f t="shared" si="44"/>
        <v>6.5943321442726903</v>
      </c>
    </row>
    <row r="636" spans="1:11">
      <c r="A636" s="295">
        <v>23</v>
      </c>
      <c r="B636" s="295">
        <f t="shared" si="45"/>
        <v>11</v>
      </c>
      <c r="C636" s="295">
        <v>7.3</v>
      </c>
      <c r="D636" s="295" t="s">
        <v>113</v>
      </c>
      <c r="E636" s="295">
        <v>28</v>
      </c>
      <c r="F636" s="316">
        <f t="shared" si="43"/>
        <v>1.037037037037037</v>
      </c>
      <c r="G636" s="321">
        <v>7.8</v>
      </c>
      <c r="H636" s="321">
        <v>6.8</v>
      </c>
      <c r="I636" s="315">
        <f t="shared" si="47"/>
        <v>180.33599999999998</v>
      </c>
      <c r="J636" s="316">
        <f t="shared" si="44"/>
        <v>1.2621147224321827</v>
      </c>
    </row>
    <row r="637" spans="1:11">
      <c r="A637" s="295">
        <v>23</v>
      </c>
      <c r="B637" s="295">
        <f t="shared" si="45"/>
        <v>11</v>
      </c>
      <c r="C637" s="295">
        <v>7.4</v>
      </c>
      <c r="D637" s="295" t="s">
        <v>115</v>
      </c>
      <c r="E637" s="295">
        <v>29</v>
      </c>
      <c r="F637" s="316">
        <f t="shared" si="43"/>
        <v>1.0740740740740742</v>
      </c>
      <c r="G637" s="321">
        <v>8.9</v>
      </c>
      <c r="H637" s="321">
        <v>6</v>
      </c>
      <c r="I637" s="315">
        <f t="shared" si="47"/>
        <v>160.20000000000002</v>
      </c>
      <c r="J637" s="316">
        <f t="shared" si="44"/>
        <v>1.3535664193859103</v>
      </c>
      <c r="K637" s="316" t="s">
        <v>146</v>
      </c>
    </row>
    <row r="638" spans="1:11">
      <c r="A638" s="295">
        <v>23</v>
      </c>
      <c r="B638" s="295">
        <f t="shared" si="45"/>
        <v>11</v>
      </c>
      <c r="C638" s="295">
        <v>7.5</v>
      </c>
      <c r="D638" s="295" t="s">
        <v>111</v>
      </c>
      <c r="E638" s="295">
        <v>29</v>
      </c>
      <c r="F638" s="316">
        <f t="shared" si="43"/>
        <v>1</v>
      </c>
      <c r="G638" s="321">
        <v>11.1</v>
      </c>
      <c r="H638" s="321">
        <v>9.1999999999999993</v>
      </c>
      <c r="I638" s="315">
        <f t="shared" si="47"/>
        <v>469.7519999999999</v>
      </c>
      <c r="J638" s="316">
        <f t="shared" si="44"/>
        <v>7.5947746232943132</v>
      </c>
    </row>
    <row r="639" spans="1:11">
      <c r="A639" s="295">
        <v>24</v>
      </c>
      <c r="B639" s="295">
        <f t="shared" si="45"/>
        <v>12</v>
      </c>
      <c r="C639" s="295">
        <v>1.1000000000000001</v>
      </c>
      <c r="D639" s="295" t="s">
        <v>112</v>
      </c>
      <c r="E639" s="295">
        <v>29</v>
      </c>
      <c r="F639" s="316">
        <f t="shared" si="43"/>
        <v>1.0357142857142858</v>
      </c>
      <c r="G639" s="321">
        <v>12.1</v>
      </c>
      <c r="H639" s="321">
        <v>11.8</v>
      </c>
      <c r="I639" s="315">
        <f t="shared" si="47"/>
        <v>842.40200000000004</v>
      </c>
      <c r="J639" s="316">
        <f t="shared" si="44"/>
        <v>3.7396210668371337</v>
      </c>
    </row>
    <row r="640" spans="1:11">
      <c r="A640" s="295">
        <v>24</v>
      </c>
      <c r="B640" s="295">
        <f t="shared" si="45"/>
        <v>12</v>
      </c>
      <c r="C640" s="295">
        <v>1.2</v>
      </c>
      <c r="D640" s="295" t="s">
        <v>113</v>
      </c>
      <c r="E640" s="295">
        <v>28</v>
      </c>
      <c r="F640" s="316">
        <f t="shared" si="43"/>
        <v>1.037037037037037</v>
      </c>
      <c r="G640" s="321">
        <v>10.9</v>
      </c>
      <c r="H640" s="321">
        <v>7.9</v>
      </c>
      <c r="I640" s="315">
        <f t="shared" si="47"/>
        <v>340.13450000000006</v>
      </c>
      <c r="J640" s="316">
        <f t="shared" si="44"/>
        <v>1.6258702733967014</v>
      </c>
    </row>
    <row r="641" spans="1:11">
      <c r="A641" s="295">
        <v>24</v>
      </c>
      <c r="B641" s="295">
        <f t="shared" si="45"/>
        <v>12</v>
      </c>
      <c r="C641" s="295">
        <v>1.3</v>
      </c>
      <c r="D641" s="295" t="s">
        <v>115</v>
      </c>
      <c r="E641" s="295">
        <v>24</v>
      </c>
      <c r="F641" s="316">
        <f t="shared" si="43"/>
        <v>1</v>
      </c>
      <c r="G641" s="321">
        <v>8.6999999999999993</v>
      </c>
      <c r="H641" s="321">
        <v>7.3</v>
      </c>
      <c r="I641" s="315">
        <f t="shared" si="47"/>
        <v>231.81149999999997</v>
      </c>
      <c r="J641" s="316">
        <f t="shared" si="44"/>
        <v>2.3381293875574918</v>
      </c>
    </row>
    <row r="642" spans="1:11">
      <c r="A642" s="295">
        <v>24</v>
      </c>
      <c r="B642" s="295">
        <f t="shared" si="45"/>
        <v>12</v>
      </c>
      <c r="C642" s="295">
        <v>1.4</v>
      </c>
      <c r="D642" s="295" t="s">
        <v>115</v>
      </c>
      <c r="E642" s="295">
        <v>29</v>
      </c>
      <c r="F642" s="316">
        <f t="shared" si="43"/>
        <v>1.0357142857142858</v>
      </c>
      <c r="G642" s="321">
        <v>9.3000000000000007</v>
      </c>
      <c r="H642" s="321">
        <v>7.3</v>
      </c>
      <c r="I642" s="315">
        <f t="shared" si="47"/>
        <v>247.79850000000002</v>
      </c>
      <c r="J642" s="316">
        <f t="shared" si="44"/>
        <v>1.3654615486345303</v>
      </c>
      <c r="K642" s="316" t="s">
        <v>136</v>
      </c>
    </row>
    <row r="643" spans="1:11">
      <c r="A643" s="295">
        <v>24</v>
      </c>
      <c r="B643" s="295">
        <f t="shared" si="45"/>
        <v>12</v>
      </c>
      <c r="C643" s="295">
        <v>1.5</v>
      </c>
      <c r="D643" s="295" t="s">
        <v>112</v>
      </c>
      <c r="E643" s="295">
        <v>26</v>
      </c>
      <c r="F643" s="316">
        <f t="shared" si="43"/>
        <v>0.9285714285714286</v>
      </c>
      <c r="G643" s="321">
        <v>10.1</v>
      </c>
      <c r="H643" s="321">
        <v>6.3</v>
      </c>
      <c r="I643" s="315">
        <f t="shared" si="47"/>
        <v>200.43449999999999</v>
      </c>
      <c r="J643" s="316">
        <f t="shared" si="44"/>
        <v>1.4392412971047792</v>
      </c>
    </row>
    <row r="644" spans="1:11" s="316" customFormat="1">
      <c r="A644" s="295">
        <v>24</v>
      </c>
      <c r="B644" s="295">
        <f t="shared" si="45"/>
        <v>12</v>
      </c>
      <c r="C644" s="295">
        <v>2.1</v>
      </c>
      <c r="D644" s="295" t="s">
        <v>114</v>
      </c>
      <c r="E644" s="295">
        <v>28</v>
      </c>
      <c r="F644" s="316">
        <f t="shared" si="43"/>
        <v>1.0769230769230769</v>
      </c>
      <c r="G644" s="321">
        <v>8.9</v>
      </c>
      <c r="H644" s="321">
        <v>7.7</v>
      </c>
      <c r="I644" s="315">
        <f t="shared" si="47"/>
        <v>263.84050000000002</v>
      </c>
      <c r="J644" s="316">
        <f t="shared" si="44"/>
        <v>1.4029628920634158</v>
      </c>
    </row>
    <row r="645" spans="1:11" s="316" customFormat="1">
      <c r="A645" s="295">
        <v>24</v>
      </c>
      <c r="B645" s="295">
        <f t="shared" si="45"/>
        <v>12</v>
      </c>
      <c r="C645" s="295">
        <v>2.2000000000000002</v>
      </c>
      <c r="D645" s="295" t="s">
        <v>115</v>
      </c>
      <c r="E645" s="295">
        <v>27</v>
      </c>
      <c r="F645" s="316">
        <f t="shared" si="43"/>
        <v>0.9642857142857143</v>
      </c>
      <c r="G645" s="321">
        <v>6.1</v>
      </c>
      <c r="H645" s="321">
        <v>5.8</v>
      </c>
      <c r="I645" s="315">
        <f t="shared" si="47"/>
        <v>102.60199999999999</v>
      </c>
      <c r="J645" s="316">
        <f t="shared" si="44"/>
        <v>1.1695867768595041</v>
      </c>
    </row>
    <row r="646" spans="1:11" s="316" customFormat="1">
      <c r="A646" s="295">
        <v>24</v>
      </c>
      <c r="B646" s="295">
        <f t="shared" si="45"/>
        <v>12</v>
      </c>
      <c r="C646" s="295">
        <v>2.2999999999999998</v>
      </c>
      <c r="D646" s="295" t="s">
        <v>112</v>
      </c>
      <c r="E646" s="295">
        <v>25</v>
      </c>
      <c r="F646" s="316">
        <f t="shared" si="43"/>
        <v>1</v>
      </c>
      <c r="G646" s="321">
        <v>12.2</v>
      </c>
      <c r="H646" s="321">
        <v>11.8</v>
      </c>
      <c r="I646" s="315">
        <f t="shared" si="47"/>
        <v>849.36400000000003</v>
      </c>
      <c r="J646" s="316">
        <f t="shared" si="44"/>
        <v>5.1137856502080155</v>
      </c>
    </row>
    <row r="647" spans="1:11" s="316" customFormat="1">
      <c r="A647" s="295">
        <v>24</v>
      </c>
      <c r="B647" s="295">
        <f t="shared" si="45"/>
        <v>12</v>
      </c>
      <c r="C647" s="295">
        <v>2.4</v>
      </c>
      <c r="D647" s="295" t="s">
        <v>114</v>
      </c>
      <c r="E647" s="295">
        <v>25</v>
      </c>
      <c r="F647" s="316">
        <f t="shared" si="43"/>
        <v>1</v>
      </c>
      <c r="G647" s="321">
        <v>8.6</v>
      </c>
      <c r="H647" s="321">
        <v>6.5</v>
      </c>
      <c r="I647" s="315">
        <f t="shared" si="47"/>
        <v>181.67499999999998</v>
      </c>
      <c r="J647" s="316">
        <f t="shared" si="44"/>
        <v>1.69</v>
      </c>
    </row>
    <row r="648" spans="1:11" s="316" customFormat="1">
      <c r="A648" s="295">
        <v>24</v>
      </c>
      <c r="B648" s="295">
        <f t="shared" si="45"/>
        <v>12</v>
      </c>
      <c r="C648" s="295">
        <v>2.5</v>
      </c>
      <c r="D648" s="295" t="s">
        <v>113</v>
      </c>
      <c r="E648" s="295">
        <v>29</v>
      </c>
      <c r="F648" s="316">
        <f t="shared" si="43"/>
        <v>1.0740740740740742</v>
      </c>
      <c r="G648" s="321">
        <v>9.1999999999999993</v>
      </c>
      <c r="H648" s="321">
        <v>6.7</v>
      </c>
      <c r="I648" s="315">
        <f t="shared" si="47"/>
        <v>206.494</v>
      </c>
      <c r="J648" s="316">
        <f t="shared" si="44"/>
        <v>1.2105263157894737</v>
      </c>
    </row>
    <row r="649" spans="1:11" s="316" customFormat="1">
      <c r="A649" s="295">
        <v>24</v>
      </c>
      <c r="B649" s="295">
        <f t="shared" si="45"/>
        <v>12</v>
      </c>
      <c r="C649" s="295">
        <v>3.1</v>
      </c>
      <c r="D649" s="295" t="s">
        <v>115</v>
      </c>
      <c r="E649" s="295">
        <v>23</v>
      </c>
      <c r="F649" s="316">
        <f t="shared" ref="F649:F712" si="48">IF(ISBLANK(E649),"",E649/SUMIFS(E:E,C:C,C649,B:B,"0"))</f>
        <v>0.95833333333333337</v>
      </c>
      <c r="G649" s="321">
        <v>7.6</v>
      </c>
      <c r="H649" s="321">
        <v>3.8</v>
      </c>
      <c r="I649" s="315">
        <f t="shared" si="47"/>
        <v>54.871999999999993</v>
      </c>
      <c r="J649" s="316">
        <f t="shared" ref="J649:J712" si="49">IF(ISBLANK(I649),"",I649/SUMIFS(I:I,C:C,C649,B:B,"0"))</f>
        <v>0.30203385165818081</v>
      </c>
    </row>
    <row r="650" spans="1:11" s="316" customFormat="1">
      <c r="A650" s="295">
        <v>24</v>
      </c>
      <c r="B650" s="295">
        <f t="shared" ref="B650:B713" si="50">A650-12</f>
        <v>12</v>
      </c>
      <c r="C650" s="295">
        <v>3.2</v>
      </c>
      <c r="D650" s="295" t="s">
        <v>113</v>
      </c>
      <c r="E650" s="295">
        <v>32</v>
      </c>
      <c r="F650" s="316">
        <f t="shared" si="48"/>
        <v>1.0666666666666667</v>
      </c>
      <c r="G650" s="321">
        <v>9.5</v>
      </c>
      <c r="H650" s="321">
        <v>7.2</v>
      </c>
      <c r="I650" s="315">
        <f t="shared" si="47"/>
        <v>246.24</v>
      </c>
      <c r="J650" s="316">
        <f t="shared" si="49"/>
        <v>1.2831950639929963</v>
      </c>
    </row>
    <row r="651" spans="1:11" s="316" customFormat="1">
      <c r="A651" s="295">
        <v>24</v>
      </c>
      <c r="B651" s="295">
        <f t="shared" si="50"/>
        <v>12</v>
      </c>
      <c r="C651" s="295">
        <v>3.3</v>
      </c>
      <c r="D651" s="295" t="s">
        <v>114</v>
      </c>
      <c r="E651" s="295">
        <v>26</v>
      </c>
      <c r="F651" s="316">
        <f t="shared" si="48"/>
        <v>1.04</v>
      </c>
      <c r="G651" s="321">
        <v>9.4</v>
      </c>
      <c r="H651" s="321">
        <v>9</v>
      </c>
      <c r="I651" s="315">
        <f t="shared" si="47"/>
        <v>380.7</v>
      </c>
      <c r="J651" s="316">
        <f t="shared" si="49"/>
        <v>1.8498542274052476</v>
      </c>
    </row>
    <row r="652" spans="1:11" s="316" customFormat="1">
      <c r="A652" s="295">
        <v>24</v>
      </c>
      <c r="B652" s="295">
        <f t="shared" si="50"/>
        <v>12</v>
      </c>
      <c r="C652" s="295">
        <v>3.4</v>
      </c>
      <c r="D652" s="295" t="s">
        <v>114</v>
      </c>
      <c r="E652" s="295">
        <v>25</v>
      </c>
      <c r="F652" s="316">
        <f t="shared" si="48"/>
        <v>1</v>
      </c>
      <c r="G652" s="321">
        <v>10.8</v>
      </c>
      <c r="H652" s="321">
        <v>7.9</v>
      </c>
      <c r="I652" s="315">
        <f t="shared" si="47"/>
        <v>337.01400000000007</v>
      </c>
      <c r="J652" s="316">
        <f t="shared" si="49"/>
        <v>1.4373070164963579</v>
      </c>
    </row>
    <row r="653" spans="1:11" s="316" customFormat="1">
      <c r="A653" s="295">
        <v>24</v>
      </c>
      <c r="B653" s="295">
        <f t="shared" si="50"/>
        <v>12</v>
      </c>
      <c r="C653" s="295">
        <v>3.5</v>
      </c>
      <c r="D653" s="295" t="s">
        <v>115</v>
      </c>
      <c r="E653" s="295"/>
      <c r="F653" s="316" t="str">
        <f t="shared" si="48"/>
        <v/>
      </c>
      <c r="G653" s="321"/>
      <c r="H653" s="321"/>
      <c r="I653" s="315"/>
      <c r="J653" s="316" t="str">
        <f t="shared" si="49"/>
        <v/>
      </c>
    </row>
    <row r="654" spans="1:11" s="316" customFormat="1">
      <c r="A654" s="295">
        <v>24</v>
      </c>
      <c r="B654" s="295">
        <f t="shared" si="50"/>
        <v>12</v>
      </c>
      <c r="C654" s="295">
        <v>4.0999999999999996</v>
      </c>
      <c r="D654" s="295" t="s">
        <v>111</v>
      </c>
      <c r="E654" s="295"/>
      <c r="F654" s="316" t="str">
        <f t="shared" si="48"/>
        <v/>
      </c>
      <c r="G654" s="321"/>
      <c r="H654" s="321"/>
      <c r="I654" s="315"/>
      <c r="J654" s="316" t="str">
        <f t="shared" si="49"/>
        <v/>
      </c>
    </row>
    <row r="655" spans="1:11" s="316" customFormat="1">
      <c r="A655" s="295">
        <v>24</v>
      </c>
      <c r="B655" s="295">
        <f t="shared" si="50"/>
        <v>12</v>
      </c>
      <c r="C655" s="295">
        <v>4.2</v>
      </c>
      <c r="D655" s="295" t="s">
        <v>112</v>
      </c>
      <c r="E655" s="295">
        <v>31</v>
      </c>
      <c r="F655" s="316">
        <f t="shared" si="48"/>
        <v>1.0689655172413792</v>
      </c>
      <c r="G655" s="321">
        <v>14</v>
      </c>
      <c r="H655" s="321">
        <v>9.6</v>
      </c>
      <c r="I655" s="315">
        <f t="shared" ref="I655:I666" si="51">G655*(H655^2)*0.5</f>
        <v>645.12</v>
      </c>
      <c r="J655" s="316">
        <f t="shared" si="49"/>
        <v>1.938240224974312</v>
      </c>
    </row>
    <row r="656" spans="1:11" s="316" customFormat="1">
      <c r="A656" s="295">
        <v>24</v>
      </c>
      <c r="B656" s="295">
        <f t="shared" si="50"/>
        <v>12</v>
      </c>
      <c r="C656" s="295">
        <v>4.3</v>
      </c>
      <c r="D656" s="295" t="s">
        <v>113</v>
      </c>
      <c r="E656" s="295">
        <v>29</v>
      </c>
      <c r="F656" s="316">
        <f t="shared" si="48"/>
        <v>1.1153846153846154</v>
      </c>
      <c r="G656" s="321">
        <v>10.4</v>
      </c>
      <c r="H656" s="321">
        <v>7.6</v>
      </c>
      <c r="I656" s="315">
        <f t="shared" si="51"/>
        <v>300.35199999999998</v>
      </c>
      <c r="J656" s="316">
        <f t="shared" si="49"/>
        <v>2.156709558823529</v>
      </c>
    </row>
    <row r="657" spans="1:11" s="316" customFormat="1">
      <c r="A657" s="295">
        <v>24</v>
      </c>
      <c r="B657" s="295">
        <f t="shared" si="50"/>
        <v>12</v>
      </c>
      <c r="C657" s="295">
        <v>4.4000000000000004</v>
      </c>
      <c r="D657" s="295" t="s">
        <v>112</v>
      </c>
      <c r="E657" s="295">
        <v>30</v>
      </c>
      <c r="F657" s="316">
        <f t="shared" si="48"/>
        <v>0.967741935483871</v>
      </c>
      <c r="G657" s="321">
        <v>16.8</v>
      </c>
      <c r="H657" s="321">
        <v>12</v>
      </c>
      <c r="I657" s="315">
        <f t="shared" si="51"/>
        <v>1209.6000000000001</v>
      </c>
      <c r="J657" s="316">
        <f t="shared" si="49"/>
        <v>6.4336147862509145</v>
      </c>
    </row>
    <row r="658" spans="1:11" s="316" customFormat="1">
      <c r="A658" s="295">
        <v>24</v>
      </c>
      <c r="B658" s="295">
        <f t="shared" si="50"/>
        <v>12</v>
      </c>
      <c r="C658" s="295">
        <v>4.5</v>
      </c>
      <c r="D658" s="295" t="s">
        <v>112</v>
      </c>
      <c r="E658" s="295">
        <v>28</v>
      </c>
      <c r="F658" s="316">
        <f t="shared" si="48"/>
        <v>1.037037037037037</v>
      </c>
      <c r="G658" s="321">
        <v>13.9</v>
      </c>
      <c r="H658" s="321">
        <v>12.2</v>
      </c>
      <c r="I658" s="315">
        <f t="shared" si="51"/>
        <v>1034.4379999999999</v>
      </c>
      <c r="J658" s="316">
        <f t="shared" si="49"/>
        <v>4.6217819835759402</v>
      </c>
    </row>
    <row r="659" spans="1:11" s="316" customFormat="1">
      <c r="A659" s="295">
        <v>24</v>
      </c>
      <c r="B659" s="295">
        <f t="shared" si="50"/>
        <v>12</v>
      </c>
      <c r="C659" s="295">
        <v>5.0999999999999996</v>
      </c>
      <c r="D659" s="295" t="s">
        <v>113</v>
      </c>
      <c r="E659" s="295">
        <v>25</v>
      </c>
      <c r="F659" s="316">
        <f t="shared" si="48"/>
        <v>1.0416666666666667</v>
      </c>
      <c r="G659" s="321">
        <v>9.5</v>
      </c>
      <c r="H659" s="321">
        <v>9.4</v>
      </c>
      <c r="I659" s="315">
        <f t="shared" si="51"/>
        <v>419.71000000000004</v>
      </c>
      <c r="J659" s="316">
        <f t="shared" si="49"/>
        <v>2.5269577887087356</v>
      </c>
    </row>
    <row r="660" spans="1:11">
      <c r="A660" s="295">
        <v>24</v>
      </c>
      <c r="B660" s="295">
        <f t="shared" si="50"/>
        <v>12</v>
      </c>
      <c r="C660" s="295">
        <v>5.2</v>
      </c>
      <c r="D660" s="295" t="s">
        <v>114</v>
      </c>
      <c r="E660" s="295">
        <v>28</v>
      </c>
      <c r="F660" s="316">
        <f t="shared" si="48"/>
        <v>1.037037037037037</v>
      </c>
      <c r="G660" s="321">
        <v>8.6</v>
      </c>
      <c r="H660" s="321">
        <v>6.1</v>
      </c>
      <c r="I660" s="315">
        <f t="shared" si="51"/>
        <v>160.00299999999996</v>
      </c>
      <c r="J660" s="316">
        <f t="shared" si="49"/>
        <v>0.96662196123918609</v>
      </c>
    </row>
    <row r="661" spans="1:11">
      <c r="A661" s="295">
        <v>24</v>
      </c>
      <c r="B661" s="295">
        <f t="shared" si="50"/>
        <v>12</v>
      </c>
      <c r="C661" s="295">
        <v>5.3</v>
      </c>
      <c r="D661" s="295" t="s">
        <v>112</v>
      </c>
      <c r="E661" s="295">
        <v>32</v>
      </c>
      <c r="F661" s="316">
        <f t="shared" si="48"/>
        <v>1.1428571428571428</v>
      </c>
      <c r="G661" s="321">
        <v>11.4</v>
      </c>
      <c r="H661" s="321">
        <v>11</v>
      </c>
      <c r="I661" s="315">
        <f t="shared" si="51"/>
        <v>689.7</v>
      </c>
      <c r="J661" s="316">
        <f t="shared" si="49"/>
        <v>2.9067415162089723</v>
      </c>
    </row>
    <row r="662" spans="1:11">
      <c r="A662" s="295">
        <v>24</v>
      </c>
      <c r="B662" s="295">
        <f t="shared" si="50"/>
        <v>12</v>
      </c>
      <c r="C662" s="295">
        <v>5.4</v>
      </c>
      <c r="D662" s="295" t="s">
        <v>113</v>
      </c>
      <c r="E662" s="295">
        <v>26</v>
      </c>
      <c r="F662" s="316">
        <f t="shared" si="48"/>
        <v>1</v>
      </c>
      <c r="G662" s="321">
        <v>9.3000000000000007</v>
      </c>
      <c r="H662" s="321">
        <v>9</v>
      </c>
      <c r="I662" s="315">
        <f t="shared" si="51"/>
        <v>376.65000000000003</v>
      </c>
      <c r="J662" s="316">
        <f t="shared" si="49"/>
        <v>2.1059547106513841</v>
      </c>
    </row>
    <row r="663" spans="1:11">
      <c r="A663" s="295">
        <v>24</v>
      </c>
      <c r="B663" s="295">
        <f t="shared" si="50"/>
        <v>12</v>
      </c>
      <c r="C663" s="295">
        <v>5.5</v>
      </c>
      <c r="D663" s="295" t="s">
        <v>114</v>
      </c>
      <c r="E663" s="295">
        <v>23</v>
      </c>
      <c r="F663" s="316">
        <f t="shared" si="48"/>
        <v>1.0454545454545454</v>
      </c>
      <c r="G663" s="321">
        <v>7.4</v>
      </c>
      <c r="H663" s="321">
        <v>6.6</v>
      </c>
      <c r="I663" s="315">
        <f t="shared" si="51"/>
        <v>161.172</v>
      </c>
      <c r="J663" s="316">
        <f t="shared" si="49"/>
        <v>1.6020755054571476</v>
      </c>
    </row>
    <row r="664" spans="1:11">
      <c r="A664" s="295">
        <v>24</v>
      </c>
      <c r="B664" s="295">
        <f t="shared" si="50"/>
        <v>12</v>
      </c>
      <c r="C664" s="295">
        <v>6.1</v>
      </c>
      <c r="D664" s="295" t="s">
        <v>115</v>
      </c>
      <c r="E664" s="295">
        <v>27</v>
      </c>
      <c r="F664" s="316">
        <f t="shared" si="48"/>
        <v>1.08</v>
      </c>
      <c r="G664" s="321">
        <v>10.9</v>
      </c>
      <c r="H664" s="321">
        <v>7</v>
      </c>
      <c r="I664" s="315">
        <f t="shared" si="51"/>
        <v>267.05</v>
      </c>
      <c r="J664" s="316">
        <f t="shared" si="49"/>
        <v>1.984911550468262</v>
      </c>
    </row>
    <row r="665" spans="1:11">
      <c r="A665" s="295">
        <v>24</v>
      </c>
      <c r="B665" s="295">
        <f t="shared" si="50"/>
        <v>12</v>
      </c>
      <c r="C665" s="295">
        <v>6.2</v>
      </c>
      <c r="D665" s="295" t="s">
        <v>115</v>
      </c>
      <c r="E665" s="295">
        <v>27</v>
      </c>
      <c r="F665" s="316">
        <f t="shared" si="48"/>
        <v>1</v>
      </c>
      <c r="G665" s="321">
        <v>7.1</v>
      </c>
      <c r="H665" s="321">
        <v>6.6</v>
      </c>
      <c r="I665" s="315">
        <f t="shared" si="51"/>
        <v>154.63799999999998</v>
      </c>
      <c r="J665" s="316">
        <f t="shared" si="49"/>
        <v>1.2405427845989081</v>
      </c>
    </row>
    <row r="666" spans="1:11">
      <c r="A666" s="295">
        <v>24</v>
      </c>
      <c r="B666" s="295">
        <f t="shared" si="50"/>
        <v>12</v>
      </c>
      <c r="C666" s="295">
        <v>6.3</v>
      </c>
      <c r="D666" s="295" t="s">
        <v>114</v>
      </c>
      <c r="E666" s="295">
        <v>25</v>
      </c>
      <c r="F666" s="316">
        <f t="shared" si="48"/>
        <v>1.0416666666666667</v>
      </c>
      <c r="G666" s="321">
        <v>9.5</v>
      </c>
      <c r="H666" s="321">
        <v>7.5</v>
      </c>
      <c r="I666" s="315">
        <f t="shared" si="51"/>
        <v>267.1875</v>
      </c>
      <c r="J666" s="316">
        <f t="shared" si="49"/>
        <v>1.7767311803646058</v>
      </c>
    </row>
    <row r="667" spans="1:11">
      <c r="A667" s="295">
        <v>24</v>
      </c>
      <c r="B667" s="295">
        <f t="shared" si="50"/>
        <v>12</v>
      </c>
      <c r="C667" s="295">
        <v>6.4</v>
      </c>
      <c r="D667" s="295" t="s">
        <v>112</v>
      </c>
      <c r="E667" s="295">
        <v>31</v>
      </c>
      <c r="F667" s="316">
        <f t="shared" si="48"/>
        <v>1.0689655172413792</v>
      </c>
      <c r="G667" s="321">
        <v>10.4</v>
      </c>
      <c r="H667" s="321">
        <v>8.6</v>
      </c>
      <c r="I667" s="315">
        <f>G667*(H667^2)*0.5</f>
        <v>384.59199999999998</v>
      </c>
      <c r="J667" s="316">
        <f t="shared" si="49"/>
        <v>6.6217630853994471</v>
      </c>
    </row>
    <row r="668" spans="1:11">
      <c r="A668" s="295">
        <v>24</v>
      </c>
      <c r="B668" s="295">
        <f t="shared" si="50"/>
        <v>12</v>
      </c>
      <c r="C668" s="295">
        <v>6.5</v>
      </c>
      <c r="D668" s="295" t="s">
        <v>113</v>
      </c>
      <c r="E668" s="295">
        <v>25</v>
      </c>
      <c r="F668" s="316">
        <f t="shared" si="48"/>
        <v>1.0416666666666667</v>
      </c>
      <c r="G668" s="321">
        <v>12.3</v>
      </c>
      <c r="H668" s="321">
        <v>9.4</v>
      </c>
      <c r="I668" s="315">
        <f t="shared" ref="I668:I687" si="52">G668*(H668^2)*0.5</f>
        <v>543.4140000000001</v>
      </c>
      <c r="J668" s="316">
        <f t="shared" si="49"/>
        <v>10.734103703703706</v>
      </c>
      <c r="K668" s="316" t="s">
        <v>147</v>
      </c>
    </row>
    <row r="669" spans="1:11">
      <c r="A669" s="295">
        <v>24</v>
      </c>
      <c r="B669" s="295">
        <f t="shared" si="50"/>
        <v>12</v>
      </c>
      <c r="C669" s="295">
        <v>7.1</v>
      </c>
      <c r="D669" s="295" t="s">
        <v>114</v>
      </c>
      <c r="E669" s="295">
        <v>26</v>
      </c>
      <c r="F669" s="316">
        <f t="shared" si="48"/>
        <v>0.96296296296296291</v>
      </c>
      <c r="G669" s="321">
        <v>9.8000000000000007</v>
      </c>
      <c r="H669" s="321">
        <v>7.2</v>
      </c>
      <c r="I669" s="315">
        <f t="shared" si="52"/>
        <v>254.01600000000005</v>
      </c>
      <c r="J669" s="316">
        <f t="shared" si="49"/>
        <v>1.8816000000000004</v>
      </c>
      <c r="K669" s="316" t="s">
        <v>148</v>
      </c>
    </row>
    <row r="670" spans="1:11">
      <c r="A670" s="295">
        <v>24</v>
      </c>
      <c r="B670" s="295">
        <f t="shared" si="50"/>
        <v>12</v>
      </c>
      <c r="C670" s="295">
        <v>7.2</v>
      </c>
      <c r="D670" s="295" t="s">
        <v>111</v>
      </c>
      <c r="E670" s="295">
        <v>30</v>
      </c>
      <c r="F670" s="316">
        <f t="shared" si="48"/>
        <v>1.0344827586206897</v>
      </c>
      <c r="G670" s="321">
        <v>6.6</v>
      </c>
      <c r="H670" s="321">
        <v>6.2</v>
      </c>
      <c r="I670" s="315">
        <f t="shared" si="52"/>
        <v>126.852</v>
      </c>
      <c r="J670" s="316">
        <f t="shared" si="49"/>
        <v>8.3797066983749513</v>
      </c>
    </row>
    <row r="671" spans="1:11">
      <c r="A671" s="295">
        <v>24</v>
      </c>
      <c r="B671" s="295">
        <f t="shared" si="50"/>
        <v>12</v>
      </c>
      <c r="C671" s="295">
        <v>7.3</v>
      </c>
      <c r="D671" s="295" t="s">
        <v>113</v>
      </c>
      <c r="E671" s="295">
        <v>28</v>
      </c>
      <c r="F671" s="316">
        <f t="shared" si="48"/>
        <v>1.037037037037037</v>
      </c>
      <c r="G671" s="321">
        <v>7.4</v>
      </c>
      <c r="H671" s="321">
        <v>7.3</v>
      </c>
      <c r="I671" s="315">
        <f t="shared" si="52"/>
        <v>197.173</v>
      </c>
      <c r="J671" s="316">
        <f t="shared" si="49"/>
        <v>1.3799515691050084</v>
      </c>
    </row>
    <row r="672" spans="1:11">
      <c r="A672" s="295">
        <v>24</v>
      </c>
      <c r="B672" s="295">
        <f t="shared" si="50"/>
        <v>12</v>
      </c>
      <c r="C672" s="295">
        <v>7.4</v>
      </c>
      <c r="D672" s="295" t="s">
        <v>115</v>
      </c>
      <c r="E672" s="295">
        <v>28</v>
      </c>
      <c r="F672" s="316">
        <f t="shared" si="48"/>
        <v>1.037037037037037</v>
      </c>
      <c r="G672" s="321">
        <v>6.4</v>
      </c>
      <c r="H672" s="321">
        <v>6.3</v>
      </c>
      <c r="I672" s="315">
        <f t="shared" si="52"/>
        <v>127.008</v>
      </c>
      <c r="J672" s="316">
        <f t="shared" si="49"/>
        <v>1.0731196241783125</v>
      </c>
      <c r="K672" s="316" t="s">
        <v>149</v>
      </c>
    </row>
    <row r="673" spans="1:11">
      <c r="A673" s="295">
        <v>24</v>
      </c>
      <c r="B673" s="295">
        <f t="shared" si="50"/>
        <v>12</v>
      </c>
      <c r="C673" s="295">
        <v>7.5</v>
      </c>
      <c r="D673" s="295" t="s">
        <v>111</v>
      </c>
      <c r="E673" s="295">
        <v>29</v>
      </c>
      <c r="F673" s="316">
        <f t="shared" si="48"/>
        <v>1</v>
      </c>
      <c r="G673" s="321">
        <v>12.5</v>
      </c>
      <c r="H673" s="321">
        <v>10.5</v>
      </c>
      <c r="I673" s="315">
        <f t="shared" si="52"/>
        <v>689.0625</v>
      </c>
      <c r="J673" s="316">
        <f t="shared" si="49"/>
        <v>11.140504753282027</v>
      </c>
    </row>
    <row r="674" spans="1:11">
      <c r="A674" s="295">
        <v>25</v>
      </c>
      <c r="B674" s="295">
        <f t="shared" si="50"/>
        <v>13</v>
      </c>
      <c r="C674" s="295">
        <v>1.1000000000000001</v>
      </c>
      <c r="D674" s="295" t="s">
        <v>112</v>
      </c>
      <c r="E674" s="295">
        <v>29</v>
      </c>
      <c r="F674" s="316">
        <f t="shared" si="48"/>
        <v>1.0357142857142858</v>
      </c>
      <c r="G674" s="321">
        <v>13.3</v>
      </c>
      <c r="H674" s="321">
        <v>13.2</v>
      </c>
      <c r="I674" s="315">
        <f t="shared" si="52"/>
        <v>1158.6959999999999</v>
      </c>
      <c r="J674" s="316">
        <f t="shared" si="49"/>
        <v>5.1437246963562755</v>
      </c>
    </row>
    <row r="675" spans="1:11">
      <c r="A675" s="295">
        <v>25</v>
      </c>
      <c r="B675" s="295">
        <f t="shared" si="50"/>
        <v>13</v>
      </c>
      <c r="C675" s="295">
        <v>1.2</v>
      </c>
      <c r="D675" s="295" t="s">
        <v>113</v>
      </c>
      <c r="E675" s="295">
        <v>28</v>
      </c>
      <c r="F675" s="316">
        <f t="shared" si="48"/>
        <v>1.037037037037037</v>
      </c>
      <c r="G675" s="322">
        <v>14.7</v>
      </c>
      <c r="H675" s="322">
        <v>10.3</v>
      </c>
      <c r="I675" s="315">
        <f t="shared" si="52"/>
        <v>779.76150000000007</v>
      </c>
      <c r="J675" s="316">
        <f t="shared" si="49"/>
        <v>3.7273227008410554</v>
      </c>
      <c r="K675" s="316" t="s">
        <v>150</v>
      </c>
    </row>
    <row r="676" spans="1:11">
      <c r="A676" s="295">
        <v>25</v>
      </c>
      <c r="B676" s="295">
        <f t="shared" si="50"/>
        <v>13</v>
      </c>
      <c r="C676" s="295">
        <v>1.3</v>
      </c>
      <c r="D676" s="295" t="s">
        <v>115</v>
      </c>
      <c r="E676" s="295">
        <v>24</v>
      </c>
      <c r="F676" s="316">
        <f t="shared" si="48"/>
        <v>1</v>
      </c>
      <c r="G676" s="321">
        <v>11.7</v>
      </c>
      <c r="H676" s="321">
        <v>8.8000000000000007</v>
      </c>
      <c r="I676" s="315">
        <f t="shared" si="52"/>
        <v>453.02400000000006</v>
      </c>
      <c r="J676" s="316">
        <f t="shared" si="49"/>
        <v>4.5693536673928836</v>
      </c>
      <c r="K676" s="316" t="s">
        <v>148</v>
      </c>
    </row>
    <row r="677" spans="1:11">
      <c r="A677" s="295">
        <v>25</v>
      </c>
      <c r="B677" s="295">
        <f t="shared" si="50"/>
        <v>13</v>
      </c>
      <c r="C677" s="295">
        <v>1.4</v>
      </c>
      <c r="D677" s="295" t="s">
        <v>115</v>
      </c>
      <c r="E677" s="295">
        <v>30</v>
      </c>
      <c r="F677" s="316">
        <f t="shared" si="48"/>
        <v>1.0714285714285714</v>
      </c>
      <c r="G677" s="321">
        <v>7.9</v>
      </c>
      <c r="H677" s="321">
        <v>7.6</v>
      </c>
      <c r="I677" s="315">
        <f t="shared" si="52"/>
        <v>228.15200000000002</v>
      </c>
      <c r="J677" s="316">
        <f t="shared" si="49"/>
        <v>1.2572020542661289</v>
      </c>
      <c r="K677" s="316" t="s">
        <v>151</v>
      </c>
    </row>
    <row r="678" spans="1:11">
      <c r="A678" s="295">
        <v>25</v>
      </c>
      <c r="B678" s="295">
        <f t="shared" si="50"/>
        <v>13</v>
      </c>
      <c r="C678" s="295">
        <v>1.5</v>
      </c>
      <c r="D678" s="295" t="s">
        <v>112</v>
      </c>
      <c r="E678" s="295">
        <v>27</v>
      </c>
      <c r="F678" s="316">
        <f t="shared" si="48"/>
        <v>0.9642857142857143</v>
      </c>
      <c r="G678" s="321">
        <v>12.3</v>
      </c>
      <c r="H678" s="321">
        <v>9.5</v>
      </c>
      <c r="I678" s="315">
        <f t="shared" si="52"/>
        <v>555.03750000000002</v>
      </c>
      <c r="J678" s="316">
        <f t="shared" si="49"/>
        <v>3.9855059455422794</v>
      </c>
    </row>
    <row r="679" spans="1:11">
      <c r="A679" s="295">
        <v>25</v>
      </c>
      <c r="B679" s="295">
        <f t="shared" si="50"/>
        <v>13</v>
      </c>
      <c r="C679" s="295">
        <v>2.1</v>
      </c>
      <c r="D679" s="295" t="s">
        <v>114</v>
      </c>
      <c r="E679" s="295">
        <v>28</v>
      </c>
      <c r="F679" s="316">
        <f t="shared" si="48"/>
        <v>1.0769230769230769</v>
      </c>
      <c r="G679" s="321">
        <v>10.4</v>
      </c>
      <c r="H679" s="321">
        <v>7.5</v>
      </c>
      <c r="I679" s="315">
        <f t="shared" si="52"/>
        <v>292.5</v>
      </c>
      <c r="J679" s="316">
        <f t="shared" si="49"/>
        <v>1.5553588093130095</v>
      </c>
      <c r="K679" s="316" t="s">
        <v>148</v>
      </c>
    </row>
    <row r="680" spans="1:11">
      <c r="A680" s="295">
        <v>25</v>
      </c>
      <c r="B680" s="295">
        <f t="shared" si="50"/>
        <v>13</v>
      </c>
      <c r="C680" s="295">
        <v>2.2000000000000002</v>
      </c>
      <c r="D680" s="295" t="s">
        <v>115</v>
      </c>
      <c r="E680" s="295">
        <v>26</v>
      </c>
      <c r="F680" s="316">
        <f t="shared" si="48"/>
        <v>0.9285714285714286</v>
      </c>
      <c r="G680" s="321">
        <v>5.7</v>
      </c>
      <c r="H680" s="321">
        <v>5.4</v>
      </c>
      <c r="I680" s="315">
        <f t="shared" si="52"/>
        <v>83.106000000000009</v>
      </c>
      <c r="J680" s="316">
        <f t="shared" si="49"/>
        <v>0.94734682245654045</v>
      </c>
    </row>
    <row r="681" spans="1:11">
      <c r="A681" s="295">
        <v>25</v>
      </c>
      <c r="B681" s="295">
        <f t="shared" si="50"/>
        <v>13</v>
      </c>
      <c r="C681" s="295">
        <v>2.2999999999999998</v>
      </c>
      <c r="D681" s="295" t="s">
        <v>112</v>
      </c>
      <c r="E681" s="295">
        <v>25</v>
      </c>
      <c r="F681" s="316">
        <f t="shared" si="48"/>
        <v>1</v>
      </c>
      <c r="G681" s="321">
        <v>13.3</v>
      </c>
      <c r="H681" s="321">
        <v>12.2</v>
      </c>
      <c r="I681" s="315">
        <f t="shared" si="52"/>
        <v>989.78599999999983</v>
      </c>
      <c r="J681" s="316">
        <f t="shared" si="49"/>
        <v>5.9592276616112647</v>
      </c>
    </row>
    <row r="682" spans="1:11">
      <c r="A682" s="295">
        <v>25</v>
      </c>
      <c r="B682" s="295">
        <f t="shared" si="50"/>
        <v>13</v>
      </c>
      <c r="C682" s="295">
        <v>2.4</v>
      </c>
      <c r="D682" s="295" t="s">
        <v>114</v>
      </c>
      <c r="E682" s="295">
        <v>26</v>
      </c>
      <c r="F682" s="316">
        <f t="shared" si="48"/>
        <v>1.04</v>
      </c>
      <c r="G682" s="321">
        <v>8.5</v>
      </c>
      <c r="H682" s="321">
        <v>7.4</v>
      </c>
      <c r="I682" s="315">
        <f t="shared" si="52"/>
        <v>232.73000000000002</v>
      </c>
      <c r="J682" s="316">
        <f t="shared" si="49"/>
        <v>2.1649302325581399</v>
      </c>
    </row>
    <row r="683" spans="1:11">
      <c r="A683" s="295">
        <v>25</v>
      </c>
      <c r="B683" s="295">
        <f t="shared" si="50"/>
        <v>13</v>
      </c>
      <c r="C683" s="295">
        <v>2.5</v>
      </c>
      <c r="D683" s="295" t="s">
        <v>113</v>
      </c>
      <c r="E683" s="295">
        <v>29</v>
      </c>
      <c r="F683" s="316">
        <f t="shared" si="48"/>
        <v>1.0740740740740742</v>
      </c>
      <c r="G683" s="321">
        <v>9.5</v>
      </c>
      <c r="H683" s="321">
        <v>7.4</v>
      </c>
      <c r="I683" s="315">
        <f t="shared" si="52"/>
        <v>260.11</v>
      </c>
      <c r="J683" s="316">
        <f t="shared" si="49"/>
        <v>1.5248384940966808</v>
      </c>
    </row>
    <row r="684" spans="1:11">
      <c r="A684" s="295">
        <v>25</v>
      </c>
      <c r="B684" s="295">
        <f t="shared" si="50"/>
        <v>13</v>
      </c>
      <c r="C684" s="295">
        <v>3.1</v>
      </c>
      <c r="D684" s="295" t="s">
        <v>115</v>
      </c>
      <c r="E684" s="295">
        <v>23</v>
      </c>
      <c r="F684" s="316">
        <f t="shared" si="48"/>
        <v>0.95833333333333337</v>
      </c>
      <c r="G684" s="321">
        <v>7.6</v>
      </c>
      <c r="H684" s="321">
        <v>5.2</v>
      </c>
      <c r="I684" s="315">
        <f t="shared" si="52"/>
        <v>102.75200000000001</v>
      </c>
      <c r="J684" s="316">
        <f t="shared" si="49"/>
        <v>0.56558139534883733</v>
      </c>
      <c r="K684" s="316" t="s">
        <v>152</v>
      </c>
    </row>
    <row r="685" spans="1:11">
      <c r="A685" s="295">
        <v>25</v>
      </c>
      <c r="B685" s="295">
        <f t="shared" si="50"/>
        <v>13</v>
      </c>
      <c r="C685" s="295">
        <v>3.2</v>
      </c>
      <c r="D685" s="295" t="s">
        <v>113</v>
      </c>
      <c r="E685" s="295">
        <v>32</v>
      </c>
      <c r="F685" s="316">
        <f t="shared" si="48"/>
        <v>1.0666666666666667</v>
      </c>
      <c r="G685" s="321">
        <v>11.5</v>
      </c>
      <c r="H685" s="321">
        <v>9.4</v>
      </c>
      <c r="I685" s="315">
        <f t="shared" si="52"/>
        <v>508.07000000000005</v>
      </c>
      <c r="J685" s="316">
        <f t="shared" si="49"/>
        <v>2.6476320506941264</v>
      </c>
    </row>
    <row r="686" spans="1:11">
      <c r="A686" s="295">
        <v>25</v>
      </c>
      <c r="B686" s="295">
        <f t="shared" si="50"/>
        <v>13</v>
      </c>
      <c r="C686" s="295">
        <v>3.3</v>
      </c>
      <c r="D686" s="295" t="s">
        <v>114</v>
      </c>
      <c r="E686" s="295">
        <v>25</v>
      </c>
      <c r="F686" s="316">
        <f t="shared" si="48"/>
        <v>1</v>
      </c>
      <c r="G686" s="321">
        <v>11.4</v>
      </c>
      <c r="H686" s="321">
        <v>9.6999999999999993</v>
      </c>
      <c r="I686" s="315">
        <f t="shared" si="52"/>
        <v>536.31299999999999</v>
      </c>
      <c r="J686" s="316">
        <f t="shared" si="49"/>
        <v>2.6059912536443148</v>
      </c>
    </row>
    <row r="687" spans="1:11">
      <c r="A687" s="295">
        <v>25</v>
      </c>
      <c r="B687" s="295">
        <f t="shared" si="50"/>
        <v>13</v>
      </c>
      <c r="C687" s="295">
        <v>3.4</v>
      </c>
      <c r="D687" s="295" t="s">
        <v>114</v>
      </c>
      <c r="E687" s="295">
        <v>24</v>
      </c>
      <c r="F687" s="316">
        <f t="shared" si="48"/>
        <v>0.96</v>
      </c>
      <c r="G687" s="321">
        <v>10.3</v>
      </c>
      <c r="H687" s="321">
        <v>9.4</v>
      </c>
      <c r="I687" s="315">
        <f t="shared" si="52"/>
        <v>455.05400000000009</v>
      </c>
      <c r="J687" s="316">
        <f t="shared" si="49"/>
        <v>1.9407274092017948</v>
      </c>
      <c r="K687" s="316" t="s">
        <v>152</v>
      </c>
    </row>
    <row r="688" spans="1:11">
      <c r="A688" s="295">
        <v>25</v>
      </c>
      <c r="B688" s="295">
        <f t="shared" si="50"/>
        <v>13</v>
      </c>
      <c r="C688" s="295">
        <v>3.5</v>
      </c>
      <c r="D688" s="295" t="s">
        <v>115</v>
      </c>
      <c r="F688" s="316" t="str">
        <f t="shared" si="48"/>
        <v/>
      </c>
      <c r="G688" s="321"/>
      <c r="H688" s="321"/>
      <c r="J688" s="316" t="str">
        <f t="shared" si="49"/>
        <v/>
      </c>
    </row>
    <row r="689" spans="1:11">
      <c r="A689" s="295">
        <v>25</v>
      </c>
      <c r="B689" s="295">
        <f t="shared" si="50"/>
        <v>13</v>
      </c>
      <c r="C689" s="295">
        <v>4.0999999999999996</v>
      </c>
      <c r="D689" s="295" t="s">
        <v>111</v>
      </c>
      <c r="F689" s="316" t="str">
        <f t="shared" si="48"/>
        <v/>
      </c>
      <c r="G689" s="321"/>
      <c r="H689" s="321"/>
      <c r="J689" s="316" t="str">
        <f t="shared" si="49"/>
        <v/>
      </c>
    </row>
    <row r="690" spans="1:11">
      <c r="A690" s="295">
        <v>25</v>
      </c>
      <c r="B690" s="295">
        <f t="shared" si="50"/>
        <v>13</v>
      </c>
      <c r="C690" s="295">
        <v>4.2</v>
      </c>
      <c r="D690" s="295" t="s">
        <v>112</v>
      </c>
      <c r="E690" s="295">
        <v>31</v>
      </c>
      <c r="F690" s="316">
        <f t="shared" si="48"/>
        <v>1.0689655172413792</v>
      </c>
      <c r="G690" s="321">
        <v>15.5</v>
      </c>
      <c r="H690" s="321">
        <v>12.1</v>
      </c>
      <c r="I690" s="315">
        <f t="shared" ref="I690:I701" si="53">G690*(H690^2)*0.5</f>
        <v>1134.6775</v>
      </c>
      <c r="J690" s="316">
        <f t="shared" si="49"/>
        <v>3.4090984202524957</v>
      </c>
    </row>
    <row r="691" spans="1:11">
      <c r="A691" s="295">
        <v>25</v>
      </c>
      <c r="B691" s="295">
        <f t="shared" si="50"/>
        <v>13</v>
      </c>
      <c r="C691" s="295">
        <v>4.3</v>
      </c>
      <c r="D691" s="295" t="s">
        <v>113</v>
      </c>
      <c r="E691" s="295">
        <v>29</v>
      </c>
      <c r="F691" s="316">
        <f t="shared" si="48"/>
        <v>1.1153846153846154</v>
      </c>
      <c r="G691" s="321">
        <v>12.5</v>
      </c>
      <c r="H691" s="321">
        <v>9.3000000000000007</v>
      </c>
      <c r="I691" s="315">
        <f t="shared" si="53"/>
        <v>540.5625</v>
      </c>
      <c r="J691" s="316">
        <f t="shared" si="49"/>
        <v>3.8815666647518379</v>
      </c>
    </row>
    <row r="692" spans="1:11">
      <c r="A692" s="295">
        <v>25</v>
      </c>
      <c r="B692" s="295">
        <f t="shared" si="50"/>
        <v>13</v>
      </c>
      <c r="C692" s="295">
        <v>4.4000000000000004</v>
      </c>
      <c r="D692" s="295" t="s">
        <v>112</v>
      </c>
      <c r="E692" s="295">
        <v>26</v>
      </c>
      <c r="F692" s="316">
        <f t="shared" si="48"/>
        <v>0.83870967741935487</v>
      </c>
      <c r="G692" s="321">
        <v>17.7</v>
      </c>
      <c r="H692" s="321">
        <v>10.9</v>
      </c>
      <c r="I692" s="315">
        <f t="shared" si="53"/>
        <v>1051.4684999999999</v>
      </c>
      <c r="J692" s="316">
        <f t="shared" si="49"/>
        <v>5.5925457083970471</v>
      </c>
    </row>
    <row r="693" spans="1:11">
      <c r="A693" s="295">
        <v>25</v>
      </c>
      <c r="B693" s="295">
        <f t="shared" si="50"/>
        <v>13</v>
      </c>
      <c r="C693" s="295">
        <v>4.5</v>
      </c>
      <c r="D693" s="295" t="s">
        <v>112</v>
      </c>
      <c r="E693" s="295">
        <v>29</v>
      </c>
      <c r="F693" s="316">
        <f t="shared" si="48"/>
        <v>1.0740740740740742</v>
      </c>
      <c r="G693" s="321">
        <v>14.6</v>
      </c>
      <c r="H693" s="321">
        <v>13</v>
      </c>
      <c r="I693" s="315">
        <f t="shared" si="53"/>
        <v>1233.7</v>
      </c>
      <c r="J693" s="316">
        <f t="shared" si="49"/>
        <v>5.5120678408349644</v>
      </c>
    </row>
    <row r="694" spans="1:11">
      <c r="A694" s="295">
        <v>25</v>
      </c>
      <c r="B694" s="295">
        <f t="shared" si="50"/>
        <v>13</v>
      </c>
      <c r="C694" s="295">
        <v>5.0999999999999996</v>
      </c>
      <c r="D694" s="295" t="s">
        <v>113</v>
      </c>
      <c r="E694" s="295">
        <v>26</v>
      </c>
      <c r="F694" s="316">
        <f t="shared" si="48"/>
        <v>1.0833333333333333</v>
      </c>
      <c r="G694" s="321">
        <v>10.8</v>
      </c>
      <c r="H694" s="321">
        <v>9.8000000000000007</v>
      </c>
      <c r="I694" s="315">
        <f t="shared" si="53"/>
        <v>518.6160000000001</v>
      </c>
      <c r="J694" s="316">
        <f t="shared" si="49"/>
        <v>3.1224434503561262</v>
      </c>
    </row>
    <row r="695" spans="1:11">
      <c r="A695" s="295">
        <v>25</v>
      </c>
      <c r="B695" s="295">
        <f t="shared" si="50"/>
        <v>13</v>
      </c>
      <c r="C695" s="295">
        <v>5.2</v>
      </c>
      <c r="D695" s="295" t="s">
        <v>114</v>
      </c>
      <c r="E695" s="295">
        <v>29</v>
      </c>
      <c r="F695" s="316">
        <f t="shared" si="48"/>
        <v>1.0740740740740742</v>
      </c>
      <c r="G695" s="321">
        <v>10.6</v>
      </c>
      <c r="H695" s="321">
        <v>6.4</v>
      </c>
      <c r="I695" s="315">
        <f t="shared" si="53"/>
        <v>217.08800000000002</v>
      </c>
      <c r="J695" s="316">
        <f t="shared" si="49"/>
        <v>1.3114880866077043</v>
      </c>
    </row>
    <row r="696" spans="1:11">
      <c r="A696" s="295">
        <v>25</v>
      </c>
      <c r="B696" s="295">
        <f t="shared" si="50"/>
        <v>13</v>
      </c>
      <c r="C696" s="295">
        <v>5.3</v>
      </c>
      <c r="D696" s="295" t="s">
        <v>112</v>
      </c>
      <c r="E696" s="295">
        <v>31</v>
      </c>
      <c r="F696" s="316">
        <f t="shared" si="48"/>
        <v>1.1071428571428572</v>
      </c>
      <c r="G696" s="321">
        <v>12.5</v>
      </c>
      <c r="H696" s="321">
        <v>10.3</v>
      </c>
      <c r="I696" s="315">
        <f t="shared" si="53"/>
        <v>663.06250000000011</v>
      </c>
      <c r="J696" s="316">
        <f t="shared" si="49"/>
        <v>2.7944777390043671</v>
      </c>
    </row>
    <row r="697" spans="1:11">
      <c r="A697" s="295">
        <v>25</v>
      </c>
      <c r="B697" s="295">
        <f t="shared" si="50"/>
        <v>13</v>
      </c>
      <c r="C697" s="295">
        <v>5.4</v>
      </c>
      <c r="D697" s="295" t="s">
        <v>113</v>
      </c>
      <c r="E697" s="295">
        <v>26</v>
      </c>
      <c r="F697" s="316">
        <f t="shared" si="48"/>
        <v>1</v>
      </c>
      <c r="G697" s="321">
        <v>11.6</v>
      </c>
      <c r="H697" s="321">
        <v>9.6999999999999993</v>
      </c>
      <c r="I697" s="315">
        <f t="shared" si="53"/>
        <v>545.72199999999987</v>
      </c>
      <c r="J697" s="316">
        <f t="shared" si="49"/>
        <v>3.0512831982107906</v>
      </c>
    </row>
    <row r="698" spans="1:11">
      <c r="A698" s="295">
        <v>25</v>
      </c>
      <c r="B698" s="295">
        <f t="shared" si="50"/>
        <v>13</v>
      </c>
      <c r="C698" s="295">
        <v>5.5</v>
      </c>
      <c r="D698" s="295" t="s">
        <v>114</v>
      </c>
      <c r="E698" s="295">
        <v>23</v>
      </c>
      <c r="F698" s="316">
        <f t="shared" si="48"/>
        <v>1.0454545454545454</v>
      </c>
      <c r="G698" s="321">
        <v>8.1</v>
      </c>
      <c r="H698" s="321">
        <v>6.6</v>
      </c>
      <c r="I698" s="315">
        <f t="shared" si="53"/>
        <v>176.41799999999998</v>
      </c>
      <c r="J698" s="316">
        <f t="shared" si="49"/>
        <v>1.7536231884057967</v>
      </c>
    </row>
    <row r="699" spans="1:11">
      <c r="A699" s="295">
        <v>25</v>
      </c>
      <c r="B699" s="295">
        <f t="shared" si="50"/>
        <v>13</v>
      </c>
      <c r="C699" s="295">
        <v>6.1</v>
      </c>
      <c r="D699" s="295" t="s">
        <v>115</v>
      </c>
      <c r="E699" s="295">
        <v>27</v>
      </c>
      <c r="F699" s="316">
        <f t="shared" si="48"/>
        <v>1.08</v>
      </c>
      <c r="G699" s="321">
        <v>16.100000000000001</v>
      </c>
      <c r="H699" s="321">
        <v>11</v>
      </c>
      <c r="I699" s="315">
        <f t="shared" si="53"/>
        <v>974.05000000000007</v>
      </c>
      <c r="J699" s="316">
        <f t="shared" si="49"/>
        <v>7.2398543184183133</v>
      </c>
    </row>
    <row r="700" spans="1:11">
      <c r="A700" s="295">
        <v>25</v>
      </c>
      <c r="B700" s="295">
        <f t="shared" si="50"/>
        <v>13</v>
      </c>
      <c r="C700" s="295">
        <v>6.2</v>
      </c>
      <c r="D700" s="295" t="s">
        <v>115</v>
      </c>
      <c r="E700" s="295">
        <v>28</v>
      </c>
      <c r="F700" s="316">
        <f t="shared" si="48"/>
        <v>1.037037037037037</v>
      </c>
      <c r="G700" s="321">
        <v>8.3000000000000007</v>
      </c>
      <c r="H700" s="321">
        <v>6.8</v>
      </c>
      <c r="I700" s="315">
        <f t="shared" si="53"/>
        <v>191.89599999999999</v>
      </c>
      <c r="J700" s="316">
        <f t="shared" si="49"/>
        <v>1.5394353146923272</v>
      </c>
      <c r="K700" s="316" t="s">
        <v>153</v>
      </c>
    </row>
    <row r="701" spans="1:11">
      <c r="A701" s="295">
        <v>25</v>
      </c>
      <c r="B701" s="295">
        <f t="shared" si="50"/>
        <v>13</v>
      </c>
      <c r="C701" s="295">
        <v>6.3</v>
      </c>
      <c r="D701" s="295" t="s">
        <v>114</v>
      </c>
      <c r="E701" s="295">
        <v>26</v>
      </c>
      <c r="F701" s="316">
        <f t="shared" si="48"/>
        <v>1.0833333333333333</v>
      </c>
      <c r="G701" s="321">
        <v>8</v>
      </c>
      <c r="H701" s="321">
        <v>8</v>
      </c>
      <c r="I701" s="315">
        <f t="shared" si="53"/>
        <v>256</v>
      </c>
      <c r="J701" s="316">
        <f t="shared" si="49"/>
        <v>1.702337056087351</v>
      </c>
      <c r="K701" s="316" t="s">
        <v>154</v>
      </c>
    </row>
    <row r="702" spans="1:11">
      <c r="A702" s="295">
        <v>25</v>
      </c>
      <c r="B702" s="295">
        <f t="shared" si="50"/>
        <v>13</v>
      </c>
      <c r="C702" s="295">
        <v>6.4</v>
      </c>
      <c r="D702" s="295" t="s">
        <v>112</v>
      </c>
      <c r="E702" s="295">
        <v>31</v>
      </c>
      <c r="F702" s="316">
        <f t="shared" si="48"/>
        <v>1.0689655172413792</v>
      </c>
      <c r="G702" s="321">
        <v>14.1</v>
      </c>
      <c r="H702" s="321">
        <v>10.1</v>
      </c>
      <c r="I702" s="315">
        <f>G702*(H702^2)*0.5</f>
        <v>719.17049999999995</v>
      </c>
      <c r="J702" s="316">
        <f t="shared" si="49"/>
        <v>12.382412190082642</v>
      </c>
    </row>
    <row r="703" spans="1:11">
      <c r="A703" s="295">
        <v>25</v>
      </c>
      <c r="B703" s="295">
        <f t="shared" si="50"/>
        <v>13</v>
      </c>
      <c r="C703" s="295">
        <v>6.5</v>
      </c>
      <c r="D703" s="295" t="s">
        <v>113</v>
      </c>
      <c r="E703" s="295">
        <v>25</v>
      </c>
      <c r="F703" s="316">
        <f t="shared" si="48"/>
        <v>1.0416666666666667</v>
      </c>
      <c r="G703" s="321">
        <v>10.199999999999999</v>
      </c>
      <c r="H703" s="321">
        <v>9.9</v>
      </c>
      <c r="I703" s="315">
        <f t="shared" ref="I703:I722" si="54">G703*(H703^2)*0.5</f>
        <v>499.851</v>
      </c>
      <c r="J703" s="316">
        <f t="shared" si="49"/>
        <v>9.8735999999999997</v>
      </c>
      <c r="K703" s="316" t="s">
        <v>155</v>
      </c>
    </row>
    <row r="704" spans="1:11">
      <c r="A704" s="295">
        <v>25</v>
      </c>
      <c r="B704" s="295">
        <f t="shared" si="50"/>
        <v>13</v>
      </c>
      <c r="C704" s="295">
        <v>7.1</v>
      </c>
      <c r="D704" s="295" t="s">
        <v>114</v>
      </c>
      <c r="E704" s="295">
        <v>27</v>
      </c>
      <c r="F704" s="316">
        <f t="shared" si="48"/>
        <v>1</v>
      </c>
      <c r="G704" s="321">
        <v>8.6</v>
      </c>
      <c r="H704" s="321">
        <v>8.3000000000000007</v>
      </c>
      <c r="I704" s="315">
        <f t="shared" si="54"/>
        <v>296.22700000000003</v>
      </c>
      <c r="J704" s="316">
        <f t="shared" si="49"/>
        <v>2.1942740740740745</v>
      </c>
      <c r="K704" s="316" t="s">
        <v>152</v>
      </c>
    </row>
    <row r="705" spans="1:11">
      <c r="A705" s="295">
        <v>25</v>
      </c>
      <c r="B705" s="295">
        <f t="shared" si="50"/>
        <v>13</v>
      </c>
      <c r="C705" s="295">
        <v>7.2</v>
      </c>
      <c r="D705" s="295" t="s">
        <v>111</v>
      </c>
      <c r="E705" s="295">
        <v>31</v>
      </c>
      <c r="F705" s="316">
        <f t="shared" si="48"/>
        <v>1.0689655172413792</v>
      </c>
      <c r="G705" s="321">
        <v>7.7</v>
      </c>
      <c r="H705" s="321">
        <v>7.4</v>
      </c>
      <c r="I705" s="315">
        <f t="shared" si="54"/>
        <v>210.82600000000002</v>
      </c>
      <c r="J705" s="316">
        <f t="shared" si="49"/>
        <v>13.926938829435858</v>
      </c>
    </row>
    <row r="706" spans="1:11">
      <c r="A706" s="295">
        <v>25</v>
      </c>
      <c r="B706" s="295">
        <f t="shared" si="50"/>
        <v>13</v>
      </c>
      <c r="C706" s="295">
        <v>7.3</v>
      </c>
      <c r="D706" s="295" t="s">
        <v>113</v>
      </c>
      <c r="E706" s="295">
        <v>29</v>
      </c>
      <c r="F706" s="316">
        <f t="shared" si="48"/>
        <v>1.0740740740740742</v>
      </c>
      <c r="G706" s="321">
        <v>7.9</v>
      </c>
      <c r="H706" s="321">
        <v>7.1</v>
      </c>
      <c r="I706" s="315">
        <f t="shared" si="54"/>
        <v>199.11949999999999</v>
      </c>
      <c r="J706" s="316">
        <f t="shared" si="49"/>
        <v>1.3935745079924975</v>
      </c>
    </row>
    <row r="707" spans="1:11">
      <c r="A707" s="295">
        <v>25</v>
      </c>
      <c r="B707" s="295">
        <f t="shared" si="50"/>
        <v>13</v>
      </c>
      <c r="C707" s="295">
        <v>7.4</v>
      </c>
      <c r="D707" s="295" t="s">
        <v>115</v>
      </c>
      <c r="F707" s="316" t="str">
        <f t="shared" si="48"/>
        <v/>
      </c>
      <c r="G707" s="321"/>
      <c r="H707" s="321"/>
      <c r="J707" s="316" t="str">
        <f t="shared" si="49"/>
        <v/>
      </c>
    </row>
    <row r="708" spans="1:11">
      <c r="A708" s="295">
        <v>25</v>
      </c>
      <c r="B708" s="295">
        <f t="shared" si="50"/>
        <v>13</v>
      </c>
      <c r="C708" s="295">
        <v>7.5</v>
      </c>
      <c r="D708" s="295" t="s">
        <v>111</v>
      </c>
      <c r="E708" s="295">
        <v>29</v>
      </c>
      <c r="F708" s="316">
        <f t="shared" si="48"/>
        <v>1</v>
      </c>
      <c r="G708" s="321">
        <v>14</v>
      </c>
      <c r="H708" s="321">
        <v>11</v>
      </c>
      <c r="I708" s="315">
        <f t="shared" si="54"/>
        <v>847</v>
      </c>
      <c r="J708" s="316">
        <f t="shared" si="49"/>
        <v>13.69397917609778</v>
      </c>
    </row>
    <row r="709" spans="1:11">
      <c r="A709" s="295">
        <v>26</v>
      </c>
      <c r="B709" s="295">
        <f t="shared" si="50"/>
        <v>14</v>
      </c>
      <c r="C709" s="295">
        <v>1.1000000000000001</v>
      </c>
      <c r="D709" s="295" t="s">
        <v>112</v>
      </c>
      <c r="E709" s="295">
        <v>30</v>
      </c>
      <c r="F709" s="316">
        <f t="shared" si="48"/>
        <v>1.0714285714285714</v>
      </c>
      <c r="G709" s="321">
        <v>13.3</v>
      </c>
      <c r="H709" s="321">
        <v>11.7</v>
      </c>
      <c r="I709" s="315">
        <f t="shared" si="54"/>
        <v>910.31849999999997</v>
      </c>
      <c r="J709" s="316">
        <f t="shared" si="49"/>
        <v>4.0411184210526319</v>
      </c>
    </row>
    <row r="710" spans="1:11">
      <c r="A710" s="295">
        <v>26</v>
      </c>
      <c r="B710" s="295">
        <f t="shared" si="50"/>
        <v>14</v>
      </c>
      <c r="C710" s="295">
        <v>1.2</v>
      </c>
      <c r="D710" s="295" t="s">
        <v>113</v>
      </c>
      <c r="E710" s="295">
        <v>29</v>
      </c>
      <c r="F710" s="316">
        <f t="shared" si="48"/>
        <v>1.0740740740740742</v>
      </c>
      <c r="G710" s="321">
        <v>9.8000000000000007</v>
      </c>
      <c r="H710" s="321">
        <v>8.5</v>
      </c>
      <c r="I710" s="315">
        <f t="shared" si="54"/>
        <v>354.02500000000003</v>
      </c>
      <c r="J710" s="316">
        <f t="shared" si="49"/>
        <v>1.6922679808701182</v>
      </c>
    </row>
    <row r="711" spans="1:11">
      <c r="A711" s="295">
        <v>26</v>
      </c>
      <c r="B711" s="295">
        <f t="shared" si="50"/>
        <v>14</v>
      </c>
      <c r="C711" s="295">
        <v>1.3</v>
      </c>
      <c r="D711" s="295" t="s">
        <v>115</v>
      </c>
      <c r="E711" s="295">
        <v>24</v>
      </c>
      <c r="F711" s="316">
        <f t="shared" si="48"/>
        <v>1</v>
      </c>
      <c r="G711" s="321">
        <v>11.5</v>
      </c>
      <c r="H711" s="321">
        <v>8.5</v>
      </c>
      <c r="I711" s="315">
        <f t="shared" si="54"/>
        <v>415.4375</v>
      </c>
      <c r="J711" s="316">
        <f t="shared" si="49"/>
        <v>4.1902434842249656</v>
      </c>
    </row>
    <row r="712" spans="1:11">
      <c r="A712" s="295">
        <v>26</v>
      </c>
      <c r="B712" s="295">
        <f t="shared" si="50"/>
        <v>14</v>
      </c>
      <c r="C712" s="295">
        <v>1.4</v>
      </c>
      <c r="D712" s="295" t="s">
        <v>115</v>
      </c>
      <c r="E712" s="295">
        <v>28</v>
      </c>
      <c r="F712" s="316">
        <f t="shared" si="48"/>
        <v>1</v>
      </c>
      <c r="G712" s="321">
        <v>8.6</v>
      </c>
      <c r="H712" s="321">
        <v>7.8</v>
      </c>
      <c r="I712" s="315">
        <f t="shared" si="54"/>
        <v>261.61199999999997</v>
      </c>
      <c r="J712" s="316">
        <f t="shared" si="49"/>
        <v>1.4415790517754412</v>
      </c>
      <c r="K712" s="316" t="s">
        <v>156</v>
      </c>
    </row>
    <row r="713" spans="1:11">
      <c r="A713" s="295">
        <v>26</v>
      </c>
      <c r="B713" s="295">
        <f t="shared" si="50"/>
        <v>14</v>
      </c>
      <c r="C713" s="295">
        <v>1.5</v>
      </c>
      <c r="D713" s="295" t="s">
        <v>112</v>
      </c>
      <c r="E713" s="295">
        <v>28</v>
      </c>
      <c r="F713" s="316">
        <f t="shared" ref="F713:F776" si="55">IF(ISBLANK(E713),"",E713/SUMIFS(E:E,C:C,C713,B:B,"0"))</f>
        <v>1</v>
      </c>
      <c r="G713" s="321">
        <v>12.5</v>
      </c>
      <c r="H713" s="321">
        <v>10.199999999999999</v>
      </c>
      <c r="I713" s="315">
        <f t="shared" si="54"/>
        <v>650.25</v>
      </c>
      <c r="J713" s="316">
        <f t="shared" ref="J713:J776" si="56">IF(ISBLANK(I713),"",I713/SUMIFS(I:I,C:C,C713,B:B,"0"))</f>
        <v>4.669189453125</v>
      </c>
    </row>
    <row r="714" spans="1:11">
      <c r="A714" s="295">
        <v>26</v>
      </c>
      <c r="B714" s="295">
        <f t="shared" ref="B714:B777" si="57">A714-12</f>
        <v>14</v>
      </c>
      <c r="C714" s="295">
        <v>2.1</v>
      </c>
      <c r="D714" s="295" t="s">
        <v>114</v>
      </c>
      <c r="E714" s="295">
        <v>26</v>
      </c>
      <c r="F714" s="316">
        <f t="shared" si="55"/>
        <v>1</v>
      </c>
      <c r="G714" s="321">
        <v>10.4</v>
      </c>
      <c r="H714" s="321">
        <v>7.9</v>
      </c>
      <c r="I714" s="315">
        <f t="shared" si="54"/>
        <v>324.53200000000004</v>
      </c>
      <c r="J714" s="316">
        <f t="shared" si="56"/>
        <v>1.7256878806973324</v>
      </c>
      <c r="K714" s="316" t="s">
        <v>148</v>
      </c>
    </row>
    <row r="715" spans="1:11">
      <c r="A715" s="295">
        <v>26</v>
      </c>
      <c r="B715" s="295">
        <f t="shared" si="57"/>
        <v>14</v>
      </c>
      <c r="C715" s="295">
        <v>2.2000000000000002</v>
      </c>
      <c r="D715" s="295" t="s">
        <v>115</v>
      </c>
      <c r="E715" s="295">
        <v>26</v>
      </c>
      <c r="F715" s="316">
        <f t="shared" si="55"/>
        <v>0.9285714285714286</v>
      </c>
      <c r="G715" s="321">
        <v>5.7</v>
      </c>
      <c r="H715" s="321">
        <v>5.0999999999999996</v>
      </c>
      <c r="I715" s="315">
        <f t="shared" si="54"/>
        <v>74.128500000000003</v>
      </c>
      <c r="J715" s="316">
        <f t="shared" si="56"/>
        <v>0.84500997435166725</v>
      </c>
      <c r="K715" s="316" t="s">
        <v>157</v>
      </c>
    </row>
    <row r="716" spans="1:11">
      <c r="A716" s="295">
        <v>26</v>
      </c>
      <c r="B716" s="295">
        <f t="shared" si="57"/>
        <v>14</v>
      </c>
      <c r="C716" s="295">
        <v>2.2999999999999998</v>
      </c>
      <c r="D716" s="295" t="s">
        <v>112</v>
      </c>
      <c r="E716" s="295">
        <v>26</v>
      </c>
      <c r="F716" s="316">
        <f t="shared" si="55"/>
        <v>1.04</v>
      </c>
      <c r="G716" s="321">
        <v>15</v>
      </c>
      <c r="H716" s="321">
        <v>11.5</v>
      </c>
      <c r="I716" s="315">
        <f t="shared" si="54"/>
        <v>991.875</v>
      </c>
      <c r="J716" s="316">
        <f t="shared" si="56"/>
        <v>5.9718049526470107</v>
      </c>
    </row>
    <row r="717" spans="1:11">
      <c r="A717" s="295">
        <v>26</v>
      </c>
      <c r="B717" s="295">
        <f t="shared" si="57"/>
        <v>14</v>
      </c>
      <c r="C717" s="295">
        <v>2.4</v>
      </c>
      <c r="D717" s="295" t="s">
        <v>114</v>
      </c>
      <c r="E717" s="295">
        <v>29</v>
      </c>
      <c r="F717" s="316">
        <f t="shared" si="55"/>
        <v>1.1599999999999999</v>
      </c>
      <c r="G717" s="321">
        <v>8.3000000000000007</v>
      </c>
      <c r="H717" s="321">
        <v>5.3</v>
      </c>
      <c r="I717" s="315">
        <f t="shared" si="54"/>
        <v>116.57350000000001</v>
      </c>
      <c r="J717" s="316">
        <f t="shared" si="56"/>
        <v>1.0844046511627907</v>
      </c>
      <c r="K717" s="316" t="s">
        <v>158</v>
      </c>
    </row>
    <row r="718" spans="1:11">
      <c r="A718" s="295">
        <v>26</v>
      </c>
      <c r="B718" s="295">
        <f t="shared" si="57"/>
        <v>14</v>
      </c>
      <c r="C718" s="295">
        <v>2.5</v>
      </c>
      <c r="D718" s="295" t="s">
        <v>113</v>
      </c>
      <c r="E718" s="295">
        <v>29</v>
      </c>
      <c r="F718" s="316">
        <f t="shared" si="55"/>
        <v>1.0740740740740742</v>
      </c>
      <c r="G718" s="321">
        <v>8.8000000000000007</v>
      </c>
      <c r="H718" s="321">
        <v>6.3</v>
      </c>
      <c r="I718" s="315">
        <f t="shared" si="54"/>
        <v>174.636</v>
      </c>
      <c r="J718" s="316">
        <f t="shared" si="56"/>
        <v>1.0237656962633808</v>
      </c>
    </row>
    <row r="719" spans="1:11">
      <c r="A719" s="295">
        <v>26</v>
      </c>
      <c r="B719" s="295">
        <f t="shared" si="57"/>
        <v>14</v>
      </c>
      <c r="C719" s="295">
        <v>3.1</v>
      </c>
      <c r="D719" s="295" t="s">
        <v>115</v>
      </c>
      <c r="E719" s="295">
        <v>23</v>
      </c>
      <c r="F719" s="316">
        <f t="shared" si="55"/>
        <v>0.95833333333333337</v>
      </c>
      <c r="G719" s="321">
        <v>4.5</v>
      </c>
      <c r="H719" s="321">
        <v>4.4000000000000004</v>
      </c>
      <c r="I719" s="315">
        <f t="shared" si="54"/>
        <v>43.560000000000009</v>
      </c>
      <c r="J719" s="316">
        <f t="shared" si="56"/>
        <v>0.23976881794413107</v>
      </c>
      <c r="K719" s="316" t="s">
        <v>152</v>
      </c>
    </row>
    <row r="720" spans="1:11">
      <c r="A720" s="295">
        <v>26</v>
      </c>
      <c r="B720" s="295">
        <f t="shared" si="57"/>
        <v>14</v>
      </c>
      <c r="C720" s="295">
        <v>3.2</v>
      </c>
      <c r="D720" s="295" t="s">
        <v>113</v>
      </c>
      <c r="E720" s="295">
        <v>33</v>
      </c>
      <c r="F720" s="316">
        <f t="shared" si="55"/>
        <v>1.1000000000000001</v>
      </c>
      <c r="G720" s="321">
        <v>10.3</v>
      </c>
      <c r="H720" s="321">
        <v>8.9</v>
      </c>
      <c r="I720" s="315">
        <f t="shared" si="54"/>
        <v>407.93150000000009</v>
      </c>
      <c r="J720" s="316">
        <f t="shared" si="56"/>
        <v>2.1257947012965364</v>
      </c>
    </row>
    <row r="721" spans="1:11">
      <c r="A721" s="295">
        <v>26</v>
      </c>
      <c r="B721" s="295">
        <f t="shared" si="57"/>
        <v>14</v>
      </c>
      <c r="C721" s="295">
        <v>3.3</v>
      </c>
      <c r="D721" s="295" t="s">
        <v>114</v>
      </c>
      <c r="E721" s="295">
        <v>25</v>
      </c>
      <c r="F721" s="316">
        <f t="shared" si="55"/>
        <v>1</v>
      </c>
      <c r="G721" s="321">
        <v>10.4</v>
      </c>
      <c r="H721" s="321">
        <v>8.1999999999999993</v>
      </c>
      <c r="I721" s="315">
        <f t="shared" si="54"/>
        <v>349.64799999999997</v>
      </c>
      <c r="J721" s="316">
        <f t="shared" si="56"/>
        <v>1.6989698736637511</v>
      </c>
    </row>
    <row r="722" spans="1:11">
      <c r="A722" s="295">
        <v>26</v>
      </c>
      <c r="B722" s="295">
        <f t="shared" si="57"/>
        <v>14</v>
      </c>
      <c r="C722" s="295">
        <v>3.4</v>
      </c>
      <c r="D722" s="295" t="s">
        <v>114</v>
      </c>
      <c r="E722" s="295">
        <v>26</v>
      </c>
      <c r="F722" s="316">
        <f t="shared" si="55"/>
        <v>1.04</v>
      </c>
      <c r="G722" s="321">
        <v>11</v>
      </c>
      <c r="H722" s="321">
        <v>8.9</v>
      </c>
      <c r="I722" s="315">
        <f t="shared" si="54"/>
        <v>435.65500000000003</v>
      </c>
      <c r="J722" s="316">
        <f t="shared" si="56"/>
        <v>1.8579939951210358</v>
      </c>
      <c r="K722" s="316" t="s">
        <v>154</v>
      </c>
    </row>
    <row r="723" spans="1:11">
      <c r="A723" s="295">
        <v>26</v>
      </c>
      <c r="B723" s="295">
        <f t="shared" si="57"/>
        <v>14</v>
      </c>
      <c r="C723" s="295">
        <v>3.5</v>
      </c>
      <c r="D723" s="295" t="s">
        <v>115</v>
      </c>
      <c r="F723" s="316" t="str">
        <f t="shared" si="55"/>
        <v/>
      </c>
      <c r="G723" s="321"/>
      <c r="H723" s="321"/>
      <c r="J723" s="316" t="str">
        <f t="shared" si="56"/>
        <v/>
      </c>
    </row>
    <row r="724" spans="1:11">
      <c r="A724" s="295">
        <v>26</v>
      </c>
      <c r="B724" s="295">
        <f t="shared" si="57"/>
        <v>14</v>
      </c>
      <c r="C724" s="295">
        <v>4.0999999999999996</v>
      </c>
      <c r="D724" s="295" t="s">
        <v>111</v>
      </c>
      <c r="F724" s="316" t="str">
        <f t="shared" si="55"/>
        <v/>
      </c>
      <c r="G724" s="321"/>
      <c r="H724" s="321"/>
      <c r="J724" s="316" t="str">
        <f t="shared" si="56"/>
        <v/>
      </c>
    </row>
    <row r="725" spans="1:11">
      <c r="A725" s="295">
        <v>26</v>
      </c>
      <c r="B725" s="295">
        <f t="shared" si="57"/>
        <v>14</v>
      </c>
      <c r="C725" s="295">
        <v>4.2</v>
      </c>
      <c r="D725" s="295" t="s">
        <v>112</v>
      </c>
      <c r="E725" s="295">
        <v>32</v>
      </c>
      <c r="F725" s="316">
        <f t="shared" si="55"/>
        <v>1.103448275862069</v>
      </c>
      <c r="G725" s="321">
        <v>13.7</v>
      </c>
      <c r="H725" s="321">
        <v>10.9</v>
      </c>
      <c r="I725" s="315">
        <f t="shared" ref="I725:I734" si="58">G725*(H725^2)*0.5</f>
        <v>813.84849999999994</v>
      </c>
      <c r="J725" s="316">
        <f t="shared" si="56"/>
        <v>2.4451790360475667</v>
      </c>
    </row>
    <row r="726" spans="1:11">
      <c r="A726" s="295">
        <v>26</v>
      </c>
      <c r="B726" s="295">
        <f t="shared" si="57"/>
        <v>14</v>
      </c>
      <c r="C726" s="295">
        <v>4.3</v>
      </c>
      <c r="D726" s="295" t="s">
        <v>113</v>
      </c>
      <c r="E726" s="295">
        <v>29</v>
      </c>
      <c r="F726" s="316">
        <f t="shared" si="55"/>
        <v>1.1153846153846154</v>
      </c>
      <c r="G726" s="321">
        <v>11.7</v>
      </c>
      <c r="H726" s="321">
        <v>9.1</v>
      </c>
      <c r="I726" s="315">
        <f t="shared" si="58"/>
        <v>484.43849999999992</v>
      </c>
      <c r="J726" s="316">
        <f t="shared" si="56"/>
        <v>3.4785622989430141</v>
      </c>
    </row>
    <row r="727" spans="1:11">
      <c r="A727" s="295">
        <v>26</v>
      </c>
      <c r="B727" s="295">
        <f t="shared" si="57"/>
        <v>14</v>
      </c>
      <c r="C727" s="295">
        <v>4.4000000000000004</v>
      </c>
      <c r="D727" s="295" t="s">
        <v>112</v>
      </c>
      <c r="E727" s="295">
        <v>31</v>
      </c>
      <c r="F727" s="316">
        <f t="shared" si="55"/>
        <v>1</v>
      </c>
      <c r="G727" s="321">
        <v>19.8</v>
      </c>
      <c r="H727" s="321">
        <v>12.6</v>
      </c>
      <c r="I727" s="315">
        <f t="shared" si="58"/>
        <v>1571.7239999999999</v>
      </c>
      <c r="J727" s="316">
        <f t="shared" si="56"/>
        <v>8.3596782128847806</v>
      </c>
    </row>
    <row r="728" spans="1:11">
      <c r="A728" s="295">
        <v>26</v>
      </c>
      <c r="B728" s="295">
        <f t="shared" si="57"/>
        <v>14</v>
      </c>
      <c r="C728" s="295">
        <v>4.5</v>
      </c>
      <c r="D728" s="295" t="s">
        <v>112</v>
      </c>
      <c r="E728" s="295">
        <v>29</v>
      </c>
      <c r="F728" s="316">
        <f t="shared" si="55"/>
        <v>1.0740740740740742</v>
      </c>
      <c r="G728" s="321">
        <v>13.8</v>
      </c>
      <c r="H728" s="321">
        <v>13.1</v>
      </c>
      <c r="I728" s="315">
        <f t="shared" si="58"/>
        <v>1184.1089999999999</v>
      </c>
      <c r="J728" s="316">
        <f t="shared" si="56"/>
        <v>5.290499423638849</v>
      </c>
    </row>
    <row r="729" spans="1:11">
      <c r="A729" s="295">
        <v>26</v>
      </c>
      <c r="B729" s="295">
        <f t="shared" si="57"/>
        <v>14</v>
      </c>
      <c r="C729" s="295">
        <v>5.0999999999999996</v>
      </c>
      <c r="D729" s="295" t="s">
        <v>113</v>
      </c>
      <c r="E729" s="295">
        <v>27</v>
      </c>
      <c r="F729" s="316">
        <f t="shared" si="55"/>
        <v>1.125</v>
      </c>
      <c r="G729" s="321">
        <v>9.6</v>
      </c>
      <c r="H729" s="321">
        <v>8.3000000000000007</v>
      </c>
      <c r="I729" s="315">
        <f t="shared" si="58"/>
        <v>330.67200000000008</v>
      </c>
      <c r="J729" s="316">
        <f t="shared" si="56"/>
        <v>1.9908846248788332</v>
      </c>
    </row>
    <row r="730" spans="1:11">
      <c r="A730" s="295">
        <v>26</v>
      </c>
      <c r="B730" s="295">
        <f t="shared" si="57"/>
        <v>14</v>
      </c>
      <c r="C730" s="295">
        <v>5.2</v>
      </c>
      <c r="D730" s="295" t="s">
        <v>114</v>
      </c>
      <c r="E730" s="295">
        <v>28</v>
      </c>
      <c r="F730" s="316">
        <f t="shared" si="55"/>
        <v>1.037037037037037</v>
      </c>
      <c r="G730" s="321">
        <v>8.5</v>
      </c>
      <c r="H730" s="321">
        <v>6.2</v>
      </c>
      <c r="I730" s="315">
        <f t="shared" si="58"/>
        <v>163.37000000000003</v>
      </c>
      <c r="J730" s="316">
        <f t="shared" si="56"/>
        <v>0.98696293074283548</v>
      </c>
    </row>
    <row r="731" spans="1:11">
      <c r="A731" s="295">
        <v>26</v>
      </c>
      <c r="B731" s="295">
        <f t="shared" si="57"/>
        <v>14</v>
      </c>
      <c r="C731" s="295">
        <v>5.3</v>
      </c>
      <c r="D731" s="295" t="s">
        <v>112</v>
      </c>
      <c r="E731" s="295">
        <v>32</v>
      </c>
      <c r="F731" s="316">
        <f t="shared" si="55"/>
        <v>1.1428571428571428</v>
      </c>
      <c r="G731" s="321">
        <v>11.6</v>
      </c>
      <c r="H731" s="321">
        <v>10.6</v>
      </c>
      <c r="I731" s="315">
        <f t="shared" si="58"/>
        <v>651.68799999999999</v>
      </c>
      <c r="J731" s="316">
        <f t="shared" si="56"/>
        <v>2.7465398944688886</v>
      </c>
    </row>
    <row r="732" spans="1:11">
      <c r="A732" s="295">
        <v>26</v>
      </c>
      <c r="B732" s="295">
        <f t="shared" si="57"/>
        <v>14</v>
      </c>
      <c r="C732" s="295">
        <v>5.4</v>
      </c>
      <c r="D732" s="295" t="s">
        <v>113</v>
      </c>
      <c r="E732" s="295">
        <v>26</v>
      </c>
      <c r="F732" s="316">
        <f t="shared" si="55"/>
        <v>1</v>
      </c>
      <c r="G732" s="321">
        <v>8.9</v>
      </c>
      <c r="H732" s="321">
        <v>6.8</v>
      </c>
      <c r="I732" s="315">
        <f t="shared" si="58"/>
        <v>205.76799999999997</v>
      </c>
      <c r="J732" s="316">
        <f t="shared" si="56"/>
        <v>1.1505060106234273</v>
      </c>
    </row>
    <row r="733" spans="1:11">
      <c r="A733" s="295">
        <v>26</v>
      </c>
      <c r="B733" s="295">
        <f t="shared" si="57"/>
        <v>14</v>
      </c>
      <c r="C733" s="295">
        <v>5.5</v>
      </c>
      <c r="D733" s="295" t="s">
        <v>114</v>
      </c>
      <c r="E733" s="295">
        <v>23</v>
      </c>
      <c r="F733" s="316">
        <f t="shared" si="55"/>
        <v>1.0454545454545454</v>
      </c>
      <c r="G733" s="321">
        <v>7.5</v>
      </c>
      <c r="H733" s="321">
        <v>6.9</v>
      </c>
      <c r="I733" s="315">
        <f t="shared" si="58"/>
        <v>178.53750000000002</v>
      </c>
      <c r="J733" s="316">
        <f t="shared" si="56"/>
        <v>1.7746913580246912</v>
      </c>
    </row>
    <row r="734" spans="1:11">
      <c r="A734" s="295">
        <v>26</v>
      </c>
      <c r="B734" s="295">
        <f t="shared" si="57"/>
        <v>14</v>
      </c>
      <c r="C734" s="295">
        <v>6.1</v>
      </c>
      <c r="D734" s="295" t="s">
        <v>115</v>
      </c>
      <c r="E734" s="295">
        <v>28</v>
      </c>
      <c r="F734" s="316">
        <f t="shared" si="55"/>
        <v>1.1200000000000001</v>
      </c>
      <c r="G734" s="321">
        <v>12.5</v>
      </c>
      <c r="H734" s="321">
        <v>10.6</v>
      </c>
      <c r="I734" s="315">
        <f t="shared" si="58"/>
        <v>702.25</v>
      </c>
      <c r="J734" s="316">
        <f t="shared" si="56"/>
        <v>5.2196372825925366</v>
      </c>
    </row>
    <row r="735" spans="1:11">
      <c r="A735" s="295">
        <v>26</v>
      </c>
      <c r="B735" s="295">
        <f t="shared" si="57"/>
        <v>14</v>
      </c>
      <c r="C735" s="295">
        <v>6.2</v>
      </c>
      <c r="D735" s="295" t="s">
        <v>115</v>
      </c>
      <c r="F735" s="316" t="str">
        <f t="shared" si="55"/>
        <v/>
      </c>
      <c r="G735" s="321"/>
      <c r="H735" s="321"/>
      <c r="J735" s="316" t="str">
        <f t="shared" si="56"/>
        <v/>
      </c>
    </row>
    <row r="736" spans="1:11">
      <c r="A736" s="295">
        <v>26</v>
      </c>
      <c r="B736" s="295">
        <f t="shared" si="57"/>
        <v>14</v>
      </c>
      <c r="C736" s="295">
        <v>6.3</v>
      </c>
      <c r="D736" s="295" t="s">
        <v>114</v>
      </c>
      <c r="F736" s="316" t="str">
        <f t="shared" si="55"/>
        <v/>
      </c>
      <c r="G736" s="321"/>
      <c r="H736" s="321"/>
      <c r="J736" s="316" t="str">
        <f t="shared" si="56"/>
        <v/>
      </c>
    </row>
    <row r="737" spans="1:11">
      <c r="A737" s="295">
        <v>26</v>
      </c>
      <c r="B737" s="295">
        <f t="shared" si="57"/>
        <v>14</v>
      </c>
      <c r="C737" s="295">
        <v>6.4</v>
      </c>
      <c r="D737" s="295" t="s">
        <v>112</v>
      </c>
      <c r="E737" s="295">
        <v>32</v>
      </c>
      <c r="F737" s="316">
        <f t="shared" si="55"/>
        <v>1.103448275862069</v>
      </c>
      <c r="G737" s="321">
        <v>9.5</v>
      </c>
      <c r="H737" s="321">
        <v>8.3000000000000007</v>
      </c>
      <c r="I737" s="315">
        <f>G737*(H737^2)*0.5</f>
        <v>327.22750000000008</v>
      </c>
      <c r="J737" s="316">
        <f t="shared" si="56"/>
        <v>5.6340823002754821</v>
      </c>
    </row>
    <row r="738" spans="1:11">
      <c r="A738" s="295">
        <v>26</v>
      </c>
      <c r="B738" s="295">
        <f t="shared" si="57"/>
        <v>14</v>
      </c>
      <c r="C738" s="295">
        <v>6.5</v>
      </c>
      <c r="D738" s="295" t="s">
        <v>113</v>
      </c>
      <c r="E738" s="295">
        <v>20</v>
      </c>
      <c r="F738" s="316">
        <f t="shared" si="55"/>
        <v>0.83333333333333337</v>
      </c>
      <c r="G738" s="321">
        <v>9.6</v>
      </c>
      <c r="H738" s="321">
        <v>9.5</v>
      </c>
      <c r="I738" s="315">
        <f t="shared" ref="I738:I741" si="59">G738*(H738^2)*0.5</f>
        <v>433.2</v>
      </c>
      <c r="J738" s="316">
        <f t="shared" si="56"/>
        <v>8.5570370370370377</v>
      </c>
      <c r="K738" s="316" t="s">
        <v>155</v>
      </c>
    </row>
    <row r="739" spans="1:11">
      <c r="A739" s="295">
        <v>26</v>
      </c>
      <c r="B739" s="295">
        <f t="shared" si="57"/>
        <v>14</v>
      </c>
      <c r="C739" s="295">
        <v>7.1</v>
      </c>
      <c r="D739" s="295" t="s">
        <v>114</v>
      </c>
      <c r="E739" s="295">
        <v>28</v>
      </c>
      <c r="F739" s="316">
        <f t="shared" si="55"/>
        <v>1.037037037037037</v>
      </c>
      <c r="G739" s="321">
        <v>9.1</v>
      </c>
      <c r="H739" s="321">
        <v>8</v>
      </c>
      <c r="I739" s="315">
        <f t="shared" si="59"/>
        <v>291.2</v>
      </c>
      <c r="J739" s="316">
        <f t="shared" si="56"/>
        <v>2.1570370370370369</v>
      </c>
      <c r="K739" s="316" t="s">
        <v>152</v>
      </c>
    </row>
    <row r="740" spans="1:11">
      <c r="A740" s="295">
        <v>26</v>
      </c>
      <c r="B740" s="295">
        <f t="shared" si="57"/>
        <v>14</v>
      </c>
      <c r="C740" s="295">
        <v>7.2</v>
      </c>
      <c r="D740" s="295" t="s">
        <v>111</v>
      </c>
      <c r="E740" s="295">
        <v>31</v>
      </c>
      <c r="F740" s="316">
        <f t="shared" si="55"/>
        <v>1.0689655172413792</v>
      </c>
      <c r="G740" s="321">
        <v>7.4</v>
      </c>
      <c r="H740" s="321">
        <v>6.9</v>
      </c>
      <c r="I740" s="315">
        <f t="shared" si="59"/>
        <v>176.15700000000004</v>
      </c>
      <c r="J740" s="316">
        <f t="shared" si="56"/>
        <v>11.636741973840669</v>
      </c>
    </row>
    <row r="741" spans="1:11">
      <c r="A741" s="295">
        <v>26</v>
      </c>
      <c r="B741" s="295">
        <f t="shared" si="57"/>
        <v>14</v>
      </c>
      <c r="C741" s="295">
        <v>7.3</v>
      </c>
      <c r="D741" s="295" t="s">
        <v>113</v>
      </c>
      <c r="E741" s="295">
        <v>29</v>
      </c>
      <c r="F741" s="316">
        <f t="shared" si="55"/>
        <v>1.0740740740740742</v>
      </c>
      <c r="G741" s="321">
        <v>7.7</v>
      </c>
      <c r="H741" s="321">
        <v>7.7</v>
      </c>
      <c r="I741" s="315">
        <f t="shared" si="59"/>
        <v>228.26650000000004</v>
      </c>
      <c r="J741" s="316">
        <f t="shared" si="56"/>
        <v>1.5975651577503434</v>
      </c>
    </row>
    <row r="742" spans="1:11">
      <c r="A742" s="295">
        <v>26</v>
      </c>
      <c r="B742" s="295">
        <f t="shared" si="57"/>
        <v>14</v>
      </c>
      <c r="C742" s="295">
        <v>7.4</v>
      </c>
      <c r="D742" s="295" t="s">
        <v>115</v>
      </c>
      <c r="F742" s="316" t="str">
        <f t="shared" si="55"/>
        <v/>
      </c>
      <c r="G742" s="321"/>
      <c r="H742" s="321"/>
      <c r="J742" s="316" t="str">
        <f t="shared" si="56"/>
        <v/>
      </c>
    </row>
    <row r="743" spans="1:11">
      <c r="A743" s="295">
        <v>26</v>
      </c>
      <c r="B743" s="295">
        <f t="shared" si="57"/>
        <v>14</v>
      </c>
      <c r="C743" s="295">
        <v>7.5</v>
      </c>
      <c r="D743" s="295" t="s">
        <v>111</v>
      </c>
      <c r="E743" s="295">
        <v>28</v>
      </c>
      <c r="F743" s="316">
        <f t="shared" si="55"/>
        <v>0.96551724137931039</v>
      </c>
      <c r="G743" s="321">
        <v>14.2</v>
      </c>
      <c r="H743" s="321">
        <v>11.7</v>
      </c>
      <c r="I743" s="315">
        <f t="shared" ref="I743:I756" si="60">G743*(H743^2)*0.5</f>
        <v>971.91899999999987</v>
      </c>
      <c r="J743" s="316">
        <f t="shared" si="56"/>
        <v>15.713622841621934</v>
      </c>
    </row>
    <row r="744" spans="1:11">
      <c r="A744" s="295">
        <v>27</v>
      </c>
      <c r="B744" s="295">
        <f t="shared" si="57"/>
        <v>15</v>
      </c>
      <c r="C744" s="295">
        <v>1.1000000000000001</v>
      </c>
      <c r="D744" s="295" t="s">
        <v>112</v>
      </c>
      <c r="E744" s="295">
        <v>30</v>
      </c>
      <c r="F744" s="316">
        <f t="shared" si="55"/>
        <v>1.0714285714285714</v>
      </c>
      <c r="G744" s="321">
        <v>14.6</v>
      </c>
      <c r="H744" s="321">
        <v>13.1</v>
      </c>
      <c r="I744" s="315">
        <f t="shared" si="60"/>
        <v>1252.7529999999999</v>
      </c>
      <c r="J744" s="316">
        <f t="shared" si="56"/>
        <v>5.561265892463954</v>
      </c>
    </row>
    <row r="745" spans="1:11">
      <c r="A745" s="295">
        <v>27</v>
      </c>
      <c r="B745" s="295">
        <f t="shared" si="57"/>
        <v>15</v>
      </c>
      <c r="C745" s="295">
        <v>1.2</v>
      </c>
      <c r="D745" s="295" t="s">
        <v>113</v>
      </c>
      <c r="E745" s="295">
        <v>28</v>
      </c>
      <c r="F745" s="316">
        <f t="shared" si="55"/>
        <v>1.037037037037037</v>
      </c>
      <c r="G745" s="321">
        <v>11</v>
      </c>
      <c r="H745" s="321">
        <v>9.3000000000000007</v>
      </c>
      <c r="I745" s="315">
        <f t="shared" si="60"/>
        <v>475.69500000000005</v>
      </c>
      <c r="J745" s="316">
        <f t="shared" si="56"/>
        <v>2.2738603690700114</v>
      </c>
    </row>
    <row r="746" spans="1:11">
      <c r="A746" s="295">
        <v>27</v>
      </c>
      <c r="B746" s="295">
        <f t="shared" si="57"/>
        <v>15</v>
      </c>
      <c r="C746" s="295">
        <v>1.3</v>
      </c>
      <c r="D746" s="295" t="s">
        <v>115</v>
      </c>
      <c r="E746" s="295">
        <v>24</v>
      </c>
      <c r="F746" s="316">
        <f t="shared" si="55"/>
        <v>1</v>
      </c>
      <c r="G746" s="321">
        <v>11.4</v>
      </c>
      <c r="H746" s="321">
        <v>9.1</v>
      </c>
      <c r="I746" s="315">
        <f t="shared" si="60"/>
        <v>472.01699999999994</v>
      </c>
      <c r="J746" s="316">
        <f t="shared" si="56"/>
        <v>4.7609235052045502</v>
      </c>
    </row>
    <row r="747" spans="1:11">
      <c r="A747" s="295">
        <v>27</v>
      </c>
      <c r="B747" s="295">
        <f t="shared" si="57"/>
        <v>15</v>
      </c>
      <c r="C747" s="295">
        <v>1.4</v>
      </c>
      <c r="D747" s="295" t="s">
        <v>115</v>
      </c>
      <c r="F747" s="316" t="str">
        <f t="shared" si="55"/>
        <v/>
      </c>
      <c r="G747" s="321"/>
      <c r="H747" s="321"/>
      <c r="J747" s="316" t="str">
        <f t="shared" si="56"/>
        <v/>
      </c>
    </row>
    <row r="748" spans="1:11">
      <c r="A748" s="295">
        <v>27</v>
      </c>
      <c r="B748" s="295">
        <f t="shared" si="57"/>
        <v>15</v>
      </c>
      <c r="C748" s="295">
        <v>1.5</v>
      </c>
      <c r="D748" s="295" t="s">
        <v>112</v>
      </c>
      <c r="E748" s="295">
        <v>27</v>
      </c>
      <c r="F748" s="316">
        <f t="shared" si="55"/>
        <v>0.9642857142857143</v>
      </c>
      <c r="G748" s="321">
        <v>11.1</v>
      </c>
      <c r="H748" s="321">
        <v>9.4</v>
      </c>
      <c r="I748" s="315">
        <f t="shared" si="60"/>
        <v>490.39800000000008</v>
      </c>
      <c r="J748" s="316">
        <f t="shared" si="56"/>
        <v>3.5213551240808827</v>
      </c>
    </row>
    <row r="749" spans="1:11">
      <c r="A749" s="295">
        <v>27</v>
      </c>
      <c r="B749" s="295">
        <f t="shared" si="57"/>
        <v>15</v>
      </c>
      <c r="C749" s="295">
        <v>2.1</v>
      </c>
      <c r="D749" s="295" t="s">
        <v>114</v>
      </c>
      <c r="E749" s="295">
        <v>29</v>
      </c>
      <c r="F749" s="316">
        <f t="shared" si="55"/>
        <v>1.1153846153846154</v>
      </c>
      <c r="G749" s="321">
        <v>9.3000000000000007</v>
      </c>
      <c r="H749" s="321">
        <v>7</v>
      </c>
      <c r="I749" s="315">
        <f t="shared" si="60"/>
        <v>227.85000000000002</v>
      </c>
      <c r="J749" s="316">
        <f t="shared" si="56"/>
        <v>1.2115846314597241</v>
      </c>
    </row>
    <row r="750" spans="1:11">
      <c r="A750" s="295">
        <v>27</v>
      </c>
      <c r="B750" s="295">
        <f t="shared" si="57"/>
        <v>15</v>
      </c>
      <c r="C750" s="295">
        <v>2.2000000000000002</v>
      </c>
      <c r="D750" s="295" t="s">
        <v>115</v>
      </c>
      <c r="F750" s="316" t="str">
        <f t="shared" si="55"/>
        <v/>
      </c>
      <c r="G750" s="321"/>
      <c r="H750" s="321"/>
      <c r="J750" s="316" t="str">
        <f t="shared" si="56"/>
        <v/>
      </c>
    </row>
    <row r="751" spans="1:11">
      <c r="A751" s="295">
        <v>27</v>
      </c>
      <c r="B751" s="295">
        <f t="shared" si="57"/>
        <v>15</v>
      </c>
      <c r="C751" s="295">
        <v>2.2999999999999998</v>
      </c>
      <c r="D751" s="295" t="s">
        <v>112</v>
      </c>
      <c r="E751" s="295">
        <v>25</v>
      </c>
      <c r="F751" s="316">
        <f t="shared" si="55"/>
        <v>1</v>
      </c>
      <c r="G751" s="321">
        <v>14.2</v>
      </c>
      <c r="H751" s="321">
        <v>11.6</v>
      </c>
      <c r="I751" s="315">
        <f t="shared" si="60"/>
        <v>955.37599999999998</v>
      </c>
      <c r="J751" s="316">
        <f t="shared" si="56"/>
        <v>5.7520545718362595</v>
      </c>
    </row>
    <row r="752" spans="1:11">
      <c r="A752" s="295">
        <v>27</v>
      </c>
      <c r="B752" s="295">
        <f t="shared" si="57"/>
        <v>15</v>
      </c>
      <c r="C752" s="295">
        <v>2.4</v>
      </c>
      <c r="D752" s="295" t="s">
        <v>114</v>
      </c>
      <c r="E752" s="295">
        <v>25</v>
      </c>
      <c r="F752" s="316">
        <f t="shared" si="55"/>
        <v>1</v>
      </c>
      <c r="G752" s="321">
        <v>8.1999999999999993</v>
      </c>
      <c r="H752" s="321">
        <v>6.9</v>
      </c>
      <c r="I752" s="315">
        <f t="shared" si="60"/>
        <v>195.20100000000002</v>
      </c>
      <c r="J752" s="316">
        <f t="shared" si="56"/>
        <v>1.8158232558139538</v>
      </c>
      <c r="K752" s="316" t="s">
        <v>152</v>
      </c>
    </row>
    <row r="753" spans="1:11">
      <c r="A753" s="295">
        <v>27</v>
      </c>
      <c r="B753" s="295">
        <f t="shared" si="57"/>
        <v>15</v>
      </c>
      <c r="C753" s="295">
        <v>2.5</v>
      </c>
      <c r="D753" s="295" t="s">
        <v>113</v>
      </c>
      <c r="E753" s="295">
        <v>28</v>
      </c>
      <c r="F753" s="316">
        <f t="shared" si="55"/>
        <v>1.037037037037037</v>
      </c>
      <c r="G753" s="321">
        <v>9.6999999999999993</v>
      </c>
      <c r="H753" s="321">
        <v>8.6</v>
      </c>
      <c r="I753" s="315">
        <f t="shared" si="60"/>
        <v>358.70599999999996</v>
      </c>
      <c r="J753" s="316">
        <f t="shared" si="56"/>
        <v>2.1028361726325167</v>
      </c>
    </row>
    <row r="754" spans="1:11">
      <c r="A754" s="295">
        <v>27</v>
      </c>
      <c r="B754" s="295">
        <f t="shared" si="57"/>
        <v>15</v>
      </c>
      <c r="C754" s="295">
        <v>3.1</v>
      </c>
      <c r="D754" s="295" t="s">
        <v>115</v>
      </c>
      <c r="E754" s="295">
        <v>24</v>
      </c>
      <c r="F754" s="316">
        <f t="shared" si="55"/>
        <v>1</v>
      </c>
      <c r="G754" s="321">
        <v>5.5</v>
      </c>
      <c r="H754" s="321">
        <v>5.3</v>
      </c>
      <c r="I754" s="315">
        <f t="shared" si="60"/>
        <v>77.247500000000002</v>
      </c>
      <c r="J754" s="316">
        <f t="shared" si="56"/>
        <v>0.42519609192238894</v>
      </c>
    </row>
    <row r="755" spans="1:11">
      <c r="A755" s="295">
        <v>27</v>
      </c>
      <c r="B755" s="295">
        <f t="shared" si="57"/>
        <v>15</v>
      </c>
      <c r="C755" s="295">
        <v>3.2</v>
      </c>
      <c r="D755" s="295" t="s">
        <v>113</v>
      </c>
      <c r="E755" s="295">
        <v>31</v>
      </c>
      <c r="F755" s="316">
        <f t="shared" si="55"/>
        <v>1.0333333333333334</v>
      </c>
      <c r="G755" s="321">
        <v>9.4</v>
      </c>
      <c r="H755" s="321">
        <v>8.9</v>
      </c>
      <c r="I755" s="315">
        <f t="shared" si="60"/>
        <v>372.28700000000003</v>
      </c>
      <c r="J755" s="316">
        <f t="shared" si="56"/>
        <v>1.9400456497269358</v>
      </c>
    </row>
    <row r="756" spans="1:11">
      <c r="A756" s="295">
        <v>27</v>
      </c>
      <c r="B756" s="295">
        <f t="shared" si="57"/>
        <v>15</v>
      </c>
      <c r="C756" s="295">
        <v>3.3</v>
      </c>
      <c r="D756" s="295" t="s">
        <v>114</v>
      </c>
      <c r="E756" s="295">
        <v>26</v>
      </c>
      <c r="F756" s="316">
        <f t="shared" si="55"/>
        <v>1.04</v>
      </c>
      <c r="G756" s="321">
        <v>9.6999999999999993</v>
      </c>
      <c r="H756" s="321">
        <v>9.6999999999999993</v>
      </c>
      <c r="I756" s="315">
        <f t="shared" si="60"/>
        <v>456.33649999999989</v>
      </c>
      <c r="J756" s="316">
        <f t="shared" si="56"/>
        <v>2.2173785228377056</v>
      </c>
    </row>
    <row r="757" spans="1:11">
      <c r="A757" s="295">
        <v>27</v>
      </c>
      <c r="B757" s="295">
        <f t="shared" si="57"/>
        <v>15</v>
      </c>
      <c r="C757" s="295">
        <v>3.4</v>
      </c>
      <c r="D757" s="295" t="s">
        <v>114</v>
      </c>
      <c r="F757" s="316" t="str">
        <f t="shared" si="55"/>
        <v/>
      </c>
      <c r="G757" s="321"/>
      <c r="H757" s="321"/>
      <c r="J757" s="316" t="str">
        <f t="shared" si="56"/>
        <v/>
      </c>
    </row>
    <row r="758" spans="1:11">
      <c r="A758" s="295">
        <v>27</v>
      </c>
      <c r="B758" s="295">
        <f t="shared" si="57"/>
        <v>15</v>
      </c>
      <c r="C758" s="295">
        <v>3.5</v>
      </c>
      <c r="D758" s="295" t="s">
        <v>115</v>
      </c>
      <c r="F758" s="316" t="str">
        <f t="shared" si="55"/>
        <v/>
      </c>
      <c r="G758" s="321"/>
      <c r="H758" s="321"/>
      <c r="J758" s="316" t="str">
        <f t="shared" si="56"/>
        <v/>
      </c>
    </row>
    <row r="759" spans="1:11">
      <c r="A759" s="295">
        <v>27</v>
      </c>
      <c r="B759" s="295">
        <f t="shared" si="57"/>
        <v>15</v>
      </c>
      <c r="C759" s="295">
        <v>4.0999999999999996</v>
      </c>
      <c r="D759" s="295" t="s">
        <v>111</v>
      </c>
      <c r="F759" s="316" t="str">
        <f t="shared" si="55"/>
        <v/>
      </c>
      <c r="G759" s="321"/>
      <c r="H759" s="321"/>
      <c r="J759" s="316" t="str">
        <f t="shared" si="56"/>
        <v/>
      </c>
    </row>
    <row r="760" spans="1:11">
      <c r="A760" s="295">
        <v>27</v>
      </c>
      <c r="B760" s="295">
        <f t="shared" si="57"/>
        <v>15</v>
      </c>
      <c r="C760" s="295">
        <v>4.2</v>
      </c>
      <c r="D760" s="295" t="s">
        <v>112</v>
      </c>
      <c r="E760" s="295">
        <v>32</v>
      </c>
      <c r="F760" s="316">
        <f t="shared" si="55"/>
        <v>1.103448275862069</v>
      </c>
      <c r="G760" s="321">
        <v>13.5</v>
      </c>
      <c r="H760" s="321">
        <v>12.5</v>
      </c>
      <c r="I760" s="315">
        <f t="shared" ref="I760:I769" si="61">G760*(H760^2)*0.5</f>
        <v>1054.6875</v>
      </c>
      <c r="J760" s="316">
        <f t="shared" si="56"/>
        <v>3.168771294143097</v>
      </c>
    </row>
    <row r="761" spans="1:11">
      <c r="A761" s="295">
        <v>27</v>
      </c>
      <c r="B761" s="295">
        <f t="shared" si="57"/>
        <v>15</v>
      </c>
      <c r="C761" s="295">
        <v>4.3</v>
      </c>
      <c r="D761" s="295" t="s">
        <v>113</v>
      </c>
      <c r="E761" s="295">
        <v>28</v>
      </c>
      <c r="F761" s="316">
        <f t="shared" si="55"/>
        <v>1.0769230769230769</v>
      </c>
      <c r="G761" s="321">
        <v>10</v>
      </c>
      <c r="H761" s="321">
        <v>8.1</v>
      </c>
      <c r="I761" s="315">
        <f t="shared" si="61"/>
        <v>328.05</v>
      </c>
      <c r="J761" s="316">
        <f t="shared" si="56"/>
        <v>2.3555980009191178</v>
      </c>
    </row>
    <row r="762" spans="1:11">
      <c r="A762" s="295">
        <v>27</v>
      </c>
      <c r="B762" s="295">
        <f t="shared" si="57"/>
        <v>15</v>
      </c>
      <c r="C762" s="295">
        <v>4.4000000000000004</v>
      </c>
      <c r="D762" s="295" t="s">
        <v>112</v>
      </c>
      <c r="E762" s="295">
        <v>31</v>
      </c>
      <c r="F762" s="316">
        <f t="shared" si="55"/>
        <v>1</v>
      </c>
      <c r="G762" s="321">
        <v>18.5</v>
      </c>
      <c r="H762" s="321">
        <v>13.1</v>
      </c>
      <c r="I762" s="315">
        <f t="shared" si="61"/>
        <v>1587.3924999999999</v>
      </c>
      <c r="J762" s="316">
        <f t="shared" si="56"/>
        <v>8.4430157569310538</v>
      </c>
    </row>
    <row r="763" spans="1:11">
      <c r="A763" s="295">
        <v>27</v>
      </c>
      <c r="B763" s="295">
        <f t="shared" si="57"/>
        <v>15</v>
      </c>
      <c r="C763" s="295">
        <v>4.5</v>
      </c>
      <c r="D763" s="295" t="s">
        <v>112</v>
      </c>
      <c r="E763" s="295">
        <v>29</v>
      </c>
      <c r="F763" s="316">
        <f t="shared" si="55"/>
        <v>1.0740740740740742</v>
      </c>
      <c r="G763" s="321">
        <v>16</v>
      </c>
      <c r="H763" s="321">
        <v>13</v>
      </c>
      <c r="I763" s="315">
        <f t="shared" si="61"/>
        <v>1352</v>
      </c>
      <c r="J763" s="316">
        <f t="shared" si="56"/>
        <v>6.0406222913259882</v>
      </c>
    </row>
    <row r="764" spans="1:11">
      <c r="A764" s="295">
        <v>27</v>
      </c>
      <c r="B764" s="295">
        <f t="shared" si="57"/>
        <v>15</v>
      </c>
      <c r="C764" s="295">
        <v>5.0999999999999996</v>
      </c>
      <c r="D764" s="295" t="s">
        <v>113</v>
      </c>
      <c r="E764" s="295">
        <v>25</v>
      </c>
      <c r="F764" s="316">
        <f t="shared" si="55"/>
        <v>1.0416666666666667</v>
      </c>
      <c r="G764" s="321">
        <v>8.6999999999999993</v>
      </c>
      <c r="H764" s="321">
        <v>7.9</v>
      </c>
      <c r="I764" s="315">
        <f t="shared" si="61"/>
        <v>271.48349999999999</v>
      </c>
      <c r="J764" s="316">
        <f t="shared" si="56"/>
        <v>1.6345270420788351</v>
      </c>
    </row>
    <row r="765" spans="1:11">
      <c r="A765" s="295">
        <v>27</v>
      </c>
      <c r="B765" s="295">
        <f t="shared" si="57"/>
        <v>15</v>
      </c>
      <c r="C765" s="295">
        <v>5.2</v>
      </c>
      <c r="D765" s="295" t="s">
        <v>114</v>
      </c>
      <c r="E765" s="295">
        <v>28</v>
      </c>
      <c r="F765" s="316">
        <f t="shared" si="55"/>
        <v>1.037037037037037</v>
      </c>
      <c r="G765" s="321">
        <v>9.1</v>
      </c>
      <c r="H765" s="321">
        <v>8.8000000000000007</v>
      </c>
      <c r="I765" s="315">
        <f t="shared" si="61"/>
        <v>352.35200000000003</v>
      </c>
      <c r="J765" s="316">
        <f t="shared" si="56"/>
        <v>2.1286549707602345</v>
      </c>
    </row>
    <row r="766" spans="1:11">
      <c r="A766" s="295">
        <v>27</v>
      </c>
      <c r="B766" s="295">
        <f t="shared" si="57"/>
        <v>15</v>
      </c>
      <c r="C766" s="295">
        <v>5.3</v>
      </c>
      <c r="D766" s="295" t="s">
        <v>112</v>
      </c>
      <c r="E766" s="295">
        <v>32</v>
      </c>
      <c r="F766" s="316">
        <f t="shared" si="55"/>
        <v>1.1428571428571428</v>
      </c>
      <c r="G766" s="321">
        <v>12.7</v>
      </c>
      <c r="H766" s="321">
        <v>11.6</v>
      </c>
      <c r="I766" s="315">
        <f t="shared" si="61"/>
        <v>854.45600000000002</v>
      </c>
      <c r="J766" s="316">
        <f t="shared" si="56"/>
        <v>3.6011058851295541</v>
      </c>
    </row>
    <row r="767" spans="1:11">
      <c r="A767" s="295">
        <v>27</v>
      </c>
      <c r="B767" s="295">
        <f t="shared" si="57"/>
        <v>15</v>
      </c>
      <c r="C767" s="295">
        <v>5.4</v>
      </c>
      <c r="D767" s="295" t="s">
        <v>113</v>
      </c>
      <c r="E767" s="295">
        <v>26</v>
      </c>
      <c r="F767" s="316">
        <f t="shared" si="55"/>
        <v>1</v>
      </c>
      <c r="G767" s="321">
        <v>8.4</v>
      </c>
      <c r="H767" s="321">
        <v>7.9</v>
      </c>
      <c r="I767" s="315">
        <f t="shared" si="61"/>
        <v>262.12200000000001</v>
      </c>
      <c r="J767" s="316">
        <f t="shared" si="56"/>
        <v>1.4655968688845402</v>
      </c>
    </row>
    <row r="768" spans="1:11">
      <c r="A768" s="295">
        <v>27</v>
      </c>
      <c r="B768" s="295">
        <f t="shared" si="57"/>
        <v>15</v>
      </c>
      <c r="C768" s="295">
        <v>5.5</v>
      </c>
      <c r="D768" s="295" t="s">
        <v>114</v>
      </c>
      <c r="E768" s="295">
        <v>23</v>
      </c>
      <c r="F768" s="316">
        <f t="shared" si="55"/>
        <v>1.0454545454545454</v>
      </c>
      <c r="G768" s="321">
        <v>7.2</v>
      </c>
      <c r="H768" s="321">
        <v>6</v>
      </c>
      <c r="I768" s="315">
        <f t="shared" si="61"/>
        <v>129.6</v>
      </c>
      <c r="J768" s="316">
        <f t="shared" si="56"/>
        <v>1.2882447665056358</v>
      </c>
      <c r="K768" s="316" t="s">
        <v>152</v>
      </c>
    </row>
    <row r="769" spans="1:10">
      <c r="A769" s="295">
        <v>27</v>
      </c>
      <c r="B769" s="295">
        <f t="shared" si="57"/>
        <v>15</v>
      </c>
      <c r="C769" s="295">
        <v>6.1</v>
      </c>
      <c r="D769" s="295" t="s">
        <v>115</v>
      </c>
      <c r="E769" s="295">
        <v>27</v>
      </c>
      <c r="F769" s="316">
        <f t="shared" si="55"/>
        <v>1.08</v>
      </c>
      <c r="G769" s="321">
        <v>7.7</v>
      </c>
      <c r="H769" s="321">
        <v>7.3</v>
      </c>
      <c r="I769" s="315">
        <f t="shared" si="61"/>
        <v>205.16650000000001</v>
      </c>
      <c r="J769" s="316">
        <f t="shared" si="56"/>
        <v>1.5249479708636835</v>
      </c>
    </row>
    <row r="770" spans="1:10">
      <c r="A770" s="295">
        <v>27</v>
      </c>
      <c r="B770" s="295">
        <f t="shared" si="57"/>
        <v>15</v>
      </c>
      <c r="C770" s="295">
        <v>6.2</v>
      </c>
      <c r="D770" s="295" t="s">
        <v>115</v>
      </c>
      <c r="F770" s="316" t="str">
        <f t="shared" si="55"/>
        <v/>
      </c>
      <c r="G770" s="321"/>
      <c r="H770" s="321"/>
      <c r="J770" s="316" t="str">
        <f t="shared" si="56"/>
        <v/>
      </c>
    </row>
    <row r="771" spans="1:10">
      <c r="A771" s="295">
        <v>27</v>
      </c>
      <c r="B771" s="295">
        <f t="shared" si="57"/>
        <v>15</v>
      </c>
      <c r="C771" s="295">
        <v>6.3</v>
      </c>
      <c r="D771" s="295" t="s">
        <v>114</v>
      </c>
      <c r="F771" s="316" t="str">
        <f t="shared" si="55"/>
        <v/>
      </c>
      <c r="G771" s="321"/>
      <c r="H771" s="321"/>
      <c r="J771" s="316" t="str">
        <f t="shared" si="56"/>
        <v/>
      </c>
    </row>
    <row r="772" spans="1:10">
      <c r="A772" s="295">
        <v>27</v>
      </c>
      <c r="B772" s="295">
        <f t="shared" si="57"/>
        <v>15</v>
      </c>
      <c r="C772" s="295">
        <v>6.4</v>
      </c>
      <c r="D772" s="295" t="s">
        <v>112</v>
      </c>
      <c r="E772" s="295">
        <v>31</v>
      </c>
      <c r="F772" s="316">
        <f t="shared" si="55"/>
        <v>1.0689655172413792</v>
      </c>
      <c r="G772" s="321">
        <v>8.5</v>
      </c>
      <c r="H772" s="321">
        <v>8.3000000000000007</v>
      </c>
      <c r="I772" s="315">
        <f>G772*(H772^2)*0.5</f>
        <v>292.78250000000008</v>
      </c>
      <c r="J772" s="316">
        <f t="shared" si="56"/>
        <v>5.0410210055096423</v>
      </c>
    </row>
    <row r="773" spans="1:10">
      <c r="A773" s="295">
        <v>27</v>
      </c>
      <c r="B773" s="295">
        <f t="shared" si="57"/>
        <v>15</v>
      </c>
      <c r="C773" s="295">
        <v>6.5</v>
      </c>
      <c r="D773" s="295" t="s">
        <v>113</v>
      </c>
      <c r="E773" s="295">
        <v>20</v>
      </c>
      <c r="F773" s="316">
        <f t="shared" si="55"/>
        <v>0.83333333333333337</v>
      </c>
      <c r="G773" s="321">
        <v>9.9</v>
      </c>
      <c r="H773" s="321">
        <v>9.3000000000000007</v>
      </c>
      <c r="I773" s="315">
        <f t="shared" ref="I773:I776" si="62">G773*(H773^2)*0.5</f>
        <v>428.12550000000005</v>
      </c>
      <c r="J773" s="316">
        <f t="shared" si="56"/>
        <v>8.4568000000000012</v>
      </c>
    </row>
    <row r="774" spans="1:10">
      <c r="A774" s="295">
        <v>27</v>
      </c>
      <c r="B774" s="295">
        <f t="shared" si="57"/>
        <v>15</v>
      </c>
      <c r="C774" s="295">
        <v>7.1</v>
      </c>
      <c r="D774" s="295" t="s">
        <v>114</v>
      </c>
      <c r="E774" s="295">
        <v>28</v>
      </c>
      <c r="F774" s="316">
        <f t="shared" si="55"/>
        <v>1.037037037037037</v>
      </c>
      <c r="G774" s="321">
        <v>7.9</v>
      </c>
      <c r="H774" s="321">
        <v>7.9</v>
      </c>
      <c r="I774" s="315">
        <f t="shared" si="62"/>
        <v>246.51950000000002</v>
      </c>
      <c r="J774" s="316">
        <f t="shared" si="56"/>
        <v>1.8260703703703705</v>
      </c>
    </row>
    <row r="775" spans="1:10">
      <c r="A775" s="295">
        <v>27</v>
      </c>
      <c r="B775" s="295">
        <f t="shared" si="57"/>
        <v>15</v>
      </c>
      <c r="C775" s="295">
        <v>7.2</v>
      </c>
      <c r="D775" s="295" t="s">
        <v>111</v>
      </c>
      <c r="E775" s="295">
        <v>31</v>
      </c>
      <c r="F775" s="316">
        <f t="shared" si="55"/>
        <v>1.0689655172413792</v>
      </c>
      <c r="G775" s="321">
        <v>6</v>
      </c>
      <c r="H775" s="321">
        <v>6.8</v>
      </c>
      <c r="I775" s="315">
        <f t="shared" si="62"/>
        <v>138.71999999999997</v>
      </c>
      <c r="J775" s="316">
        <f t="shared" si="56"/>
        <v>9.1636940150614326</v>
      </c>
    </row>
    <row r="776" spans="1:10">
      <c r="A776" s="295">
        <v>27</v>
      </c>
      <c r="B776" s="295">
        <f t="shared" si="57"/>
        <v>15</v>
      </c>
      <c r="C776" s="295">
        <v>7.3</v>
      </c>
      <c r="D776" s="295" t="s">
        <v>113</v>
      </c>
      <c r="E776" s="295">
        <v>28</v>
      </c>
      <c r="F776" s="316">
        <f t="shared" si="55"/>
        <v>1.037037037037037</v>
      </c>
      <c r="G776" s="321">
        <v>6.9</v>
      </c>
      <c r="H776" s="321">
        <v>6.5</v>
      </c>
      <c r="I776" s="315">
        <f t="shared" si="62"/>
        <v>145.76250000000002</v>
      </c>
      <c r="J776" s="316">
        <f t="shared" si="56"/>
        <v>1.0201457126060303</v>
      </c>
    </row>
    <row r="777" spans="1:10">
      <c r="A777" s="295">
        <v>27</v>
      </c>
      <c r="B777" s="295">
        <f t="shared" si="57"/>
        <v>15</v>
      </c>
      <c r="C777" s="295">
        <v>7.4</v>
      </c>
      <c r="D777" s="295" t="s">
        <v>115</v>
      </c>
      <c r="F777" s="316" t="str">
        <f t="shared" ref="F777:F840" si="63">IF(ISBLANK(E777),"",E777/SUMIFS(E:E,C:C,C777,B:B,"0"))</f>
        <v/>
      </c>
      <c r="G777" s="321"/>
      <c r="H777" s="321"/>
      <c r="J777" s="316" t="str">
        <f t="shared" ref="J777:J840" si="64">IF(ISBLANK(I777),"",I777/SUMIFS(I:I,C:C,C777,B:B,"0"))</f>
        <v/>
      </c>
    </row>
    <row r="778" spans="1:10">
      <c r="A778" s="295">
        <v>27</v>
      </c>
      <c r="B778" s="295">
        <f t="shared" ref="B778:B841" si="65">A778-12</f>
        <v>15</v>
      </c>
      <c r="C778" s="295">
        <v>7.5</v>
      </c>
      <c r="D778" s="295" t="s">
        <v>111</v>
      </c>
      <c r="E778" s="295">
        <v>29</v>
      </c>
      <c r="F778" s="316">
        <f t="shared" si="63"/>
        <v>1</v>
      </c>
      <c r="G778" s="321">
        <v>14</v>
      </c>
      <c r="H778" s="321">
        <v>11.3</v>
      </c>
      <c r="I778" s="315">
        <f t="shared" ref="I778:I781" si="66">G778*(H778^2)*0.5</f>
        <v>893.83</v>
      </c>
      <c r="J778" s="316">
        <f t="shared" si="64"/>
        <v>14.451109099139883</v>
      </c>
    </row>
    <row r="779" spans="1:10">
      <c r="A779" s="295">
        <v>28</v>
      </c>
      <c r="B779" s="295">
        <f t="shared" si="65"/>
        <v>16</v>
      </c>
      <c r="C779" s="295">
        <v>1.1000000000000001</v>
      </c>
      <c r="D779" s="295" t="s">
        <v>112</v>
      </c>
      <c r="E779" s="295">
        <v>29</v>
      </c>
      <c r="F779" s="316">
        <f t="shared" si="63"/>
        <v>1.0357142857142858</v>
      </c>
      <c r="G779" s="321">
        <v>13.6</v>
      </c>
      <c r="H779" s="321">
        <v>12.5</v>
      </c>
      <c r="I779" s="315">
        <f t="shared" si="66"/>
        <v>1062.5</v>
      </c>
      <c r="J779" s="316">
        <f t="shared" si="64"/>
        <v>4.7166879749982247</v>
      </c>
    </row>
    <row r="780" spans="1:10">
      <c r="A780" s="295">
        <v>28</v>
      </c>
      <c r="B780" s="295">
        <f t="shared" si="65"/>
        <v>16</v>
      </c>
      <c r="C780" s="295">
        <v>1.2</v>
      </c>
      <c r="D780" s="295" t="s">
        <v>113</v>
      </c>
      <c r="E780" s="295">
        <v>27</v>
      </c>
      <c r="F780" s="316">
        <f t="shared" si="63"/>
        <v>1</v>
      </c>
      <c r="G780" s="321">
        <v>10.199999999999999</v>
      </c>
      <c r="H780" s="321">
        <v>9.1</v>
      </c>
      <c r="I780" s="315">
        <f t="shared" si="66"/>
        <v>422.3309999999999</v>
      </c>
      <c r="J780" s="316">
        <f t="shared" si="64"/>
        <v>2.0187761560027049</v>
      </c>
    </row>
    <row r="781" spans="1:10">
      <c r="A781" s="295">
        <v>28</v>
      </c>
      <c r="B781" s="295">
        <f t="shared" si="65"/>
        <v>16</v>
      </c>
      <c r="C781" s="295">
        <v>1.3</v>
      </c>
      <c r="D781" s="295" t="s">
        <v>115</v>
      </c>
      <c r="E781" s="295">
        <v>23</v>
      </c>
      <c r="F781" s="316">
        <f t="shared" si="63"/>
        <v>0.95833333333333337</v>
      </c>
      <c r="G781" s="321">
        <v>11.8</v>
      </c>
      <c r="H781" s="321">
        <v>8.8000000000000007</v>
      </c>
      <c r="I781" s="315">
        <f t="shared" si="66"/>
        <v>456.89600000000007</v>
      </c>
      <c r="J781" s="316">
        <f t="shared" si="64"/>
        <v>4.6084079722423956</v>
      </c>
    </row>
    <row r="782" spans="1:10">
      <c r="A782" s="295">
        <v>28</v>
      </c>
      <c r="B782" s="295">
        <f t="shared" si="65"/>
        <v>16</v>
      </c>
      <c r="C782" s="295">
        <v>1.4</v>
      </c>
      <c r="D782" s="295" t="s">
        <v>115</v>
      </c>
      <c r="F782" s="316" t="str">
        <f t="shared" si="63"/>
        <v/>
      </c>
      <c r="G782" s="321"/>
      <c r="H782" s="321"/>
      <c r="J782" s="316" t="str">
        <f t="shared" si="64"/>
        <v/>
      </c>
    </row>
    <row r="783" spans="1:10">
      <c r="A783" s="295">
        <v>28</v>
      </c>
      <c r="B783" s="295">
        <f t="shared" si="65"/>
        <v>16</v>
      </c>
      <c r="C783" s="295">
        <v>1.5</v>
      </c>
      <c r="D783" s="295" t="s">
        <v>112</v>
      </c>
      <c r="E783" s="295">
        <v>28</v>
      </c>
      <c r="F783" s="316">
        <f t="shared" si="63"/>
        <v>1</v>
      </c>
      <c r="G783" s="321">
        <v>11.8</v>
      </c>
      <c r="H783" s="321">
        <v>9.4</v>
      </c>
      <c r="I783" s="315">
        <f t="shared" ref="I783:I784" si="67">G783*(H783^2)*0.5</f>
        <v>521.32400000000007</v>
      </c>
      <c r="J783" s="316">
        <f t="shared" si="64"/>
        <v>3.7434225643382355</v>
      </c>
    </row>
    <row r="784" spans="1:10">
      <c r="A784" s="295">
        <v>28</v>
      </c>
      <c r="B784" s="295">
        <f t="shared" si="65"/>
        <v>16</v>
      </c>
      <c r="C784" s="295">
        <v>2.1</v>
      </c>
      <c r="D784" s="295" t="s">
        <v>114</v>
      </c>
      <c r="E784" s="295">
        <v>29</v>
      </c>
      <c r="F784" s="316">
        <f t="shared" si="63"/>
        <v>1.1153846153846154</v>
      </c>
      <c r="G784" s="321">
        <v>10.3</v>
      </c>
      <c r="H784" s="321">
        <v>8.6999999999999993</v>
      </c>
      <c r="I784" s="315">
        <f t="shared" si="67"/>
        <v>389.80349999999993</v>
      </c>
      <c r="J784" s="316">
        <f t="shared" si="64"/>
        <v>2.0727668636787815</v>
      </c>
    </row>
    <row r="785" spans="1:11">
      <c r="A785" s="295">
        <v>28</v>
      </c>
      <c r="B785" s="295">
        <f t="shared" si="65"/>
        <v>16</v>
      </c>
      <c r="C785" s="295">
        <v>2.2000000000000002</v>
      </c>
      <c r="D785" s="295" t="s">
        <v>115</v>
      </c>
      <c r="F785" s="316" t="str">
        <f t="shared" si="63"/>
        <v/>
      </c>
      <c r="G785" s="321"/>
      <c r="H785" s="321"/>
      <c r="J785" s="316" t="str">
        <f t="shared" si="64"/>
        <v/>
      </c>
    </row>
    <row r="786" spans="1:11">
      <c r="A786" s="295">
        <v>28</v>
      </c>
      <c r="B786" s="295">
        <f t="shared" si="65"/>
        <v>16</v>
      </c>
      <c r="C786" s="295">
        <v>2.2999999999999998</v>
      </c>
      <c r="D786" s="295" t="s">
        <v>112</v>
      </c>
      <c r="E786" s="295">
        <v>26</v>
      </c>
      <c r="F786" s="316">
        <f t="shared" si="63"/>
        <v>1.04</v>
      </c>
      <c r="G786" s="321">
        <v>15.7</v>
      </c>
      <c r="H786" s="321">
        <v>12.2</v>
      </c>
      <c r="I786" s="315">
        <f t="shared" ref="I786:I791" si="68">G786*(H786^2)*0.5</f>
        <v>1168.3939999999998</v>
      </c>
      <c r="J786" s="316">
        <f t="shared" si="64"/>
        <v>7.0345770140824699</v>
      </c>
      <c r="K786" s="316" t="s">
        <v>159</v>
      </c>
    </row>
    <row r="787" spans="1:11">
      <c r="A787" s="295">
        <v>28</v>
      </c>
      <c r="B787" s="295">
        <f t="shared" si="65"/>
        <v>16</v>
      </c>
      <c r="C787" s="295">
        <v>2.4</v>
      </c>
      <c r="D787" s="295" t="s">
        <v>114</v>
      </c>
      <c r="E787" s="295">
        <v>25</v>
      </c>
      <c r="F787" s="316">
        <f t="shared" si="63"/>
        <v>1</v>
      </c>
      <c r="G787" s="321">
        <v>7.8</v>
      </c>
      <c r="H787" s="321">
        <v>7.4</v>
      </c>
      <c r="I787" s="315">
        <f t="shared" si="68"/>
        <v>213.56400000000002</v>
      </c>
      <c r="J787" s="316">
        <f t="shared" si="64"/>
        <v>1.9866418604651164</v>
      </c>
    </row>
    <row r="788" spans="1:11">
      <c r="A788" s="295">
        <v>28</v>
      </c>
      <c r="B788" s="295">
        <f t="shared" si="65"/>
        <v>16</v>
      </c>
      <c r="C788" s="295">
        <v>2.5</v>
      </c>
      <c r="D788" s="295" t="s">
        <v>113</v>
      </c>
      <c r="E788" s="295">
        <v>28</v>
      </c>
      <c r="F788" s="316">
        <f t="shared" si="63"/>
        <v>1.037037037037037</v>
      </c>
      <c r="G788" s="321">
        <v>8.6</v>
      </c>
      <c r="H788" s="321">
        <v>7.4</v>
      </c>
      <c r="I788" s="315">
        <f t="shared" si="68"/>
        <v>235.46800000000002</v>
      </c>
      <c r="J788" s="316">
        <f t="shared" si="64"/>
        <v>1.3803801104454165</v>
      </c>
    </row>
    <row r="789" spans="1:11">
      <c r="A789" s="295">
        <v>28</v>
      </c>
      <c r="B789" s="295">
        <f t="shared" si="65"/>
        <v>16</v>
      </c>
      <c r="C789" s="295">
        <v>3.1</v>
      </c>
      <c r="D789" s="295" t="s">
        <v>115</v>
      </c>
      <c r="E789" s="295">
        <v>23</v>
      </c>
      <c r="F789" s="316">
        <f t="shared" si="63"/>
        <v>0.95833333333333337</v>
      </c>
      <c r="G789" s="321">
        <v>5.3</v>
      </c>
      <c r="H789" s="321">
        <v>5</v>
      </c>
      <c r="I789" s="315">
        <f t="shared" si="68"/>
        <v>66.25</v>
      </c>
      <c r="J789" s="316">
        <f t="shared" si="64"/>
        <v>0.36466217146002483</v>
      </c>
    </row>
    <row r="790" spans="1:11">
      <c r="A790" s="295">
        <v>28</v>
      </c>
      <c r="B790" s="295">
        <f t="shared" si="65"/>
        <v>16</v>
      </c>
      <c r="C790" s="295">
        <v>3.2</v>
      </c>
      <c r="D790" s="295" t="s">
        <v>113</v>
      </c>
      <c r="E790" s="295">
        <v>31</v>
      </c>
      <c r="F790" s="316">
        <f t="shared" si="63"/>
        <v>1.0333333333333334</v>
      </c>
      <c r="G790" s="321">
        <v>8.3000000000000007</v>
      </c>
      <c r="H790" s="321">
        <v>6.7</v>
      </c>
      <c r="I790" s="315">
        <f t="shared" si="68"/>
        <v>186.29350000000002</v>
      </c>
      <c r="J790" s="316">
        <f t="shared" si="64"/>
        <v>0.97080449826989634</v>
      </c>
    </row>
    <row r="791" spans="1:11">
      <c r="A791" s="295">
        <v>28</v>
      </c>
      <c r="B791" s="295">
        <f t="shared" si="65"/>
        <v>16</v>
      </c>
      <c r="C791" s="295">
        <v>3.3</v>
      </c>
      <c r="D791" s="295" t="s">
        <v>114</v>
      </c>
      <c r="E791" s="295">
        <v>25</v>
      </c>
      <c r="F791" s="316">
        <f t="shared" si="63"/>
        <v>1</v>
      </c>
      <c r="G791" s="321">
        <v>9.6999999999999993</v>
      </c>
      <c r="H791" s="321">
        <v>8.4</v>
      </c>
      <c r="I791" s="315">
        <f t="shared" si="68"/>
        <v>342.21600000000001</v>
      </c>
      <c r="J791" s="316">
        <f t="shared" si="64"/>
        <v>1.6628571428571428</v>
      </c>
    </row>
    <row r="792" spans="1:11">
      <c r="A792" s="295">
        <v>28</v>
      </c>
      <c r="B792" s="295">
        <f t="shared" si="65"/>
        <v>16</v>
      </c>
      <c r="C792" s="295">
        <v>3.4</v>
      </c>
      <c r="D792" s="295" t="s">
        <v>114</v>
      </c>
      <c r="F792" s="316" t="str">
        <f t="shared" si="63"/>
        <v/>
      </c>
      <c r="G792" s="321"/>
      <c r="H792" s="321"/>
      <c r="J792" s="316" t="str">
        <f t="shared" si="64"/>
        <v/>
      </c>
    </row>
    <row r="793" spans="1:11">
      <c r="A793" s="295">
        <v>28</v>
      </c>
      <c r="B793" s="295">
        <f t="shared" si="65"/>
        <v>16</v>
      </c>
      <c r="C793" s="295">
        <v>3.5</v>
      </c>
      <c r="D793" s="295" t="s">
        <v>115</v>
      </c>
      <c r="F793" s="316" t="str">
        <f t="shared" si="63"/>
        <v/>
      </c>
      <c r="G793" s="321"/>
      <c r="H793" s="321"/>
      <c r="J793" s="316" t="str">
        <f t="shared" si="64"/>
        <v/>
      </c>
    </row>
    <row r="794" spans="1:11">
      <c r="A794" s="295">
        <v>28</v>
      </c>
      <c r="B794" s="295">
        <f t="shared" si="65"/>
        <v>16</v>
      </c>
      <c r="C794" s="295">
        <v>4.0999999999999996</v>
      </c>
      <c r="D794" s="295" t="s">
        <v>111</v>
      </c>
      <c r="F794" s="316" t="str">
        <f t="shared" si="63"/>
        <v/>
      </c>
      <c r="G794" s="321"/>
      <c r="H794" s="321"/>
      <c r="J794" s="316" t="str">
        <f t="shared" si="64"/>
        <v/>
      </c>
    </row>
    <row r="795" spans="1:11">
      <c r="A795" s="295">
        <v>28</v>
      </c>
      <c r="B795" s="295">
        <f t="shared" si="65"/>
        <v>16</v>
      </c>
      <c r="C795" s="295">
        <v>4.2</v>
      </c>
      <c r="D795" s="295" t="s">
        <v>112</v>
      </c>
      <c r="E795" s="295">
        <v>31</v>
      </c>
      <c r="F795" s="316">
        <f t="shared" si="63"/>
        <v>1.0689655172413792</v>
      </c>
      <c r="G795" s="321">
        <v>14.2</v>
      </c>
      <c r="H795" s="321">
        <v>10.7</v>
      </c>
      <c r="I795" s="315">
        <f t="shared" ref="I795:I804" si="69">G795*(H795^2)*0.5</f>
        <v>812.87899999999979</v>
      </c>
      <c r="J795" s="316">
        <f t="shared" si="64"/>
        <v>2.4422662075844701</v>
      </c>
    </row>
    <row r="796" spans="1:11">
      <c r="A796" s="295">
        <v>28</v>
      </c>
      <c r="B796" s="295">
        <f t="shared" si="65"/>
        <v>16</v>
      </c>
      <c r="C796" s="295">
        <v>4.3</v>
      </c>
      <c r="D796" s="295" t="s">
        <v>113</v>
      </c>
      <c r="E796" s="295">
        <v>27</v>
      </c>
      <c r="F796" s="316">
        <f t="shared" si="63"/>
        <v>1.0384615384615385</v>
      </c>
      <c r="G796" s="321">
        <v>9.5</v>
      </c>
      <c r="H796" s="321">
        <v>8.4</v>
      </c>
      <c r="I796" s="315">
        <f t="shared" si="69"/>
        <v>335.16</v>
      </c>
      <c r="J796" s="316">
        <f t="shared" si="64"/>
        <v>2.4066521139705883</v>
      </c>
    </row>
    <row r="797" spans="1:11">
      <c r="A797" s="295">
        <v>28</v>
      </c>
      <c r="B797" s="295">
        <f t="shared" si="65"/>
        <v>16</v>
      </c>
      <c r="C797" s="295">
        <v>4.4000000000000004</v>
      </c>
      <c r="D797" s="295" t="s">
        <v>112</v>
      </c>
      <c r="E797" s="295">
        <v>30</v>
      </c>
      <c r="F797" s="316">
        <f t="shared" si="63"/>
        <v>0.967741935483871</v>
      </c>
      <c r="G797" s="321">
        <v>18.5</v>
      </c>
      <c r="H797" s="321">
        <v>13.7</v>
      </c>
      <c r="I797" s="315">
        <f t="shared" si="69"/>
        <v>1736.1324999999997</v>
      </c>
      <c r="J797" s="316">
        <f t="shared" si="64"/>
        <v>9.2341333687919658</v>
      </c>
      <c r="K797" s="316" t="s">
        <v>160</v>
      </c>
    </row>
    <row r="798" spans="1:11">
      <c r="A798" s="295">
        <v>28</v>
      </c>
      <c r="B798" s="295">
        <f t="shared" si="65"/>
        <v>16</v>
      </c>
      <c r="C798" s="295">
        <v>4.5</v>
      </c>
      <c r="D798" s="295" t="s">
        <v>112</v>
      </c>
      <c r="E798" s="295">
        <v>28</v>
      </c>
      <c r="F798" s="316">
        <f t="shared" si="63"/>
        <v>1.037037037037037</v>
      </c>
      <c r="G798" s="321">
        <v>14.9</v>
      </c>
      <c r="H798" s="321">
        <v>13.8</v>
      </c>
      <c r="I798" s="315">
        <f t="shared" si="69"/>
        <v>1418.7780000000002</v>
      </c>
      <c r="J798" s="316">
        <f t="shared" si="64"/>
        <v>6.3389807790258166</v>
      </c>
    </row>
    <row r="799" spans="1:11">
      <c r="A799" s="295">
        <v>28</v>
      </c>
      <c r="B799" s="295">
        <f t="shared" si="65"/>
        <v>16</v>
      </c>
      <c r="C799" s="295">
        <v>5.0999999999999996</v>
      </c>
      <c r="D799" s="295" t="s">
        <v>113</v>
      </c>
      <c r="E799" s="295">
        <v>25</v>
      </c>
      <c r="F799" s="316">
        <f t="shared" si="63"/>
        <v>1.0416666666666667</v>
      </c>
      <c r="G799" s="321">
        <v>10.199999999999999</v>
      </c>
      <c r="H799" s="321">
        <v>7.8</v>
      </c>
      <c r="I799" s="315">
        <f t="shared" si="69"/>
        <v>310.28399999999993</v>
      </c>
      <c r="J799" s="316">
        <f t="shared" si="64"/>
        <v>1.8681341176328918</v>
      </c>
    </row>
    <row r="800" spans="1:11">
      <c r="A800" s="295">
        <v>28</v>
      </c>
      <c r="B800" s="295">
        <f t="shared" si="65"/>
        <v>16</v>
      </c>
      <c r="C800" s="295">
        <v>5.2</v>
      </c>
      <c r="D800" s="295" t="s">
        <v>114</v>
      </c>
      <c r="E800" s="295">
        <v>28</v>
      </c>
      <c r="F800" s="316">
        <f t="shared" si="63"/>
        <v>1.037037037037037</v>
      </c>
      <c r="G800" s="321">
        <v>9.3000000000000007</v>
      </c>
      <c r="H800" s="321">
        <v>6.9</v>
      </c>
      <c r="I800" s="315">
        <f t="shared" si="69"/>
        <v>221.38650000000004</v>
      </c>
      <c r="J800" s="316">
        <f t="shared" si="64"/>
        <v>1.3374565028273169</v>
      </c>
    </row>
    <row r="801" spans="1:11">
      <c r="A801" s="295">
        <v>28</v>
      </c>
      <c r="B801" s="295">
        <f t="shared" si="65"/>
        <v>16</v>
      </c>
      <c r="C801" s="295">
        <v>5.3</v>
      </c>
      <c r="D801" s="295" t="s">
        <v>112</v>
      </c>
      <c r="E801" s="295">
        <v>32</v>
      </c>
      <c r="F801" s="316">
        <f t="shared" si="63"/>
        <v>1.1428571428571428</v>
      </c>
      <c r="G801" s="321">
        <v>12</v>
      </c>
      <c r="H801" s="321">
        <v>11.7</v>
      </c>
      <c r="I801" s="315">
        <f t="shared" si="69"/>
        <v>821.33999999999992</v>
      </c>
      <c r="J801" s="316">
        <f t="shared" si="64"/>
        <v>3.4615384615384617</v>
      </c>
    </row>
    <row r="802" spans="1:11">
      <c r="A802" s="295">
        <v>28</v>
      </c>
      <c r="B802" s="295">
        <f t="shared" si="65"/>
        <v>16</v>
      </c>
      <c r="C802" s="295">
        <v>5.4</v>
      </c>
      <c r="D802" s="295" t="s">
        <v>113</v>
      </c>
      <c r="E802" s="295">
        <v>26</v>
      </c>
      <c r="F802" s="316">
        <f t="shared" si="63"/>
        <v>1</v>
      </c>
      <c r="G802" s="321">
        <v>10.1</v>
      </c>
      <c r="H802" s="321">
        <v>7.9</v>
      </c>
      <c r="I802" s="315">
        <f t="shared" si="69"/>
        <v>315.1705</v>
      </c>
      <c r="J802" s="316">
        <f t="shared" si="64"/>
        <v>1.7622057590159352</v>
      </c>
    </row>
    <row r="803" spans="1:11">
      <c r="A803" s="295">
        <v>28</v>
      </c>
      <c r="B803" s="295">
        <f t="shared" si="65"/>
        <v>16</v>
      </c>
      <c r="C803" s="295">
        <v>5.5</v>
      </c>
      <c r="D803" s="295" t="s">
        <v>114</v>
      </c>
      <c r="E803" s="295">
        <v>22</v>
      </c>
      <c r="F803" s="316">
        <f t="shared" si="63"/>
        <v>1</v>
      </c>
      <c r="G803" s="321">
        <v>7.3</v>
      </c>
      <c r="H803" s="321">
        <v>6.8</v>
      </c>
      <c r="I803" s="315">
        <f t="shared" si="69"/>
        <v>168.77599999999998</v>
      </c>
      <c r="J803" s="316">
        <f t="shared" si="64"/>
        <v>1.6776604838869997</v>
      </c>
      <c r="K803" s="316" t="s">
        <v>158</v>
      </c>
    </row>
    <row r="804" spans="1:11">
      <c r="A804" s="295">
        <v>28</v>
      </c>
      <c r="B804" s="295">
        <f t="shared" si="65"/>
        <v>16</v>
      </c>
      <c r="C804" s="295">
        <v>6.1</v>
      </c>
      <c r="D804" s="295" t="s">
        <v>115</v>
      </c>
      <c r="E804" s="295">
        <v>27</v>
      </c>
      <c r="F804" s="316">
        <f t="shared" si="63"/>
        <v>1.08</v>
      </c>
      <c r="G804" s="321">
        <v>9.4</v>
      </c>
      <c r="H804" s="321">
        <v>6.5</v>
      </c>
      <c r="I804" s="315">
        <f t="shared" si="69"/>
        <v>198.57500000000002</v>
      </c>
      <c r="J804" s="316">
        <f t="shared" si="64"/>
        <v>1.4759551062880927</v>
      </c>
    </row>
    <row r="805" spans="1:11">
      <c r="A805" s="295">
        <v>28</v>
      </c>
      <c r="B805" s="295">
        <f t="shared" si="65"/>
        <v>16</v>
      </c>
      <c r="C805" s="295">
        <v>6.2</v>
      </c>
      <c r="D805" s="295" t="s">
        <v>115</v>
      </c>
      <c r="F805" s="316" t="str">
        <f t="shared" si="63"/>
        <v/>
      </c>
      <c r="G805" s="321"/>
      <c r="H805" s="321"/>
      <c r="J805" s="316" t="str">
        <f t="shared" si="64"/>
        <v/>
      </c>
    </row>
    <row r="806" spans="1:11">
      <c r="A806" s="295">
        <v>28</v>
      </c>
      <c r="B806" s="295">
        <f t="shared" si="65"/>
        <v>16</v>
      </c>
      <c r="C806" s="295">
        <v>6.3</v>
      </c>
      <c r="D806" s="295" t="s">
        <v>114</v>
      </c>
      <c r="F806" s="316" t="str">
        <f t="shared" si="63"/>
        <v/>
      </c>
      <c r="G806" s="321"/>
      <c r="H806" s="321"/>
      <c r="J806" s="316" t="str">
        <f t="shared" si="64"/>
        <v/>
      </c>
    </row>
    <row r="807" spans="1:11">
      <c r="A807" s="295">
        <v>28</v>
      </c>
      <c r="B807" s="295">
        <f t="shared" si="65"/>
        <v>16</v>
      </c>
      <c r="C807" s="295">
        <v>6.4</v>
      </c>
      <c r="D807" s="295" t="s">
        <v>112</v>
      </c>
      <c r="E807" s="295">
        <v>31</v>
      </c>
      <c r="F807" s="316">
        <f t="shared" si="63"/>
        <v>1.0689655172413792</v>
      </c>
      <c r="G807" s="321">
        <v>10.3</v>
      </c>
      <c r="H807" s="321">
        <v>10</v>
      </c>
      <c r="I807" s="315">
        <f>G807*(H807^2)*0.5</f>
        <v>515</v>
      </c>
      <c r="J807" s="316">
        <f t="shared" si="64"/>
        <v>8.8670798898071599</v>
      </c>
    </row>
    <row r="808" spans="1:11">
      <c r="A808" s="295">
        <v>28</v>
      </c>
      <c r="B808" s="295">
        <f t="shared" si="65"/>
        <v>16</v>
      </c>
      <c r="C808" s="295">
        <v>6.5</v>
      </c>
      <c r="D808" s="295" t="s">
        <v>113</v>
      </c>
      <c r="E808" s="295">
        <v>22</v>
      </c>
      <c r="F808" s="316">
        <f t="shared" si="63"/>
        <v>0.91666666666666663</v>
      </c>
      <c r="G808" s="321">
        <v>9.6</v>
      </c>
      <c r="H808" s="321">
        <v>9.3000000000000007</v>
      </c>
      <c r="I808" s="315">
        <f t="shared" ref="I808:I811" si="70">G808*(H808^2)*0.5</f>
        <v>415.15200000000004</v>
      </c>
      <c r="J808" s="316">
        <f t="shared" si="64"/>
        <v>8.2005333333333343</v>
      </c>
      <c r="K808" s="316" t="s">
        <v>161</v>
      </c>
    </row>
    <row r="809" spans="1:11">
      <c r="A809" s="295">
        <v>28</v>
      </c>
      <c r="B809" s="295">
        <f t="shared" si="65"/>
        <v>16</v>
      </c>
      <c r="C809" s="295">
        <v>7.1</v>
      </c>
      <c r="D809" s="295" t="s">
        <v>114</v>
      </c>
      <c r="E809" s="295">
        <v>27</v>
      </c>
      <c r="F809" s="316">
        <f t="shared" si="63"/>
        <v>1</v>
      </c>
      <c r="G809" s="321">
        <v>8.4</v>
      </c>
      <c r="H809" s="321">
        <v>8.1</v>
      </c>
      <c r="I809" s="315">
        <f t="shared" si="70"/>
        <v>275.56200000000001</v>
      </c>
      <c r="J809" s="316">
        <f t="shared" si="64"/>
        <v>2.0411999999999999</v>
      </c>
    </row>
    <row r="810" spans="1:11">
      <c r="A810" s="295">
        <v>28</v>
      </c>
      <c r="B810" s="295">
        <f t="shared" si="65"/>
        <v>16</v>
      </c>
      <c r="C810" s="295">
        <v>7.2</v>
      </c>
      <c r="D810" s="295" t="s">
        <v>111</v>
      </c>
      <c r="E810" s="295">
        <v>30</v>
      </c>
      <c r="F810" s="316">
        <f t="shared" si="63"/>
        <v>1.0344827586206897</v>
      </c>
      <c r="G810" s="321">
        <v>8.6999999999999993</v>
      </c>
      <c r="H810" s="321">
        <v>7.9</v>
      </c>
      <c r="I810" s="315">
        <f t="shared" si="70"/>
        <v>271.48349999999999</v>
      </c>
      <c r="J810" s="316">
        <f t="shared" si="64"/>
        <v>17.933908045977009</v>
      </c>
    </row>
    <row r="811" spans="1:11">
      <c r="A811" s="295">
        <v>28</v>
      </c>
      <c r="B811" s="295">
        <f t="shared" si="65"/>
        <v>16</v>
      </c>
      <c r="C811" s="295">
        <v>7.3</v>
      </c>
      <c r="D811" s="295" t="s">
        <v>113</v>
      </c>
      <c r="E811" s="295">
        <v>27</v>
      </c>
      <c r="F811" s="316">
        <f t="shared" si="63"/>
        <v>1</v>
      </c>
      <c r="G811" s="321">
        <v>5.8</v>
      </c>
      <c r="H811" s="321">
        <v>5.5</v>
      </c>
      <c r="I811" s="315">
        <f t="shared" si="70"/>
        <v>87.724999999999994</v>
      </c>
      <c r="J811" s="316">
        <f t="shared" si="64"/>
        <v>0.61395957559978731</v>
      </c>
    </row>
    <row r="812" spans="1:11">
      <c r="A812" s="295">
        <v>28</v>
      </c>
      <c r="B812" s="295">
        <f t="shared" si="65"/>
        <v>16</v>
      </c>
      <c r="C812" s="295">
        <v>7.4</v>
      </c>
      <c r="D812" s="295" t="s">
        <v>115</v>
      </c>
      <c r="F812" s="316" t="str">
        <f t="shared" si="63"/>
        <v/>
      </c>
      <c r="G812" s="321"/>
      <c r="H812" s="321"/>
      <c r="J812" s="316" t="str">
        <f t="shared" si="64"/>
        <v/>
      </c>
    </row>
    <row r="813" spans="1:11">
      <c r="A813" s="295">
        <v>28</v>
      </c>
      <c r="B813" s="295">
        <f t="shared" si="65"/>
        <v>16</v>
      </c>
      <c r="C813" s="295">
        <v>7.5</v>
      </c>
      <c r="D813" s="295" t="s">
        <v>111</v>
      </c>
      <c r="E813" s="295">
        <v>29</v>
      </c>
      <c r="F813" s="316">
        <f t="shared" si="63"/>
        <v>1</v>
      </c>
      <c r="G813" s="321">
        <v>15.7</v>
      </c>
      <c r="H813" s="321">
        <v>12.8</v>
      </c>
      <c r="I813" s="315">
        <f t="shared" ref="I813:I816" si="71">G813*(H813^2)*0.5</f>
        <v>1286.1440000000002</v>
      </c>
      <c r="J813" s="316">
        <f t="shared" si="64"/>
        <v>20.793895104442868</v>
      </c>
    </row>
    <row r="814" spans="1:11">
      <c r="A814" s="295">
        <v>29</v>
      </c>
      <c r="B814" s="295">
        <f t="shared" si="65"/>
        <v>17</v>
      </c>
      <c r="C814" s="295">
        <v>1.1000000000000001</v>
      </c>
      <c r="D814" s="295" t="s">
        <v>112</v>
      </c>
      <c r="E814" s="295">
        <v>29</v>
      </c>
      <c r="F814" s="316">
        <f t="shared" si="63"/>
        <v>1.0357142857142858</v>
      </c>
      <c r="G814" s="321">
        <v>12.1</v>
      </c>
      <c r="H814" s="321">
        <v>12</v>
      </c>
      <c r="I814" s="315">
        <f t="shared" si="71"/>
        <v>871.19999999999993</v>
      </c>
      <c r="J814" s="316">
        <f t="shared" si="64"/>
        <v>3.8674621777114853</v>
      </c>
    </row>
    <row r="815" spans="1:11">
      <c r="A815" s="295">
        <v>29</v>
      </c>
      <c r="B815" s="295">
        <f t="shared" si="65"/>
        <v>17</v>
      </c>
      <c r="C815" s="295">
        <v>1.2</v>
      </c>
      <c r="D815" s="295" t="s">
        <v>113</v>
      </c>
      <c r="E815" s="295">
        <v>28</v>
      </c>
      <c r="F815" s="316">
        <f t="shared" si="63"/>
        <v>1.037037037037037</v>
      </c>
      <c r="G815" s="321">
        <v>8.1999999999999993</v>
      </c>
      <c r="H815" s="321">
        <v>8</v>
      </c>
      <c r="I815" s="315">
        <f t="shared" si="71"/>
        <v>262.39999999999998</v>
      </c>
      <c r="J815" s="316">
        <f t="shared" si="64"/>
        <v>1.254293109753037</v>
      </c>
    </row>
    <row r="816" spans="1:11">
      <c r="A816" s="295">
        <v>29</v>
      </c>
      <c r="B816" s="295">
        <f t="shared" si="65"/>
        <v>17</v>
      </c>
      <c r="C816" s="295">
        <v>1.3</v>
      </c>
      <c r="D816" s="295" t="s">
        <v>115</v>
      </c>
      <c r="E816" s="295">
        <v>25</v>
      </c>
      <c r="F816" s="316">
        <f t="shared" si="63"/>
        <v>1.0416666666666667</v>
      </c>
      <c r="G816" s="321">
        <v>11.1</v>
      </c>
      <c r="H816" s="321">
        <v>9.8000000000000007</v>
      </c>
      <c r="I816" s="315">
        <f t="shared" si="71"/>
        <v>533.02200000000005</v>
      </c>
      <c r="J816" s="316">
        <f t="shared" si="64"/>
        <v>5.3762406197046726</v>
      </c>
    </row>
    <row r="817" spans="1:11">
      <c r="A817" s="295">
        <v>29</v>
      </c>
      <c r="B817" s="295">
        <f t="shared" si="65"/>
        <v>17</v>
      </c>
      <c r="C817" s="295">
        <v>1.4</v>
      </c>
      <c r="D817" s="295" t="s">
        <v>115</v>
      </c>
      <c r="F817" s="316" t="str">
        <f t="shared" si="63"/>
        <v/>
      </c>
      <c r="G817" s="321"/>
      <c r="H817" s="321"/>
      <c r="J817" s="316" t="str">
        <f t="shared" si="64"/>
        <v/>
      </c>
    </row>
    <row r="818" spans="1:11">
      <c r="A818" s="295">
        <v>29</v>
      </c>
      <c r="B818" s="295">
        <f t="shared" si="65"/>
        <v>17</v>
      </c>
      <c r="C818" s="295">
        <v>1.5</v>
      </c>
      <c r="D818" s="295" t="s">
        <v>112</v>
      </c>
      <c r="E818" s="295">
        <v>27</v>
      </c>
      <c r="F818" s="316">
        <f t="shared" si="63"/>
        <v>0.9642857142857143</v>
      </c>
      <c r="G818" s="321">
        <v>12.5</v>
      </c>
      <c r="H818" s="321">
        <v>10.1</v>
      </c>
      <c r="I818" s="315">
        <f t="shared" ref="I818:I819" si="72">G818*(H818^2)*0.5</f>
        <v>637.5625</v>
      </c>
      <c r="J818" s="316">
        <f t="shared" si="64"/>
        <v>4.5780855066636024</v>
      </c>
    </row>
    <row r="819" spans="1:11">
      <c r="A819" s="295">
        <v>29</v>
      </c>
      <c r="B819" s="295">
        <f t="shared" si="65"/>
        <v>17</v>
      </c>
      <c r="C819" s="295">
        <v>2.1</v>
      </c>
      <c r="D819" s="295" t="s">
        <v>114</v>
      </c>
      <c r="E819" s="295">
        <v>28</v>
      </c>
      <c r="F819" s="316">
        <f t="shared" si="63"/>
        <v>1.0769230769230769</v>
      </c>
      <c r="G819" s="321">
        <v>10.5</v>
      </c>
      <c r="H819" s="321">
        <v>8.6999999999999993</v>
      </c>
      <c r="I819" s="315">
        <f t="shared" si="72"/>
        <v>397.37249999999989</v>
      </c>
      <c r="J819" s="316">
        <f t="shared" si="64"/>
        <v>2.1130147639443888</v>
      </c>
    </row>
    <row r="820" spans="1:11">
      <c r="A820" s="295">
        <v>29</v>
      </c>
      <c r="B820" s="295">
        <f t="shared" si="65"/>
        <v>17</v>
      </c>
      <c r="C820" s="295">
        <v>2.2000000000000002</v>
      </c>
      <c r="D820" s="295" t="s">
        <v>115</v>
      </c>
      <c r="F820" s="316" t="str">
        <f t="shared" si="63"/>
        <v/>
      </c>
      <c r="G820" s="321"/>
      <c r="H820" s="321"/>
      <c r="J820" s="316" t="str">
        <f t="shared" si="64"/>
        <v/>
      </c>
    </row>
    <row r="821" spans="1:11">
      <c r="A821" s="295">
        <v>29</v>
      </c>
      <c r="B821" s="295">
        <f t="shared" si="65"/>
        <v>17</v>
      </c>
      <c r="C821" s="295">
        <v>2.2999999999999998</v>
      </c>
      <c r="D821" s="295" t="s">
        <v>112</v>
      </c>
      <c r="E821" s="295">
        <v>25</v>
      </c>
      <c r="F821" s="316">
        <f t="shared" si="63"/>
        <v>1</v>
      </c>
      <c r="G821" s="321">
        <v>15.1</v>
      </c>
      <c r="H821" s="321">
        <v>11.8</v>
      </c>
      <c r="I821" s="315">
        <f t="shared" ref="I821:I826" si="73">G821*(H821^2)*0.5</f>
        <v>1051.2619999999999</v>
      </c>
      <c r="J821" s="316">
        <f t="shared" si="64"/>
        <v>6.3293576490279531</v>
      </c>
    </row>
    <row r="822" spans="1:11">
      <c r="A822" s="295">
        <v>29</v>
      </c>
      <c r="B822" s="295">
        <f t="shared" si="65"/>
        <v>17</v>
      </c>
      <c r="C822" s="295">
        <v>2.4</v>
      </c>
      <c r="D822" s="295" t="s">
        <v>114</v>
      </c>
      <c r="E822" s="295">
        <v>25</v>
      </c>
      <c r="F822" s="316">
        <f t="shared" si="63"/>
        <v>1</v>
      </c>
      <c r="G822" s="321">
        <v>6.4</v>
      </c>
      <c r="H822" s="321">
        <v>6.2</v>
      </c>
      <c r="I822" s="315">
        <f t="shared" si="73"/>
        <v>123.00800000000002</v>
      </c>
      <c r="J822" s="316">
        <f t="shared" si="64"/>
        <v>1.1442604651162793</v>
      </c>
    </row>
    <row r="823" spans="1:11">
      <c r="A823" s="295">
        <v>29</v>
      </c>
      <c r="B823" s="295">
        <f t="shared" si="65"/>
        <v>17</v>
      </c>
      <c r="C823" s="295">
        <v>2.5</v>
      </c>
      <c r="D823" s="295" t="s">
        <v>113</v>
      </c>
      <c r="E823" s="295">
        <v>28</v>
      </c>
      <c r="F823" s="316">
        <f t="shared" si="63"/>
        <v>1.037037037037037</v>
      </c>
      <c r="G823" s="321">
        <v>6.6</v>
      </c>
      <c r="H823" s="321">
        <v>8.5</v>
      </c>
      <c r="I823" s="315">
        <f t="shared" si="73"/>
        <v>238.42499999999998</v>
      </c>
      <c r="J823" s="316">
        <f t="shared" si="64"/>
        <v>1.3977148819922383</v>
      </c>
    </row>
    <row r="824" spans="1:11">
      <c r="A824" s="295">
        <v>29</v>
      </c>
      <c r="B824" s="295">
        <f t="shared" si="65"/>
        <v>17</v>
      </c>
      <c r="C824" s="295">
        <v>3.1</v>
      </c>
      <c r="D824" s="295" t="s">
        <v>115</v>
      </c>
      <c r="E824" s="295">
        <v>23</v>
      </c>
      <c r="F824" s="316">
        <f t="shared" si="63"/>
        <v>0.95833333333333337</v>
      </c>
      <c r="G824" s="321">
        <v>5</v>
      </c>
      <c r="H824" s="321">
        <v>4.0999999999999996</v>
      </c>
      <c r="I824" s="315">
        <f t="shared" si="73"/>
        <v>42.024999999999999</v>
      </c>
      <c r="J824" s="316">
        <f t="shared" si="64"/>
        <v>0.23131966423558553</v>
      </c>
      <c r="K824" s="316" t="s">
        <v>152</v>
      </c>
    </row>
    <row r="825" spans="1:11">
      <c r="A825" s="295">
        <v>29</v>
      </c>
      <c r="B825" s="295">
        <f t="shared" si="65"/>
        <v>17</v>
      </c>
      <c r="C825" s="295">
        <v>3.2</v>
      </c>
      <c r="D825" s="295" t="s">
        <v>113</v>
      </c>
      <c r="E825" s="295">
        <v>31</v>
      </c>
      <c r="F825" s="316">
        <f t="shared" si="63"/>
        <v>1.0333333333333334</v>
      </c>
      <c r="G825" s="321">
        <v>9.3000000000000007</v>
      </c>
      <c r="H825" s="321">
        <v>8</v>
      </c>
      <c r="I825" s="315">
        <f t="shared" si="73"/>
        <v>297.60000000000002</v>
      </c>
      <c r="J825" s="316">
        <f t="shared" si="64"/>
        <v>1.5508400383541088</v>
      </c>
    </row>
    <row r="826" spans="1:11">
      <c r="A826" s="295">
        <v>29</v>
      </c>
      <c r="B826" s="295">
        <f t="shared" si="65"/>
        <v>17</v>
      </c>
      <c r="C826" s="295">
        <v>3.3</v>
      </c>
      <c r="D826" s="295" t="s">
        <v>114</v>
      </c>
      <c r="E826" s="295">
        <v>25</v>
      </c>
      <c r="F826" s="316">
        <f t="shared" si="63"/>
        <v>1</v>
      </c>
      <c r="G826" s="321">
        <v>9</v>
      </c>
      <c r="H826" s="321">
        <v>8</v>
      </c>
      <c r="I826" s="315">
        <f t="shared" si="73"/>
        <v>288</v>
      </c>
      <c r="J826" s="316">
        <f t="shared" si="64"/>
        <v>1.3994169096209912</v>
      </c>
    </row>
    <row r="827" spans="1:11">
      <c r="A827" s="295">
        <v>29</v>
      </c>
      <c r="B827" s="295">
        <f t="shared" si="65"/>
        <v>17</v>
      </c>
      <c r="C827" s="295">
        <v>3.4</v>
      </c>
      <c r="D827" s="295" t="s">
        <v>114</v>
      </c>
      <c r="F827" s="316" t="str">
        <f t="shared" si="63"/>
        <v/>
      </c>
      <c r="G827" s="321"/>
      <c r="H827" s="321"/>
      <c r="J827" s="316" t="str">
        <f t="shared" si="64"/>
        <v/>
      </c>
    </row>
    <row r="828" spans="1:11">
      <c r="A828" s="295">
        <v>29</v>
      </c>
      <c r="B828" s="295">
        <f t="shared" si="65"/>
        <v>17</v>
      </c>
      <c r="C828" s="295">
        <v>3.5</v>
      </c>
      <c r="D828" s="295" t="s">
        <v>115</v>
      </c>
      <c r="F828" s="316" t="str">
        <f t="shared" si="63"/>
        <v/>
      </c>
      <c r="G828" s="321"/>
      <c r="H828" s="321"/>
      <c r="J828" s="316" t="str">
        <f t="shared" si="64"/>
        <v/>
      </c>
    </row>
    <row r="829" spans="1:11">
      <c r="A829" s="295">
        <v>29</v>
      </c>
      <c r="B829" s="295">
        <f t="shared" si="65"/>
        <v>17</v>
      </c>
      <c r="C829" s="295">
        <v>4.0999999999999996</v>
      </c>
      <c r="D829" s="295" t="s">
        <v>111</v>
      </c>
      <c r="F829" s="316" t="str">
        <f t="shared" si="63"/>
        <v/>
      </c>
      <c r="G829" s="321"/>
      <c r="H829" s="321"/>
      <c r="J829" s="316" t="str">
        <f t="shared" si="64"/>
        <v/>
      </c>
    </row>
    <row r="830" spans="1:11">
      <c r="A830" s="295">
        <v>29</v>
      </c>
      <c r="B830" s="295">
        <f t="shared" si="65"/>
        <v>17</v>
      </c>
      <c r="C830" s="295">
        <v>4.2</v>
      </c>
      <c r="D830" s="295" t="s">
        <v>112</v>
      </c>
      <c r="E830" s="295">
        <v>32</v>
      </c>
      <c r="F830" s="316">
        <f t="shared" si="63"/>
        <v>1.103448275862069</v>
      </c>
      <c r="G830" s="321">
        <v>14.8</v>
      </c>
      <c r="H830" s="321">
        <v>12.8</v>
      </c>
      <c r="I830" s="315">
        <f t="shared" ref="I830:I839" si="74">G830*(H830^2)*0.5</f>
        <v>1212.4160000000004</v>
      </c>
      <c r="J830" s="316">
        <f t="shared" si="64"/>
        <v>3.6426609942374384</v>
      </c>
    </row>
    <row r="831" spans="1:11">
      <c r="A831" s="295">
        <v>29</v>
      </c>
      <c r="B831" s="295">
        <f t="shared" si="65"/>
        <v>17</v>
      </c>
      <c r="C831" s="295">
        <v>4.3</v>
      </c>
      <c r="D831" s="295" t="s">
        <v>113</v>
      </c>
      <c r="E831" s="295">
        <v>28</v>
      </c>
      <c r="F831" s="316">
        <f t="shared" si="63"/>
        <v>1.0769230769230769</v>
      </c>
      <c r="G831" s="321">
        <v>9.3000000000000007</v>
      </c>
      <c r="H831" s="321">
        <v>6.7</v>
      </c>
      <c r="I831" s="315">
        <f t="shared" si="74"/>
        <v>208.73850000000002</v>
      </c>
      <c r="J831" s="316">
        <f t="shared" si="64"/>
        <v>1.4988690544577206</v>
      </c>
    </row>
    <row r="832" spans="1:11">
      <c r="A832" s="295">
        <v>29</v>
      </c>
      <c r="B832" s="295">
        <f t="shared" si="65"/>
        <v>17</v>
      </c>
      <c r="C832" s="295">
        <v>4.4000000000000004</v>
      </c>
      <c r="D832" s="295" t="s">
        <v>112</v>
      </c>
      <c r="F832" s="316" t="str">
        <f t="shared" si="63"/>
        <v/>
      </c>
      <c r="G832" s="321"/>
      <c r="H832" s="321"/>
      <c r="J832" s="316" t="str">
        <f t="shared" si="64"/>
        <v/>
      </c>
    </row>
    <row r="833" spans="1:11">
      <c r="A833" s="295">
        <v>29</v>
      </c>
      <c r="B833" s="295">
        <f t="shared" si="65"/>
        <v>17</v>
      </c>
      <c r="C833" s="295">
        <v>4.5</v>
      </c>
      <c r="D833" s="295" t="s">
        <v>112</v>
      </c>
      <c r="E833" s="295">
        <v>28</v>
      </c>
      <c r="F833" s="316">
        <f t="shared" si="63"/>
        <v>1.037037037037037</v>
      </c>
      <c r="G833" s="321">
        <v>14.6</v>
      </c>
      <c r="H833" s="321">
        <v>12.4</v>
      </c>
      <c r="I833" s="315">
        <f t="shared" si="74"/>
        <v>1122.4480000000001</v>
      </c>
      <c r="J833" s="316">
        <f t="shared" si="64"/>
        <v>5.0150032615786042</v>
      </c>
    </row>
    <row r="834" spans="1:11">
      <c r="A834" s="295">
        <v>29</v>
      </c>
      <c r="B834" s="295">
        <f t="shared" si="65"/>
        <v>17</v>
      </c>
      <c r="C834" s="295">
        <v>5.0999999999999996</v>
      </c>
      <c r="D834" s="295" t="s">
        <v>113</v>
      </c>
      <c r="E834" s="295">
        <v>26</v>
      </c>
      <c r="F834" s="316">
        <f t="shared" si="63"/>
        <v>1.0833333333333333</v>
      </c>
      <c r="G834" s="321">
        <v>9.4</v>
      </c>
      <c r="H834" s="321">
        <v>8.9</v>
      </c>
      <c r="I834" s="315">
        <f t="shared" si="74"/>
        <v>372.28700000000003</v>
      </c>
      <c r="J834" s="316">
        <f t="shared" si="64"/>
        <v>2.2414370262443328</v>
      </c>
    </row>
    <row r="835" spans="1:11">
      <c r="A835" s="295">
        <v>29</v>
      </c>
      <c r="B835" s="295">
        <f t="shared" si="65"/>
        <v>17</v>
      </c>
      <c r="C835" s="295">
        <v>5.2</v>
      </c>
      <c r="D835" s="295" t="s">
        <v>114</v>
      </c>
      <c r="E835" s="295">
        <v>28</v>
      </c>
      <c r="F835" s="316">
        <f t="shared" si="63"/>
        <v>1.037037037037037</v>
      </c>
      <c r="G835" s="321">
        <v>8.4</v>
      </c>
      <c r="H835" s="321">
        <v>6.5</v>
      </c>
      <c r="I835" s="315">
        <f t="shared" si="74"/>
        <v>177.45000000000002</v>
      </c>
      <c r="J835" s="316">
        <f t="shared" si="64"/>
        <v>1.072024068435552</v>
      </c>
    </row>
    <row r="836" spans="1:11">
      <c r="A836" s="295">
        <v>29</v>
      </c>
      <c r="B836" s="295">
        <f t="shared" si="65"/>
        <v>17</v>
      </c>
      <c r="C836" s="295">
        <v>5.3</v>
      </c>
      <c r="D836" s="295" t="s">
        <v>112</v>
      </c>
      <c r="E836" s="295">
        <v>31</v>
      </c>
      <c r="F836" s="316">
        <f t="shared" si="63"/>
        <v>1.1071428571428572</v>
      </c>
      <c r="G836" s="321">
        <v>11.7</v>
      </c>
      <c r="H836" s="321">
        <v>11.3</v>
      </c>
      <c r="I836" s="315">
        <f t="shared" si="74"/>
        <v>746.98649999999998</v>
      </c>
      <c r="J836" s="316">
        <f t="shared" si="64"/>
        <v>3.1481755424063116</v>
      </c>
    </row>
    <row r="837" spans="1:11">
      <c r="A837" s="295">
        <v>29</v>
      </c>
      <c r="B837" s="295">
        <f t="shared" si="65"/>
        <v>17</v>
      </c>
      <c r="C837" s="295">
        <v>5.4</v>
      </c>
      <c r="D837" s="295" t="s">
        <v>113</v>
      </c>
      <c r="E837" s="295">
        <v>26</v>
      </c>
      <c r="F837" s="316">
        <f t="shared" si="63"/>
        <v>1</v>
      </c>
      <c r="G837" s="321">
        <v>7.6</v>
      </c>
      <c r="H837" s="321">
        <v>7.2</v>
      </c>
      <c r="I837" s="315">
        <f t="shared" si="74"/>
        <v>196.99199999999999</v>
      </c>
      <c r="J837" s="316">
        <f t="shared" si="64"/>
        <v>1.1014369583449819</v>
      </c>
    </row>
    <row r="838" spans="1:11">
      <c r="A838" s="295">
        <v>29</v>
      </c>
      <c r="B838" s="295">
        <f t="shared" si="65"/>
        <v>17</v>
      </c>
      <c r="C838" s="295">
        <v>5.5</v>
      </c>
      <c r="D838" s="295" t="s">
        <v>114</v>
      </c>
      <c r="E838" s="295">
        <v>23</v>
      </c>
      <c r="F838" s="316">
        <f t="shared" si="63"/>
        <v>1.0454545454545454</v>
      </c>
      <c r="G838" s="321">
        <v>7.4</v>
      </c>
      <c r="H838" s="321">
        <v>7</v>
      </c>
      <c r="I838" s="315">
        <f t="shared" si="74"/>
        <v>181.3</v>
      </c>
      <c r="J838" s="316">
        <f t="shared" si="64"/>
        <v>1.8021510506749367</v>
      </c>
      <c r="K838" s="316" t="s">
        <v>152</v>
      </c>
    </row>
    <row r="839" spans="1:11">
      <c r="A839" s="295">
        <v>29</v>
      </c>
      <c r="B839" s="295">
        <f t="shared" si="65"/>
        <v>17</v>
      </c>
      <c r="C839" s="295">
        <v>6.1</v>
      </c>
      <c r="D839" s="295" t="s">
        <v>115</v>
      </c>
      <c r="E839" s="295">
        <v>28</v>
      </c>
      <c r="F839" s="316">
        <f t="shared" si="63"/>
        <v>1.1200000000000001</v>
      </c>
      <c r="G839" s="321">
        <v>9.3000000000000007</v>
      </c>
      <c r="H839" s="321">
        <v>6.4</v>
      </c>
      <c r="I839" s="315">
        <f t="shared" si="74"/>
        <v>190.46400000000006</v>
      </c>
      <c r="J839" s="316">
        <f t="shared" si="64"/>
        <v>1.4156682027649772</v>
      </c>
    </row>
    <row r="840" spans="1:11">
      <c r="A840" s="295">
        <v>29</v>
      </c>
      <c r="B840" s="295">
        <f t="shared" si="65"/>
        <v>17</v>
      </c>
      <c r="C840" s="295">
        <v>6.2</v>
      </c>
      <c r="D840" s="295" t="s">
        <v>115</v>
      </c>
      <c r="F840" s="316" t="str">
        <f t="shared" si="63"/>
        <v/>
      </c>
      <c r="G840" s="321"/>
      <c r="H840" s="321"/>
      <c r="J840" s="316" t="str">
        <f t="shared" si="64"/>
        <v/>
      </c>
    </row>
    <row r="841" spans="1:11">
      <c r="A841" s="295">
        <v>29</v>
      </c>
      <c r="B841" s="295">
        <f t="shared" si="65"/>
        <v>17</v>
      </c>
      <c r="C841" s="295">
        <v>6.3</v>
      </c>
      <c r="D841" s="295" t="s">
        <v>114</v>
      </c>
      <c r="F841" s="316" t="str">
        <f t="shared" ref="F841:F904" si="75">IF(ISBLANK(E841),"",E841/SUMIFS(E:E,C:C,C841,B:B,"0"))</f>
        <v/>
      </c>
      <c r="G841" s="321"/>
      <c r="H841" s="321"/>
      <c r="J841" s="316" t="str">
        <f t="shared" ref="J841:J904" si="76">IF(ISBLANK(I841),"",I841/SUMIFS(I:I,C:C,C841,B:B,"0"))</f>
        <v/>
      </c>
    </row>
    <row r="842" spans="1:11">
      <c r="A842" s="295">
        <v>29</v>
      </c>
      <c r="B842" s="295">
        <f t="shared" ref="B842:B905" si="77">A842-12</f>
        <v>17</v>
      </c>
      <c r="C842" s="295">
        <v>6.4</v>
      </c>
      <c r="D842" s="295" t="s">
        <v>112</v>
      </c>
      <c r="E842" s="295">
        <v>30</v>
      </c>
      <c r="F842" s="316">
        <f t="shared" si="75"/>
        <v>1.0344827586206897</v>
      </c>
      <c r="G842" s="321">
        <v>9.5</v>
      </c>
      <c r="H842" s="321">
        <v>8.3000000000000007</v>
      </c>
      <c r="I842" s="315">
        <f>G842*(H842^2)*0.5</f>
        <v>327.22750000000008</v>
      </c>
      <c r="J842" s="316">
        <f t="shared" si="76"/>
        <v>5.6340823002754821</v>
      </c>
    </row>
    <row r="843" spans="1:11">
      <c r="A843" s="295">
        <v>29</v>
      </c>
      <c r="B843" s="295">
        <f t="shared" si="77"/>
        <v>17</v>
      </c>
      <c r="C843" s="295">
        <v>6.5</v>
      </c>
      <c r="D843" s="295" t="s">
        <v>113</v>
      </c>
      <c r="E843" s="295">
        <v>23</v>
      </c>
      <c r="F843" s="316">
        <f t="shared" si="75"/>
        <v>0.95833333333333337</v>
      </c>
      <c r="G843" s="321">
        <v>11.2</v>
      </c>
      <c r="H843" s="321">
        <v>10</v>
      </c>
      <c r="I843" s="315">
        <f t="shared" ref="I843:I846" si="78">G843*(H843^2)*0.5</f>
        <v>560</v>
      </c>
      <c r="J843" s="316">
        <f t="shared" si="76"/>
        <v>11.061728395061728</v>
      </c>
      <c r="K843" s="316" t="s">
        <v>162</v>
      </c>
    </row>
    <row r="844" spans="1:11">
      <c r="A844" s="295">
        <v>29</v>
      </c>
      <c r="B844" s="295">
        <f t="shared" si="77"/>
        <v>17</v>
      </c>
      <c r="C844" s="295">
        <v>7.1</v>
      </c>
      <c r="D844" s="295" t="s">
        <v>114</v>
      </c>
      <c r="E844" s="295">
        <v>27</v>
      </c>
      <c r="F844" s="316">
        <f t="shared" si="75"/>
        <v>1</v>
      </c>
      <c r="G844" s="321">
        <v>7.9</v>
      </c>
      <c r="H844" s="321">
        <v>7.4</v>
      </c>
      <c r="I844" s="315">
        <f t="shared" si="78"/>
        <v>216.30200000000002</v>
      </c>
      <c r="J844" s="316">
        <f t="shared" si="76"/>
        <v>1.6022370370370371</v>
      </c>
    </row>
    <row r="845" spans="1:11">
      <c r="A845" s="295">
        <v>29</v>
      </c>
      <c r="B845" s="295">
        <f t="shared" si="77"/>
        <v>17</v>
      </c>
      <c r="C845" s="295">
        <v>7.2</v>
      </c>
      <c r="D845" s="295" t="s">
        <v>111</v>
      </c>
      <c r="E845" s="295">
        <v>30</v>
      </c>
      <c r="F845" s="316">
        <f t="shared" si="75"/>
        <v>1.0344827586206897</v>
      </c>
      <c r="G845" s="321">
        <v>8.8000000000000007</v>
      </c>
      <c r="H845" s="321">
        <v>7.7</v>
      </c>
      <c r="I845" s="315">
        <f t="shared" si="78"/>
        <v>260.87600000000003</v>
      </c>
      <c r="J845" s="316">
        <f t="shared" si="76"/>
        <v>17.233188003699301</v>
      </c>
    </row>
    <row r="846" spans="1:11">
      <c r="A846" s="295">
        <v>29</v>
      </c>
      <c r="B846" s="295">
        <f t="shared" si="77"/>
        <v>17</v>
      </c>
      <c r="C846" s="295">
        <v>7.3</v>
      </c>
      <c r="D846" s="295" t="s">
        <v>113</v>
      </c>
      <c r="E846" s="295">
        <v>28</v>
      </c>
      <c r="F846" s="316">
        <f t="shared" si="75"/>
        <v>1.037037037037037</v>
      </c>
      <c r="G846" s="321">
        <v>6.2</v>
      </c>
      <c r="H846" s="321">
        <v>6</v>
      </c>
      <c r="I846" s="315">
        <f t="shared" si="78"/>
        <v>111.60000000000001</v>
      </c>
      <c r="J846" s="316">
        <f t="shared" si="76"/>
        <v>0.78105316200554309</v>
      </c>
    </row>
    <row r="847" spans="1:11">
      <c r="A847" s="295">
        <v>29</v>
      </c>
      <c r="B847" s="295">
        <f t="shared" si="77"/>
        <v>17</v>
      </c>
      <c r="C847" s="295">
        <v>7.4</v>
      </c>
      <c r="D847" s="295" t="s">
        <v>115</v>
      </c>
      <c r="F847" s="316" t="str">
        <f t="shared" si="75"/>
        <v/>
      </c>
      <c r="G847" s="321"/>
      <c r="H847" s="321"/>
      <c r="J847" s="316" t="str">
        <f t="shared" si="76"/>
        <v/>
      </c>
    </row>
    <row r="848" spans="1:11">
      <c r="A848" s="295">
        <v>29</v>
      </c>
      <c r="B848" s="295">
        <f t="shared" si="77"/>
        <v>17</v>
      </c>
      <c r="C848" s="295">
        <v>7.5</v>
      </c>
      <c r="D848" s="295" t="s">
        <v>111</v>
      </c>
      <c r="E848" s="295">
        <v>29</v>
      </c>
      <c r="F848" s="316">
        <f t="shared" si="75"/>
        <v>1</v>
      </c>
      <c r="G848" s="321">
        <v>16.399999999999999</v>
      </c>
      <c r="H848" s="321">
        <v>13.3</v>
      </c>
      <c r="I848" s="315">
        <f t="shared" ref="I848:I851" si="79">G848*(H848^2)*0.5</f>
        <v>1450.498</v>
      </c>
      <c r="J848" s="316">
        <f t="shared" si="76"/>
        <v>23.451109099139881</v>
      </c>
    </row>
    <row r="849" spans="1:10">
      <c r="A849" s="295">
        <v>30</v>
      </c>
      <c r="B849" s="295">
        <f t="shared" si="77"/>
        <v>18</v>
      </c>
      <c r="C849" s="295">
        <v>1.1000000000000001</v>
      </c>
      <c r="D849" s="295" t="s">
        <v>112</v>
      </c>
      <c r="E849" s="295">
        <v>29</v>
      </c>
      <c r="F849" s="316">
        <f t="shared" si="75"/>
        <v>1.0357142857142858</v>
      </c>
      <c r="G849" s="321">
        <v>13.7</v>
      </c>
      <c r="H849" s="321">
        <v>12.8</v>
      </c>
      <c r="I849" s="315">
        <f t="shared" si="79"/>
        <v>1122.3040000000001</v>
      </c>
      <c r="J849" s="316">
        <f t="shared" si="76"/>
        <v>4.9821720292634426</v>
      </c>
    </row>
    <row r="850" spans="1:10">
      <c r="A850" s="295">
        <v>30</v>
      </c>
      <c r="B850" s="295">
        <f t="shared" si="77"/>
        <v>18</v>
      </c>
      <c r="C850" s="295">
        <v>1.2</v>
      </c>
      <c r="D850" s="295" t="s">
        <v>113</v>
      </c>
      <c r="E850" s="295">
        <v>28</v>
      </c>
      <c r="F850" s="316">
        <f t="shared" si="75"/>
        <v>1.037037037037037</v>
      </c>
      <c r="G850" s="321">
        <v>7.8</v>
      </c>
      <c r="H850" s="321">
        <v>7.5</v>
      </c>
      <c r="I850" s="315">
        <f t="shared" si="79"/>
        <v>219.375</v>
      </c>
      <c r="J850" s="316">
        <f t="shared" si="76"/>
        <v>1.0486301484453984</v>
      </c>
    </row>
    <row r="851" spans="1:10">
      <c r="A851" s="295">
        <v>30</v>
      </c>
      <c r="B851" s="295">
        <f t="shared" si="77"/>
        <v>18</v>
      </c>
      <c r="C851" s="295">
        <v>1.3</v>
      </c>
      <c r="D851" s="295" t="s">
        <v>115</v>
      </c>
      <c r="E851" s="295">
        <v>25</v>
      </c>
      <c r="F851" s="316">
        <f t="shared" si="75"/>
        <v>1.0416666666666667</v>
      </c>
      <c r="G851" s="321">
        <v>13</v>
      </c>
      <c r="H851" s="321">
        <v>9.3000000000000007</v>
      </c>
      <c r="I851" s="315">
        <f t="shared" si="79"/>
        <v>562.18500000000006</v>
      </c>
      <c r="J851" s="316">
        <f t="shared" si="76"/>
        <v>5.670388525780683</v>
      </c>
    </row>
    <row r="852" spans="1:10" s="316" customFormat="1">
      <c r="A852" s="295">
        <v>30</v>
      </c>
      <c r="B852" s="295">
        <f t="shared" si="77"/>
        <v>18</v>
      </c>
      <c r="C852" s="295">
        <v>1.4</v>
      </c>
      <c r="D852" s="295" t="s">
        <v>115</v>
      </c>
      <c r="E852" s="295"/>
      <c r="F852" s="316" t="str">
        <f t="shared" si="75"/>
        <v/>
      </c>
      <c r="G852" s="321"/>
      <c r="H852" s="321"/>
      <c r="I852" s="315"/>
      <c r="J852" s="316" t="str">
        <f t="shared" si="76"/>
        <v/>
      </c>
    </row>
    <row r="853" spans="1:10" s="316" customFormat="1">
      <c r="A853" s="295">
        <v>30</v>
      </c>
      <c r="B853" s="295">
        <f t="shared" si="77"/>
        <v>18</v>
      </c>
      <c r="C853" s="295">
        <v>1.5</v>
      </c>
      <c r="D853" s="295" t="s">
        <v>112</v>
      </c>
      <c r="E853" s="295">
        <v>27</v>
      </c>
      <c r="F853" s="316">
        <f t="shared" si="75"/>
        <v>0.9642857142857143</v>
      </c>
      <c r="G853" s="321">
        <v>11.9</v>
      </c>
      <c r="H853" s="321">
        <v>10.199999999999999</v>
      </c>
      <c r="I853" s="315">
        <f t="shared" ref="I853:I854" si="80">G853*(H853^2)*0.5</f>
        <v>619.03800000000001</v>
      </c>
      <c r="J853" s="316">
        <f t="shared" si="76"/>
        <v>4.445068359375</v>
      </c>
    </row>
    <row r="854" spans="1:10" s="316" customFormat="1">
      <c r="A854" s="295">
        <v>30</v>
      </c>
      <c r="B854" s="295">
        <f t="shared" si="77"/>
        <v>18</v>
      </c>
      <c r="C854" s="295">
        <v>2.1</v>
      </c>
      <c r="D854" s="295" t="s">
        <v>114</v>
      </c>
      <c r="E854" s="295">
        <v>29</v>
      </c>
      <c r="F854" s="316">
        <f t="shared" si="75"/>
        <v>1.1153846153846154</v>
      </c>
      <c r="G854" s="321">
        <v>10.1</v>
      </c>
      <c r="H854" s="321">
        <v>8.4</v>
      </c>
      <c r="I854" s="315">
        <f t="shared" si="80"/>
        <v>356.32799999999997</v>
      </c>
      <c r="J854" s="316">
        <f t="shared" si="76"/>
        <v>1.8947620301021746</v>
      </c>
    </row>
    <row r="855" spans="1:10" s="316" customFormat="1">
      <c r="A855" s="295">
        <v>30</v>
      </c>
      <c r="B855" s="295">
        <f t="shared" si="77"/>
        <v>18</v>
      </c>
      <c r="C855" s="295">
        <v>2.2000000000000002</v>
      </c>
      <c r="D855" s="295" t="s">
        <v>115</v>
      </c>
      <c r="E855" s="295"/>
      <c r="F855" s="316" t="str">
        <f t="shared" si="75"/>
        <v/>
      </c>
      <c r="G855" s="321"/>
      <c r="H855" s="321"/>
      <c r="I855" s="315"/>
      <c r="J855" s="316" t="str">
        <f t="shared" si="76"/>
        <v/>
      </c>
    </row>
    <row r="856" spans="1:10" s="316" customFormat="1">
      <c r="A856" s="295">
        <v>30</v>
      </c>
      <c r="B856" s="295">
        <f t="shared" si="77"/>
        <v>18</v>
      </c>
      <c r="C856" s="295">
        <v>2.2999999999999998</v>
      </c>
      <c r="D856" s="295" t="s">
        <v>112</v>
      </c>
      <c r="E856" s="295">
        <v>26</v>
      </c>
      <c r="F856" s="316">
        <f t="shared" si="75"/>
        <v>1.04</v>
      </c>
      <c r="G856" s="321">
        <v>15.4</v>
      </c>
      <c r="H856" s="321">
        <v>12.5</v>
      </c>
      <c r="I856" s="315">
        <f t="shared" ref="I856:I861" si="81">G856*(H856^2)*0.5</f>
        <v>1203.125</v>
      </c>
      <c r="J856" s="316">
        <f t="shared" si="76"/>
        <v>7.2436827560463106</v>
      </c>
    </row>
    <row r="857" spans="1:10" s="316" customFormat="1">
      <c r="A857" s="295">
        <v>30</v>
      </c>
      <c r="B857" s="295">
        <f t="shared" si="77"/>
        <v>18</v>
      </c>
      <c r="C857" s="295">
        <v>2.4</v>
      </c>
      <c r="D857" s="295" t="s">
        <v>114</v>
      </c>
      <c r="E857" s="295">
        <v>26</v>
      </c>
      <c r="F857" s="316">
        <f t="shared" si="75"/>
        <v>1.04</v>
      </c>
      <c r="G857" s="321">
        <v>7.6</v>
      </c>
      <c r="H857" s="321">
        <v>4.9000000000000004</v>
      </c>
      <c r="I857" s="315">
        <f t="shared" si="81"/>
        <v>91.238000000000014</v>
      </c>
      <c r="J857" s="316">
        <f t="shared" si="76"/>
        <v>0.84872558139534893</v>
      </c>
    </row>
    <row r="858" spans="1:10" s="316" customFormat="1">
      <c r="A858" s="295">
        <v>30</v>
      </c>
      <c r="B858" s="295">
        <f t="shared" si="77"/>
        <v>18</v>
      </c>
      <c r="C858" s="295">
        <v>2.5</v>
      </c>
      <c r="D858" s="295" t="s">
        <v>113</v>
      </c>
      <c r="E858" s="295">
        <v>29</v>
      </c>
      <c r="F858" s="316">
        <f t="shared" si="75"/>
        <v>1.0740740740740742</v>
      </c>
      <c r="G858" s="321">
        <v>8.6</v>
      </c>
      <c r="H858" s="321">
        <v>7.3</v>
      </c>
      <c r="I858" s="315">
        <f t="shared" si="81"/>
        <v>229.14699999999999</v>
      </c>
      <c r="J858" s="316">
        <f t="shared" si="76"/>
        <v>1.3433246180722467</v>
      </c>
    </row>
    <row r="859" spans="1:10" s="316" customFormat="1">
      <c r="A859" s="295">
        <v>30</v>
      </c>
      <c r="B859" s="295">
        <f t="shared" si="77"/>
        <v>18</v>
      </c>
      <c r="C859" s="295">
        <v>3.1</v>
      </c>
      <c r="D859" s="295" t="s">
        <v>115</v>
      </c>
      <c r="E859" s="295">
        <v>25</v>
      </c>
      <c r="F859" s="316">
        <f t="shared" si="75"/>
        <v>1.0416666666666667</v>
      </c>
      <c r="G859" s="321">
        <v>6.2</v>
      </c>
      <c r="H859" s="321">
        <v>4.2</v>
      </c>
      <c r="I859" s="315">
        <f t="shared" si="81"/>
        <v>54.684000000000005</v>
      </c>
      <c r="J859" s="316">
        <f t="shared" si="76"/>
        <v>0.30099903674143391</v>
      </c>
    </row>
    <row r="860" spans="1:10" s="316" customFormat="1">
      <c r="A860" s="295">
        <v>30</v>
      </c>
      <c r="B860" s="295">
        <f t="shared" si="77"/>
        <v>18</v>
      </c>
      <c r="C860" s="295">
        <v>3.2</v>
      </c>
      <c r="D860" s="295" t="s">
        <v>113</v>
      </c>
      <c r="E860" s="295">
        <v>32</v>
      </c>
      <c r="F860" s="316">
        <f t="shared" si="75"/>
        <v>1.0666666666666667</v>
      </c>
      <c r="G860" s="321">
        <v>9.1</v>
      </c>
      <c r="H860" s="321">
        <v>8</v>
      </c>
      <c r="I860" s="315">
        <f t="shared" si="81"/>
        <v>291.2</v>
      </c>
      <c r="J860" s="316">
        <f t="shared" si="76"/>
        <v>1.5174886396798266</v>
      </c>
    </row>
    <row r="861" spans="1:10" s="316" customFormat="1">
      <c r="A861" s="295">
        <v>30</v>
      </c>
      <c r="B861" s="295">
        <f t="shared" si="77"/>
        <v>18</v>
      </c>
      <c r="C861" s="295">
        <v>3.3</v>
      </c>
      <c r="D861" s="295" t="s">
        <v>114</v>
      </c>
      <c r="E861" s="295">
        <v>26</v>
      </c>
      <c r="F861" s="316">
        <f t="shared" si="75"/>
        <v>1.04</v>
      </c>
      <c r="G861" s="321">
        <v>9.1999999999999993</v>
      </c>
      <c r="H861" s="321">
        <v>9.1</v>
      </c>
      <c r="I861" s="315">
        <f t="shared" si="81"/>
        <v>380.92599999999993</v>
      </c>
      <c r="J861" s="316">
        <f t="shared" si="76"/>
        <v>1.8509523809523805</v>
      </c>
    </row>
    <row r="862" spans="1:10" s="316" customFormat="1">
      <c r="A862" s="295">
        <v>30</v>
      </c>
      <c r="B862" s="295">
        <f t="shared" si="77"/>
        <v>18</v>
      </c>
      <c r="C862" s="295">
        <v>3.4</v>
      </c>
      <c r="D862" s="295" t="s">
        <v>114</v>
      </c>
      <c r="E862" s="295"/>
      <c r="F862" s="316" t="str">
        <f t="shared" si="75"/>
        <v/>
      </c>
      <c r="G862" s="321"/>
      <c r="H862" s="321"/>
      <c r="I862" s="315"/>
      <c r="J862" s="316" t="str">
        <f t="shared" si="76"/>
        <v/>
      </c>
    </row>
    <row r="863" spans="1:10" s="316" customFormat="1">
      <c r="A863" s="295">
        <v>30</v>
      </c>
      <c r="B863" s="295">
        <f t="shared" si="77"/>
        <v>18</v>
      </c>
      <c r="C863" s="295">
        <v>3.5</v>
      </c>
      <c r="D863" s="295" t="s">
        <v>115</v>
      </c>
      <c r="E863" s="295"/>
      <c r="F863" s="316" t="str">
        <f t="shared" si="75"/>
        <v/>
      </c>
      <c r="G863" s="321"/>
      <c r="H863" s="321"/>
      <c r="I863" s="315"/>
      <c r="J863" s="316" t="str">
        <f t="shared" si="76"/>
        <v/>
      </c>
    </row>
    <row r="864" spans="1:10" s="316" customFormat="1">
      <c r="A864" s="295">
        <v>30</v>
      </c>
      <c r="B864" s="295">
        <f t="shared" si="77"/>
        <v>18</v>
      </c>
      <c r="C864" s="295">
        <v>4.0999999999999996</v>
      </c>
      <c r="D864" s="295" t="s">
        <v>111</v>
      </c>
      <c r="E864" s="295"/>
      <c r="F864" s="316" t="str">
        <f t="shared" si="75"/>
        <v/>
      </c>
      <c r="G864" s="321"/>
      <c r="H864" s="321"/>
      <c r="I864" s="315"/>
      <c r="J864" s="316" t="str">
        <f t="shared" si="76"/>
        <v/>
      </c>
    </row>
    <row r="865" spans="1:11" s="316" customFormat="1">
      <c r="A865" s="295">
        <v>30</v>
      </c>
      <c r="B865" s="295">
        <f t="shared" si="77"/>
        <v>18</v>
      </c>
      <c r="C865" s="295">
        <v>4.2</v>
      </c>
      <c r="D865" s="295" t="s">
        <v>112</v>
      </c>
      <c r="E865" s="295">
        <v>32</v>
      </c>
      <c r="F865" s="316">
        <f t="shared" si="75"/>
        <v>1.103448275862069</v>
      </c>
      <c r="G865" s="321">
        <v>15.5</v>
      </c>
      <c r="H865" s="321">
        <v>11.6</v>
      </c>
      <c r="I865" s="315">
        <f t="shared" ref="I865:I866" si="82">G865*(H865^2)*0.5</f>
        <v>1042.8399999999999</v>
      </c>
      <c r="J865" s="316">
        <f t="shared" si="76"/>
        <v>3.1331758993864884</v>
      </c>
    </row>
    <row r="866" spans="1:11" s="316" customFormat="1">
      <c r="A866" s="295">
        <v>30</v>
      </c>
      <c r="B866" s="295">
        <f t="shared" si="77"/>
        <v>18</v>
      </c>
      <c r="C866" s="295">
        <v>4.3</v>
      </c>
      <c r="D866" s="295" t="s">
        <v>113</v>
      </c>
      <c r="E866" s="295">
        <v>28</v>
      </c>
      <c r="F866" s="316">
        <f t="shared" si="75"/>
        <v>1.0769230769230769</v>
      </c>
      <c r="G866" s="321">
        <v>9.9</v>
      </c>
      <c r="H866" s="321">
        <v>8.1999999999999993</v>
      </c>
      <c r="I866" s="315">
        <f t="shared" si="82"/>
        <v>332.83799999999997</v>
      </c>
      <c r="J866" s="316">
        <f t="shared" si="76"/>
        <v>2.3899787454044112</v>
      </c>
    </row>
    <row r="867" spans="1:11" s="316" customFormat="1">
      <c r="A867" s="295">
        <v>30</v>
      </c>
      <c r="B867" s="295">
        <f t="shared" si="77"/>
        <v>18</v>
      </c>
      <c r="C867" s="295">
        <v>4.4000000000000004</v>
      </c>
      <c r="D867" s="295" t="s">
        <v>112</v>
      </c>
      <c r="E867" s="295"/>
      <c r="F867" s="316" t="str">
        <f t="shared" si="75"/>
        <v/>
      </c>
      <c r="G867" s="321"/>
      <c r="H867" s="321"/>
      <c r="I867" s="315"/>
      <c r="J867" s="316" t="str">
        <f t="shared" si="76"/>
        <v/>
      </c>
    </row>
    <row r="868" spans="1:11">
      <c r="A868" s="295">
        <v>30</v>
      </c>
      <c r="B868" s="295">
        <f t="shared" si="77"/>
        <v>18</v>
      </c>
      <c r="C868" s="295">
        <v>4.5</v>
      </c>
      <c r="D868" s="295" t="s">
        <v>112</v>
      </c>
      <c r="E868" s="295">
        <v>28</v>
      </c>
      <c r="F868" s="316">
        <f t="shared" si="75"/>
        <v>1.037037037037037</v>
      </c>
      <c r="G868" s="321">
        <v>14.9</v>
      </c>
      <c r="H868" s="321">
        <v>12.8</v>
      </c>
      <c r="I868" s="315">
        <f t="shared" ref="I868:I874" si="83">G868*(H868^2)*0.5</f>
        <v>1220.6080000000002</v>
      </c>
      <c r="J868" s="316">
        <f t="shared" si="76"/>
        <v>5.4535738859251719</v>
      </c>
    </row>
    <row r="869" spans="1:11">
      <c r="A869" s="295">
        <v>30</v>
      </c>
      <c r="B869" s="295">
        <f t="shared" si="77"/>
        <v>18</v>
      </c>
      <c r="C869" s="295">
        <v>5.0999999999999996</v>
      </c>
      <c r="D869" s="295" t="s">
        <v>113</v>
      </c>
      <c r="E869" s="295">
        <v>26</v>
      </c>
      <c r="F869" s="316">
        <f t="shared" si="75"/>
        <v>1.0833333333333333</v>
      </c>
      <c r="G869" s="321">
        <v>8.9</v>
      </c>
      <c r="H869" s="321">
        <v>7.7</v>
      </c>
      <c r="I869" s="315">
        <f t="shared" si="83"/>
        <v>263.84050000000002</v>
      </c>
      <c r="J869" s="316">
        <f t="shared" si="76"/>
        <v>1.5885106536699318</v>
      </c>
    </row>
    <row r="870" spans="1:11">
      <c r="A870" s="295">
        <v>30</v>
      </c>
      <c r="B870" s="295">
        <f t="shared" si="77"/>
        <v>18</v>
      </c>
      <c r="C870" s="295">
        <v>5.2</v>
      </c>
      <c r="D870" s="295" t="s">
        <v>114</v>
      </c>
      <c r="E870" s="295">
        <v>28</v>
      </c>
      <c r="F870" s="316">
        <f t="shared" si="75"/>
        <v>1.037037037037037</v>
      </c>
      <c r="G870" s="321">
        <v>8.6999999999999993</v>
      </c>
      <c r="H870" s="321">
        <v>8.6</v>
      </c>
      <c r="I870" s="315">
        <f t="shared" si="83"/>
        <v>321.72599999999994</v>
      </c>
      <c r="J870" s="316">
        <f t="shared" si="76"/>
        <v>1.9436349137306077</v>
      </c>
    </row>
    <row r="871" spans="1:11">
      <c r="A871" s="295">
        <v>30</v>
      </c>
      <c r="B871" s="295">
        <f t="shared" si="77"/>
        <v>18</v>
      </c>
      <c r="C871" s="295">
        <v>5.3</v>
      </c>
      <c r="D871" s="295" t="s">
        <v>112</v>
      </c>
      <c r="E871" s="295">
        <v>31</v>
      </c>
      <c r="F871" s="316">
        <f t="shared" si="75"/>
        <v>1.1071428571428572</v>
      </c>
      <c r="G871" s="321">
        <v>11.5</v>
      </c>
      <c r="H871" s="321">
        <v>10.6</v>
      </c>
      <c r="I871" s="315">
        <f t="shared" si="83"/>
        <v>646.07000000000005</v>
      </c>
      <c r="J871" s="316">
        <f t="shared" si="76"/>
        <v>2.7228628264131225</v>
      </c>
    </row>
    <row r="872" spans="1:11">
      <c r="A872" s="295">
        <v>30</v>
      </c>
      <c r="B872" s="295">
        <f t="shared" si="77"/>
        <v>18</v>
      </c>
      <c r="C872" s="295">
        <v>5.4</v>
      </c>
      <c r="D872" s="295" t="s">
        <v>113</v>
      </c>
      <c r="E872" s="295">
        <v>26</v>
      </c>
      <c r="F872" s="316">
        <f t="shared" si="75"/>
        <v>1</v>
      </c>
      <c r="G872" s="321">
        <v>8.3000000000000007</v>
      </c>
      <c r="H872" s="321">
        <v>6.8</v>
      </c>
      <c r="I872" s="315">
        <f t="shared" si="83"/>
        <v>191.89599999999999</v>
      </c>
      <c r="J872" s="316">
        <f t="shared" si="76"/>
        <v>1.0729438076600504</v>
      </c>
      <c r="K872" s="316" t="s">
        <v>163</v>
      </c>
    </row>
    <row r="873" spans="1:11">
      <c r="A873" s="295">
        <v>30</v>
      </c>
      <c r="B873" s="295">
        <f t="shared" si="77"/>
        <v>18</v>
      </c>
      <c r="C873" s="295">
        <v>5.5</v>
      </c>
      <c r="D873" s="295" t="s">
        <v>114</v>
      </c>
      <c r="E873" s="295">
        <v>23</v>
      </c>
      <c r="F873" s="316">
        <f t="shared" si="75"/>
        <v>1.0454545454545454</v>
      </c>
      <c r="G873" s="321">
        <v>6.5</v>
      </c>
      <c r="H873" s="321">
        <v>5.9</v>
      </c>
      <c r="I873" s="315">
        <f t="shared" si="83"/>
        <v>113.13250000000001</v>
      </c>
      <c r="J873" s="316">
        <f t="shared" si="76"/>
        <v>1.1245551778294665</v>
      </c>
    </row>
    <row r="874" spans="1:11">
      <c r="A874" s="295">
        <v>30</v>
      </c>
      <c r="B874" s="295">
        <f t="shared" si="77"/>
        <v>18</v>
      </c>
      <c r="C874" s="295">
        <v>6.1</v>
      </c>
      <c r="D874" s="295" t="s">
        <v>115</v>
      </c>
      <c r="E874" s="295">
        <v>28</v>
      </c>
      <c r="F874" s="316">
        <f t="shared" si="75"/>
        <v>1.1200000000000001</v>
      </c>
      <c r="G874" s="321">
        <v>6.5</v>
      </c>
      <c r="H874" s="321">
        <v>5.2</v>
      </c>
      <c r="I874" s="315">
        <f t="shared" si="83"/>
        <v>87.88000000000001</v>
      </c>
      <c r="J874" s="316">
        <f t="shared" si="76"/>
        <v>0.65318864278281552</v>
      </c>
    </row>
    <row r="875" spans="1:11">
      <c r="A875" s="295">
        <v>30</v>
      </c>
      <c r="B875" s="295">
        <f t="shared" si="77"/>
        <v>18</v>
      </c>
      <c r="C875" s="295">
        <v>6.2</v>
      </c>
      <c r="D875" s="295" t="s">
        <v>115</v>
      </c>
      <c r="F875" s="316" t="str">
        <f t="shared" si="75"/>
        <v/>
      </c>
      <c r="G875" s="321"/>
      <c r="H875" s="321"/>
      <c r="J875" s="316" t="str">
        <f t="shared" si="76"/>
        <v/>
      </c>
    </row>
    <row r="876" spans="1:11">
      <c r="A876" s="295">
        <v>30</v>
      </c>
      <c r="B876" s="295">
        <f t="shared" si="77"/>
        <v>18</v>
      </c>
      <c r="C876" s="295">
        <v>6.3</v>
      </c>
      <c r="D876" s="295" t="s">
        <v>114</v>
      </c>
      <c r="F876" s="316" t="str">
        <f t="shared" si="75"/>
        <v/>
      </c>
      <c r="G876" s="321"/>
      <c r="H876" s="321"/>
      <c r="J876" s="316" t="str">
        <f t="shared" si="76"/>
        <v/>
      </c>
    </row>
    <row r="877" spans="1:11">
      <c r="A877" s="295">
        <v>30</v>
      </c>
      <c r="B877" s="295">
        <f t="shared" si="77"/>
        <v>18</v>
      </c>
      <c r="C877" s="295">
        <v>6.4</v>
      </c>
      <c r="D877" s="295" t="s">
        <v>112</v>
      </c>
      <c r="E877" s="295">
        <v>30</v>
      </c>
      <c r="F877" s="316">
        <f t="shared" si="75"/>
        <v>1.0344827586206897</v>
      </c>
      <c r="G877" s="321">
        <v>7.4</v>
      </c>
      <c r="H877" s="321">
        <v>7</v>
      </c>
      <c r="I877" s="315">
        <f>G877*(H877^2)*0.5</f>
        <v>181.3</v>
      </c>
      <c r="J877" s="316">
        <f t="shared" si="76"/>
        <v>3.1215564738292008</v>
      </c>
      <c r="K877" s="316" t="s">
        <v>164</v>
      </c>
    </row>
    <row r="878" spans="1:11">
      <c r="A878" s="295">
        <v>30</v>
      </c>
      <c r="B878" s="295">
        <f t="shared" si="77"/>
        <v>18</v>
      </c>
      <c r="C878" s="295">
        <v>6.5</v>
      </c>
      <c r="D878" s="295" t="s">
        <v>113</v>
      </c>
      <c r="E878" s="295">
        <v>23</v>
      </c>
      <c r="F878" s="316">
        <f t="shared" si="75"/>
        <v>0.95833333333333337</v>
      </c>
      <c r="G878" s="321">
        <v>10.8</v>
      </c>
      <c r="H878" s="321">
        <v>9.9</v>
      </c>
      <c r="I878" s="315">
        <f t="shared" ref="I878:I881" si="84">G878*(H878^2)*0.5</f>
        <v>529.25400000000002</v>
      </c>
      <c r="J878" s="316">
        <f t="shared" si="76"/>
        <v>10.4544</v>
      </c>
    </row>
    <row r="879" spans="1:11">
      <c r="A879" s="295">
        <v>30</v>
      </c>
      <c r="B879" s="295">
        <f t="shared" si="77"/>
        <v>18</v>
      </c>
      <c r="C879" s="295">
        <v>7.1</v>
      </c>
      <c r="D879" s="295" t="s">
        <v>114</v>
      </c>
      <c r="E879" s="295">
        <v>29</v>
      </c>
      <c r="F879" s="316">
        <f t="shared" si="75"/>
        <v>1.0740740740740742</v>
      </c>
      <c r="G879" s="321">
        <v>7.5</v>
      </c>
      <c r="H879" s="321">
        <v>6.8</v>
      </c>
      <c r="I879" s="315">
        <f t="shared" si="84"/>
        <v>173.39999999999998</v>
      </c>
      <c r="J879" s="316">
        <f t="shared" si="76"/>
        <v>1.2844444444444443</v>
      </c>
    </row>
    <row r="880" spans="1:11">
      <c r="A880" s="295">
        <v>30</v>
      </c>
      <c r="B880" s="295">
        <f t="shared" si="77"/>
        <v>18</v>
      </c>
      <c r="C880" s="295">
        <v>7.2</v>
      </c>
      <c r="D880" s="295" t="s">
        <v>111</v>
      </c>
      <c r="E880" s="295">
        <v>31</v>
      </c>
      <c r="F880" s="316">
        <f t="shared" si="75"/>
        <v>1.0689655172413792</v>
      </c>
      <c r="G880" s="321">
        <v>9.6999999999999993</v>
      </c>
      <c r="H880" s="321">
        <v>8.6</v>
      </c>
      <c r="I880" s="315">
        <f t="shared" si="84"/>
        <v>358.70599999999996</v>
      </c>
      <c r="J880" s="316">
        <f t="shared" si="76"/>
        <v>23.695732593473377</v>
      </c>
    </row>
    <row r="881" spans="1:11">
      <c r="A881" s="295">
        <v>30</v>
      </c>
      <c r="B881" s="295">
        <f t="shared" si="77"/>
        <v>18</v>
      </c>
      <c r="C881" s="295">
        <v>7.3</v>
      </c>
      <c r="D881" s="295" t="s">
        <v>113</v>
      </c>
      <c r="E881" s="295">
        <v>29</v>
      </c>
      <c r="F881" s="316">
        <f t="shared" si="75"/>
        <v>1.0740740740740742</v>
      </c>
      <c r="G881" s="321">
        <v>6.9</v>
      </c>
      <c r="H881" s="321">
        <v>6.6</v>
      </c>
      <c r="I881" s="315">
        <f t="shared" si="84"/>
        <v>150.28199999999998</v>
      </c>
      <c r="J881" s="316">
        <f t="shared" si="76"/>
        <v>1.0517762660619803</v>
      </c>
    </row>
    <row r="882" spans="1:11">
      <c r="A882" s="295">
        <v>30</v>
      </c>
      <c r="B882" s="295">
        <f t="shared" si="77"/>
        <v>18</v>
      </c>
      <c r="C882" s="295">
        <v>7.4</v>
      </c>
      <c r="D882" s="295" t="s">
        <v>115</v>
      </c>
      <c r="F882" s="316" t="str">
        <f t="shared" si="75"/>
        <v/>
      </c>
      <c r="G882" s="321"/>
      <c r="H882" s="321"/>
      <c r="J882" s="316" t="str">
        <f t="shared" si="76"/>
        <v/>
      </c>
    </row>
    <row r="883" spans="1:11">
      <c r="A883" s="295">
        <v>30</v>
      </c>
      <c r="B883" s="295">
        <f t="shared" si="77"/>
        <v>18</v>
      </c>
      <c r="C883" s="295">
        <v>7.5</v>
      </c>
      <c r="D883" s="295" t="s">
        <v>111</v>
      </c>
      <c r="E883" s="295">
        <v>29</v>
      </c>
      <c r="F883" s="316">
        <f t="shared" si="75"/>
        <v>1</v>
      </c>
      <c r="G883" s="321">
        <v>18.3</v>
      </c>
      <c r="H883" s="321">
        <v>13.4</v>
      </c>
      <c r="I883" s="315">
        <f t="shared" ref="I883:I886" si="85">G883*(H883^2)*0.5</f>
        <v>1642.9740000000002</v>
      </c>
      <c r="J883" s="316">
        <f t="shared" si="76"/>
        <v>26.562989070684861</v>
      </c>
      <c r="K883" s="316" t="s">
        <v>165</v>
      </c>
    </row>
    <row r="884" spans="1:11" s="316" customFormat="1">
      <c r="A884" s="295">
        <v>32</v>
      </c>
      <c r="B884" s="295">
        <f t="shared" si="77"/>
        <v>20</v>
      </c>
      <c r="C884" s="295">
        <v>1.1000000000000001</v>
      </c>
      <c r="D884" s="295" t="s">
        <v>112</v>
      </c>
      <c r="E884" s="295">
        <v>30</v>
      </c>
      <c r="F884" s="316">
        <f t="shared" si="75"/>
        <v>1.0714285714285714</v>
      </c>
      <c r="G884" s="321">
        <v>13.7</v>
      </c>
      <c r="H884" s="321">
        <v>12.8</v>
      </c>
      <c r="I884" s="315">
        <f t="shared" si="85"/>
        <v>1122.3040000000001</v>
      </c>
      <c r="J884" s="316">
        <f t="shared" si="76"/>
        <v>4.9821720292634426</v>
      </c>
    </row>
    <row r="885" spans="1:11" s="316" customFormat="1">
      <c r="A885" s="295">
        <v>32</v>
      </c>
      <c r="B885" s="295">
        <f t="shared" si="77"/>
        <v>20</v>
      </c>
      <c r="C885" s="295">
        <v>1.2</v>
      </c>
      <c r="D885" s="295" t="s">
        <v>113</v>
      </c>
      <c r="E885" s="295">
        <v>29</v>
      </c>
      <c r="F885" s="316">
        <f t="shared" si="75"/>
        <v>1.0740740740740742</v>
      </c>
      <c r="G885" s="321">
        <v>7.8</v>
      </c>
      <c r="H885" s="321">
        <v>7.5</v>
      </c>
      <c r="I885" s="315">
        <f t="shared" si="85"/>
        <v>219.375</v>
      </c>
      <c r="J885" s="316">
        <f t="shared" si="76"/>
        <v>1.0486301484453984</v>
      </c>
    </row>
    <row r="886" spans="1:11" s="316" customFormat="1">
      <c r="A886" s="295">
        <v>32</v>
      </c>
      <c r="B886" s="295">
        <f t="shared" si="77"/>
        <v>20</v>
      </c>
      <c r="C886" s="295">
        <v>1.3</v>
      </c>
      <c r="D886" s="295" t="s">
        <v>115</v>
      </c>
      <c r="E886" s="295">
        <v>26</v>
      </c>
      <c r="F886" s="316">
        <f t="shared" si="75"/>
        <v>1.0833333333333333</v>
      </c>
      <c r="G886" s="321">
        <v>13</v>
      </c>
      <c r="H886" s="321">
        <v>9.3000000000000007</v>
      </c>
      <c r="I886" s="315">
        <f t="shared" si="85"/>
        <v>562.18500000000006</v>
      </c>
      <c r="J886" s="316">
        <f t="shared" si="76"/>
        <v>5.670388525780683</v>
      </c>
    </row>
    <row r="887" spans="1:11" s="316" customFormat="1">
      <c r="A887" s="295">
        <v>32</v>
      </c>
      <c r="B887" s="295">
        <f t="shared" si="77"/>
        <v>20</v>
      </c>
      <c r="C887" s="295">
        <v>1.4</v>
      </c>
      <c r="D887" s="295" t="s">
        <v>115</v>
      </c>
      <c r="E887" s="295"/>
      <c r="F887" s="316" t="str">
        <f t="shared" si="75"/>
        <v/>
      </c>
      <c r="G887" s="321"/>
      <c r="H887" s="321"/>
      <c r="I887" s="315"/>
      <c r="J887" s="316" t="str">
        <f t="shared" si="76"/>
        <v/>
      </c>
    </row>
    <row r="888" spans="1:11" s="316" customFormat="1">
      <c r="A888" s="295">
        <v>32</v>
      </c>
      <c r="B888" s="295">
        <f t="shared" si="77"/>
        <v>20</v>
      </c>
      <c r="C888" s="295">
        <v>1.5</v>
      </c>
      <c r="D888" s="295" t="s">
        <v>112</v>
      </c>
      <c r="E888" s="295">
        <v>27</v>
      </c>
      <c r="F888" s="316">
        <f t="shared" si="75"/>
        <v>0.9642857142857143</v>
      </c>
      <c r="G888" s="321">
        <v>11.9</v>
      </c>
      <c r="H888" s="321">
        <v>10.199999999999999</v>
      </c>
      <c r="I888" s="315">
        <f t="shared" ref="I888:I889" si="86">G888*(H888^2)*0.5</f>
        <v>619.03800000000001</v>
      </c>
      <c r="J888" s="316">
        <f t="shared" si="76"/>
        <v>4.445068359375</v>
      </c>
    </row>
    <row r="889" spans="1:11" s="316" customFormat="1">
      <c r="A889" s="295">
        <v>32</v>
      </c>
      <c r="B889" s="295">
        <f t="shared" si="77"/>
        <v>20</v>
      </c>
      <c r="C889" s="295">
        <v>2.1</v>
      </c>
      <c r="D889" s="295" t="s">
        <v>114</v>
      </c>
      <c r="E889" s="295">
        <v>30</v>
      </c>
      <c r="F889" s="316">
        <f t="shared" si="75"/>
        <v>1.1538461538461537</v>
      </c>
      <c r="G889" s="321">
        <v>10.1</v>
      </c>
      <c r="H889" s="321">
        <v>8.4</v>
      </c>
      <c r="I889" s="315">
        <f t="shared" si="86"/>
        <v>356.32799999999997</v>
      </c>
      <c r="J889" s="316">
        <f t="shared" si="76"/>
        <v>1.8947620301021746</v>
      </c>
    </row>
    <row r="890" spans="1:11" s="316" customFormat="1">
      <c r="A890" s="295">
        <v>32</v>
      </c>
      <c r="B890" s="295">
        <f t="shared" si="77"/>
        <v>20</v>
      </c>
      <c r="C890" s="295">
        <v>2.2000000000000002</v>
      </c>
      <c r="D890" s="295" t="s">
        <v>115</v>
      </c>
      <c r="E890" s="295"/>
      <c r="F890" s="316" t="str">
        <f t="shared" si="75"/>
        <v/>
      </c>
      <c r="G890" s="321"/>
      <c r="H890" s="321"/>
      <c r="I890" s="315"/>
      <c r="J890" s="316" t="str">
        <f t="shared" si="76"/>
        <v/>
      </c>
    </row>
    <row r="891" spans="1:11" s="316" customFormat="1">
      <c r="A891" s="295">
        <v>32</v>
      </c>
      <c r="B891" s="295">
        <f t="shared" si="77"/>
        <v>20</v>
      </c>
      <c r="C891" s="295">
        <v>2.2999999999999998</v>
      </c>
      <c r="D891" s="295" t="s">
        <v>112</v>
      </c>
      <c r="E891" s="295">
        <v>27</v>
      </c>
      <c r="F891" s="316">
        <f t="shared" si="75"/>
        <v>1.08</v>
      </c>
      <c r="G891" s="321">
        <v>15.4</v>
      </c>
      <c r="H891" s="321">
        <v>12.5</v>
      </c>
      <c r="I891" s="315">
        <f t="shared" ref="I891:I896" si="87">G891*(H891^2)*0.5</f>
        <v>1203.125</v>
      </c>
      <c r="J891" s="316">
        <f t="shared" si="76"/>
        <v>7.2436827560463106</v>
      </c>
    </row>
    <row r="892" spans="1:11" s="316" customFormat="1">
      <c r="A892" s="295">
        <v>32</v>
      </c>
      <c r="B892" s="295">
        <f t="shared" si="77"/>
        <v>20</v>
      </c>
      <c r="C892" s="295">
        <v>2.4</v>
      </c>
      <c r="D892" s="295" t="s">
        <v>114</v>
      </c>
      <c r="E892" s="295">
        <v>28</v>
      </c>
      <c r="F892" s="316">
        <f t="shared" si="75"/>
        <v>1.1200000000000001</v>
      </c>
      <c r="G892" s="321">
        <v>7.6</v>
      </c>
      <c r="H892" s="321">
        <v>4.9000000000000004</v>
      </c>
      <c r="I892" s="315">
        <f t="shared" si="87"/>
        <v>91.238000000000014</v>
      </c>
      <c r="J892" s="316">
        <f t="shared" si="76"/>
        <v>0.84872558139534893</v>
      </c>
    </row>
    <row r="893" spans="1:11" s="316" customFormat="1">
      <c r="A893" s="295">
        <v>32</v>
      </c>
      <c r="B893" s="295">
        <f t="shared" si="77"/>
        <v>20</v>
      </c>
      <c r="C893" s="295">
        <v>2.5</v>
      </c>
      <c r="D893" s="295" t="s">
        <v>113</v>
      </c>
      <c r="E893" s="295">
        <v>30</v>
      </c>
      <c r="F893" s="316">
        <f t="shared" si="75"/>
        <v>1.1111111111111112</v>
      </c>
      <c r="G893" s="321">
        <v>8.6</v>
      </c>
      <c r="H893" s="321">
        <v>7.3</v>
      </c>
      <c r="I893" s="315">
        <f t="shared" si="87"/>
        <v>229.14699999999999</v>
      </c>
      <c r="J893" s="316">
        <f t="shared" si="76"/>
        <v>1.3433246180722467</v>
      </c>
    </row>
    <row r="894" spans="1:11" s="316" customFormat="1">
      <c r="A894" s="295">
        <v>32</v>
      </c>
      <c r="B894" s="295">
        <f t="shared" si="77"/>
        <v>20</v>
      </c>
      <c r="C894" s="295">
        <v>3.1</v>
      </c>
      <c r="D894" s="295" t="s">
        <v>115</v>
      </c>
      <c r="E894" s="295">
        <v>27</v>
      </c>
      <c r="F894" s="316">
        <f t="shared" si="75"/>
        <v>1.125</v>
      </c>
      <c r="G894" s="321">
        <v>6.2</v>
      </c>
      <c r="H894" s="321">
        <v>4.2</v>
      </c>
      <c r="I894" s="315">
        <f t="shared" si="87"/>
        <v>54.684000000000005</v>
      </c>
      <c r="J894" s="316">
        <f t="shared" si="76"/>
        <v>0.30099903674143391</v>
      </c>
    </row>
    <row r="895" spans="1:11" s="316" customFormat="1">
      <c r="A895" s="295">
        <v>32</v>
      </c>
      <c r="B895" s="295">
        <f t="shared" si="77"/>
        <v>20</v>
      </c>
      <c r="C895" s="295">
        <v>3.2</v>
      </c>
      <c r="D895" s="295" t="s">
        <v>113</v>
      </c>
      <c r="E895" s="295">
        <v>34</v>
      </c>
      <c r="F895" s="316">
        <f t="shared" si="75"/>
        <v>1.1333333333333333</v>
      </c>
      <c r="G895" s="321">
        <v>9.1</v>
      </c>
      <c r="H895" s="321">
        <v>8</v>
      </c>
      <c r="I895" s="315">
        <f t="shared" si="87"/>
        <v>291.2</v>
      </c>
      <c r="J895" s="316">
        <f t="shared" si="76"/>
        <v>1.5174886396798266</v>
      </c>
    </row>
    <row r="896" spans="1:11" s="316" customFormat="1">
      <c r="A896" s="295">
        <v>32</v>
      </c>
      <c r="B896" s="295">
        <f t="shared" si="77"/>
        <v>20</v>
      </c>
      <c r="C896" s="295">
        <v>3.3</v>
      </c>
      <c r="D896" s="295" t="s">
        <v>114</v>
      </c>
      <c r="E896" s="295">
        <v>27</v>
      </c>
      <c r="F896" s="316">
        <f t="shared" si="75"/>
        <v>1.08</v>
      </c>
      <c r="G896" s="321">
        <v>9.1999999999999993</v>
      </c>
      <c r="H896" s="321">
        <v>9.1</v>
      </c>
      <c r="I896" s="315">
        <f t="shared" si="87"/>
        <v>380.92599999999993</v>
      </c>
      <c r="J896" s="316">
        <f t="shared" si="76"/>
        <v>1.8509523809523805</v>
      </c>
    </row>
    <row r="897" spans="1:11" s="316" customFormat="1">
      <c r="A897" s="295">
        <v>32</v>
      </c>
      <c r="B897" s="295">
        <f t="shared" si="77"/>
        <v>20</v>
      </c>
      <c r="C897" s="295">
        <v>3.4</v>
      </c>
      <c r="D897" s="295" t="s">
        <v>114</v>
      </c>
      <c r="E897" s="295"/>
      <c r="F897" s="316" t="str">
        <f t="shared" si="75"/>
        <v/>
      </c>
      <c r="G897" s="321"/>
      <c r="H897" s="321"/>
      <c r="I897" s="315"/>
      <c r="J897" s="316" t="str">
        <f t="shared" si="76"/>
        <v/>
      </c>
    </row>
    <row r="898" spans="1:11" s="316" customFormat="1">
      <c r="A898" s="295">
        <v>32</v>
      </c>
      <c r="B898" s="295">
        <f t="shared" si="77"/>
        <v>20</v>
      </c>
      <c r="C898" s="295">
        <v>3.5</v>
      </c>
      <c r="D898" s="295" t="s">
        <v>115</v>
      </c>
      <c r="E898" s="295"/>
      <c r="F898" s="316" t="str">
        <f t="shared" si="75"/>
        <v/>
      </c>
      <c r="G898" s="321"/>
      <c r="H898" s="321"/>
      <c r="I898" s="315"/>
      <c r="J898" s="316" t="str">
        <f t="shared" si="76"/>
        <v/>
      </c>
    </row>
    <row r="899" spans="1:11" s="316" customFormat="1">
      <c r="A899" s="295">
        <v>32</v>
      </c>
      <c r="B899" s="295">
        <f t="shared" si="77"/>
        <v>20</v>
      </c>
      <c r="C899" s="295">
        <v>4.0999999999999996</v>
      </c>
      <c r="D899" s="295" t="s">
        <v>111</v>
      </c>
      <c r="E899" s="295"/>
      <c r="F899" s="316" t="str">
        <f t="shared" si="75"/>
        <v/>
      </c>
      <c r="G899" s="321"/>
      <c r="H899" s="321"/>
      <c r="I899" s="315"/>
      <c r="J899" s="316" t="str">
        <f t="shared" si="76"/>
        <v/>
      </c>
    </row>
    <row r="900" spans="1:11">
      <c r="A900" s="295">
        <v>32</v>
      </c>
      <c r="B900" s="295">
        <f t="shared" si="77"/>
        <v>20</v>
      </c>
      <c r="C900" s="295">
        <v>4.2</v>
      </c>
      <c r="D900" s="295" t="s">
        <v>112</v>
      </c>
      <c r="E900" s="295">
        <v>33</v>
      </c>
      <c r="F900" s="316">
        <f t="shared" si="75"/>
        <v>1.1379310344827587</v>
      </c>
      <c r="G900" s="321">
        <v>15.5</v>
      </c>
      <c r="H900" s="321">
        <v>11.6</v>
      </c>
      <c r="I900" s="315">
        <f t="shared" ref="I900:I901" si="88">G900*(H900^2)*0.5</f>
        <v>1042.8399999999999</v>
      </c>
      <c r="J900" s="316">
        <f t="shared" si="76"/>
        <v>3.1331758993864884</v>
      </c>
    </row>
    <row r="901" spans="1:11">
      <c r="A901" s="295">
        <v>32</v>
      </c>
      <c r="B901" s="295">
        <f t="shared" si="77"/>
        <v>20</v>
      </c>
      <c r="C901" s="295">
        <v>4.3</v>
      </c>
      <c r="D901" s="295" t="s">
        <v>113</v>
      </c>
      <c r="E901" s="295">
        <v>29</v>
      </c>
      <c r="F901" s="316">
        <f t="shared" si="75"/>
        <v>1.1153846153846154</v>
      </c>
      <c r="G901" s="321">
        <v>9.9</v>
      </c>
      <c r="H901" s="321">
        <v>8.1999999999999993</v>
      </c>
      <c r="I901" s="315">
        <f t="shared" si="88"/>
        <v>332.83799999999997</v>
      </c>
      <c r="J901" s="316">
        <f t="shared" si="76"/>
        <v>2.3899787454044112</v>
      </c>
    </row>
    <row r="902" spans="1:11">
      <c r="A902" s="295">
        <v>32</v>
      </c>
      <c r="B902" s="295">
        <f t="shared" si="77"/>
        <v>20</v>
      </c>
      <c r="C902" s="295">
        <v>4.4000000000000004</v>
      </c>
      <c r="D902" s="295" t="s">
        <v>112</v>
      </c>
      <c r="F902" s="316" t="str">
        <f t="shared" si="75"/>
        <v/>
      </c>
      <c r="G902" s="321"/>
      <c r="H902" s="321"/>
      <c r="J902" s="316" t="str">
        <f t="shared" si="76"/>
        <v/>
      </c>
    </row>
    <row r="903" spans="1:11">
      <c r="A903" s="295">
        <v>32</v>
      </c>
      <c r="B903" s="295">
        <f t="shared" si="77"/>
        <v>20</v>
      </c>
      <c r="C903" s="295">
        <v>4.5</v>
      </c>
      <c r="D903" s="295" t="s">
        <v>112</v>
      </c>
      <c r="E903" s="295">
        <v>29</v>
      </c>
      <c r="F903" s="316">
        <f t="shared" si="75"/>
        <v>1.0740740740740742</v>
      </c>
      <c r="G903" s="321">
        <v>14.9</v>
      </c>
      <c r="H903" s="321">
        <v>12.8</v>
      </c>
      <c r="I903" s="315">
        <f t="shared" ref="I903:I909" si="89">G903*(H903^2)*0.5</f>
        <v>1220.6080000000002</v>
      </c>
      <c r="J903" s="316">
        <f t="shared" si="76"/>
        <v>5.4535738859251719</v>
      </c>
    </row>
    <row r="904" spans="1:11">
      <c r="A904" s="295">
        <v>32</v>
      </c>
      <c r="B904" s="295">
        <f t="shared" si="77"/>
        <v>20</v>
      </c>
      <c r="C904" s="295">
        <v>5.0999999999999996</v>
      </c>
      <c r="D904" s="295" t="s">
        <v>113</v>
      </c>
      <c r="E904" s="295">
        <v>29</v>
      </c>
      <c r="F904" s="316">
        <f t="shared" si="75"/>
        <v>1.2083333333333333</v>
      </c>
      <c r="G904" s="321">
        <v>8.9</v>
      </c>
      <c r="H904" s="321">
        <v>7.7</v>
      </c>
      <c r="I904" s="315">
        <f t="shared" si="89"/>
        <v>263.84050000000002</v>
      </c>
      <c r="J904" s="316">
        <f t="shared" si="76"/>
        <v>1.5885106536699318</v>
      </c>
    </row>
    <row r="905" spans="1:11">
      <c r="A905" s="295">
        <v>32</v>
      </c>
      <c r="B905" s="295">
        <f t="shared" si="77"/>
        <v>20</v>
      </c>
      <c r="C905" s="295">
        <v>5.2</v>
      </c>
      <c r="D905" s="295" t="s">
        <v>114</v>
      </c>
      <c r="E905" s="295">
        <v>30</v>
      </c>
      <c r="F905" s="316">
        <f t="shared" ref="F905:F968" si="90">IF(ISBLANK(E905),"",E905/SUMIFS(E:E,C:C,C905,B:B,"0"))</f>
        <v>1.1111111111111112</v>
      </c>
      <c r="G905" s="321">
        <v>8.6999999999999993</v>
      </c>
      <c r="H905" s="321">
        <v>8.6</v>
      </c>
      <c r="I905" s="315">
        <f t="shared" si="89"/>
        <v>321.72599999999994</v>
      </c>
      <c r="J905" s="316">
        <f t="shared" ref="J905:J968" si="91">IF(ISBLANK(I905),"",I905/SUMIFS(I:I,C:C,C905,B:B,"0"))</f>
        <v>1.9436349137306077</v>
      </c>
    </row>
    <row r="906" spans="1:11">
      <c r="A906" s="295">
        <v>32</v>
      </c>
      <c r="B906" s="295">
        <f t="shared" ref="B906:B969" si="92">A906-12</f>
        <v>20</v>
      </c>
      <c r="C906" s="295">
        <v>5.3</v>
      </c>
      <c r="D906" s="295" t="s">
        <v>112</v>
      </c>
      <c r="E906" s="295">
        <v>33</v>
      </c>
      <c r="F906" s="316">
        <f t="shared" si="90"/>
        <v>1.1785714285714286</v>
      </c>
      <c r="G906" s="321">
        <v>11.5</v>
      </c>
      <c r="H906" s="321">
        <v>10.6</v>
      </c>
      <c r="I906" s="315">
        <f t="shared" si="89"/>
        <v>646.07000000000005</v>
      </c>
      <c r="J906" s="316">
        <f t="shared" si="91"/>
        <v>2.7228628264131225</v>
      </c>
    </row>
    <row r="907" spans="1:11">
      <c r="A907" s="295">
        <v>32</v>
      </c>
      <c r="B907" s="295">
        <f t="shared" si="92"/>
        <v>20</v>
      </c>
      <c r="C907" s="295">
        <v>5.4</v>
      </c>
      <c r="D907" s="295" t="s">
        <v>113</v>
      </c>
      <c r="E907" s="295">
        <v>27</v>
      </c>
      <c r="F907" s="316">
        <f t="shared" si="90"/>
        <v>1.0384615384615385</v>
      </c>
      <c r="G907" s="321">
        <v>8.3000000000000007</v>
      </c>
      <c r="H907" s="321">
        <v>6.8</v>
      </c>
      <c r="I907" s="315">
        <f t="shared" si="89"/>
        <v>191.89599999999999</v>
      </c>
      <c r="J907" s="316">
        <f t="shared" si="91"/>
        <v>1.0729438076600504</v>
      </c>
    </row>
    <row r="908" spans="1:11">
      <c r="A908" s="295">
        <v>32</v>
      </c>
      <c r="B908" s="295">
        <f t="shared" si="92"/>
        <v>20</v>
      </c>
      <c r="C908" s="295">
        <v>5.5</v>
      </c>
      <c r="D908" s="295" t="s">
        <v>114</v>
      </c>
      <c r="E908" s="295">
        <v>23</v>
      </c>
      <c r="F908" s="316">
        <f t="shared" si="90"/>
        <v>1.0454545454545454</v>
      </c>
      <c r="G908" s="321">
        <v>6.5</v>
      </c>
      <c r="H908" s="321">
        <v>5.9</v>
      </c>
      <c r="I908" s="315">
        <f t="shared" si="89"/>
        <v>113.13250000000001</v>
      </c>
      <c r="J908" s="316">
        <f t="shared" si="91"/>
        <v>1.1245551778294665</v>
      </c>
    </row>
    <row r="909" spans="1:11">
      <c r="A909" s="295">
        <v>32</v>
      </c>
      <c r="B909" s="295">
        <f t="shared" si="92"/>
        <v>20</v>
      </c>
      <c r="C909" s="295">
        <v>6.1</v>
      </c>
      <c r="D909" s="295" t="s">
        <v>115</v>
      </c>
      <c r="E909" s="295">
        <v>28</v>
      </c>
      <c r="F909" s="316">
        <f t="shared" si="90"/>
        <v>1.1200000000000001</v>
      </c>
      <c r="G909" s="321">
        <v>6.5</v>
      </c>
      <c r="H909" s="321">
        <v>5.2</v>
      </c>
      <c r="I909" s="315">
        <f t="shared" si="89"/>
        <v>87.88000000000001</v>
      </c>
      <c r="J909" s="316">
        <f t="shared" si="91"/>
        <v>0.65318864278281552</v>
      </c>
    </row>
    <row r="910" spans="1:11">
      <c r="A910" s="295">
        <v>32</v>
      </c>
      <c r="B910" s="295">
        <f t="shared" si="92"/>
        <v>20</v>
      </c>
      <c r="C910" s="295">
        <v>6.2</v>
      </c>
      <c r="D910" s="295" t="s">
        <v>115</v>
      </c>
      <c r="F910" s="316" t="str">
        <f t="shared" si="90"/>
        <v/>
      </c>
      <c r="G910" s="321"/>
      <c r="H910" s="321"/>
      <c r="J910" s="316" t="str">
        <f t="shared" si="91"/>
        <v/>
      </c>
    </row>
    <row r="911" spans="1:11">
      <c r="A911" s="295">
        <v>32</v>
      </c>
      <c r="B911" s="295">
        <f t="shared" si="92"/>
        <v>20</v>
      </c>
      <c r="C911" s="295">
        <v>6.3</v>
      </c>
      <c r="D911" s="295" t="s">
        <v>114</v>
      </c>
      <c r="F911" s="316" t="str">
        <f t="shared" si="90"/>
        <v/>
      </c>
      <c r="G911" s="321"/>
      <c r="H911" s="321"/>
      <c r="J911" s="316" t="str">
        <f t="shared" si="91"/>
        <v/>
      </c>
    </row>
    <row r="912" spans="1:11">
      <c r="A912" s="295">
        <v>32</v>
      </c>
      <c r="B912" s="295">
        <f t="shared" si="92"/>
        <v>20</v>
      </c>
      <c r="C912" s="295">
        <v>6.4</v>
      </c>
      <c r="D912" s="295" t="s">
        <v>112</v>
      </c>
      <c r="E912" s="295">
        <v>31</v>
      </c>
      <c r="F912" s="316">
        <f t="shared" si="90"/>
        <v>1.0689655172413792</v>
      </c>
      <c r="G912" s="321">
        <v>7.4</v>
      </c>
      <c r="H912" s="321">
        <v>7</v>
      </c>
      <c r="I912" s="315">
        <f>G912*(H912^2)*0.5</f>
        <v>181.3</v>
      </c>
      <c r="J912" s="316">
        <f t="shared" si="91"/>
        <v>3.1215564738292008</v>
      </c>
      <c r="K912" s="316" t="s">
        <v>166</v>
      </c>
    </row>
    <row r="913" spans="1:10">
      <c r="A913" s="295">
        <v>32</v>
      </c>
      <c r="B913" s="295">
        <f t="shared" si="92"/>
        <v>20</v>
      </c>
      <c r="C913" s="295">
        <v>6.5</v>
      </c>
      <c r="D913" s="295" t="s">
        <v>113</v>
      </c>
      <c r="E913" s="295">
        <v>23</v>
      </c>
      <c r="F913" s="316">
        <f t="shared" si="90"/>
        <v>0.95833333333333337</v>
      </c>
      <c r="G913" s="321">
        <v>10.8</v>
      </c>
      <c r="H913" s="321">
        <v>9.9</v>
      </c>
      <c r="I913" s="315">
        <f t="shared" ref="I913:I916" si="93">G913*(H913^2)*0.5</f>
        <v>529.25400000000002</v>
      </c>
      <c r="J913" s="316">
        <f t="shared" si="91"/>
        <v>10.4544</v>
      </c>
    </row>
    <row r="914" spans="1:10">
      <c r="A914" s="295">
        <v>32</v>
      </c>
      <c r="B914" s="295">
        <f t="shared" si="92"/>
        <v>20</v>
      </c>
      <c r="C914" s="295">
        <v>7.1</v>
      </c>
      <c r="D914" s="295" t="s">
        <v>114</v>
      </c>
      <c r="E914" s="295">
        <v>29</v>
      </c>
      <c r="F914" s="316">
        <f t="shared" si="90"/>
        <v>1.0740740740740742</v>
      </c>
      <c r="G914" s="321">
        <v>7.5</v>
      </c>
      <c r="H914" s="321">
        <v>6.8</v>
      </c>
      <c r="I914" s="315">
        <f t="shared" si="93"/>
        <v>173.39999999999998</v>
      </c>
      <c r="J914" s="316">
        <f t="shared" si="91"/>
        <v>1.2844444444444443</v>
      </c>
    </row>
    <row r="915" spans="1:10">
      <c r="A915" s="295">
        <v>32</v>
      </c>
      <c r="B915" s="295">
        <f t="shared" si="92"/>
        <v>20</v>
      </c>
      <c r="C915" s="295">
        <v>7.2</v>
      </c>
      <c r="D915" s="295" t="s">
        <v>111</v>
      </c>
      <c r="E915" s="295">
        <v>31</v>
      </c>
      <c r="F915" s="316">
        <f t="shared" si="90"/>
        <v>1.0689655172413792</v>
      </c>
      <c r="G915" s="321">
        <v>9.6999999999999993</v>
      </c>
      <c r="H915" s="321">
        <v>8.6</v>
      </c>
      <c r="I915" s="315">
        <f t="shared" si="93"/>
        <v>358.70599999999996</v>
      </c>
      <c r="J915" s="316">
        <f t="shared" si="91"/>
        <v>23.695732593473377</v>
      </c>
    </row>
    <row r="916" spans="1:10" s="316" customFormat="1">
      <c r="A916" s="295">
        <v>32</v>
      </c>
      <c r="B916" s="295">
        <f t="shared" si="92"/>
        <v>20</v>
      </c>
      <c r="C916" s="295">
        <v>7.3</v>
      </c>
      <c r="D916" s="295" t="s">
        <v>113</v>
      </c>
      <c r="E916" s="295">
        <v>29</v>
      </c>
      <c r="F916" s="316">
        <f t="shared" si="90"/>
        <v>1.0740740740740742</v>
      </c>
      <c r="G916" s="321">
        <v>6.9</v>
      </c>
      <c r="H916" s="321">
        <v>6.6</v>
      </c>
      <c r="I916" s="315">
        <f t="shared" si="93"/>
        <v>150.28199999999998</v>
      </c>
      <c r="J916" s="316">
        <f t="shared" si="91"/>
        <v>1.0517762660619803</v>
      </c>
    </row>
    <row r="917" spans="1:10" s="316" customFormat="1">
      <c r="A917" s="295">
        <v>32</v>
      </c>
      <c r="B917" s="295">
        <f t="shared" si="92"/>
        <v>20</v>
      </c>
      <c r="C917" s="295">
        <v>7.4</v>
      </c>
      <c r="D917" s="295" t="s">
        <v>115</v>
      </c>
      <c r="E917" s="295"/>
      <c r="F917" s="316" t="str">
        <f t="shared" si="90"/>
        <v/>
      </c>
      <c r="G917" s="321"/>
      <c r="H917" s="321"/>
      <c r="I917" s="315"/>
      <c r="J917" s="316" t="str">
        <f t="shared" si="91"/>
        <v/>
      </c>
    </row>
    <row r="918" spans="1:10" s="316" customFormat="1">
      <c r="A918" s="295">
        <v>32</v>
      </c>
      <c r="B918" s="295">
        <f t="shared" si="92"/>
        <v>20</v>
      </c>
      <c r="C918" s="295">
        <v>7.5</v>
      </c>
      <c r="D918" s="295" t="s">
        <v>111</v>
      </c>
      <c r="E918" s="295"/>
      <c r="F918" s="316" t="str">
        <f t="shared" si="90"/>
        <v/>
      </c>
      <c r="G918" s="321"/>
      <c r="H918" s="321"/>
      <c r="I918" s="315"/>
      <c r="J918" s="316" t="str">
        <f t="shared" si="91"/>
        <v/>
      </c>
    </row>
    <row r="919" spans="1:10" s="316" customFormat="1">
      <c r="A919" s="295">
        <v>34</v>
      </c>
      <c r="B919" s="295">
        <f t="shared" si="92"/>
        <v>22</v>
      </c>
      <c r="C919" s="295">
        <v>1.1000000000000001</v>
      </c>
      <c r="D919" s="295" t="s">
        <v>112</v>
      </c>
      <c r="E919" s="295">
        <v>30</v>
      </c>
      <c r="F919" s="316">
        <f t="shared" si="90"/>
        <v>1.0714285714285714</v>
      </c>
      <c r="G919" s="321">
        <v>15.2</v>
      </c>
      <c r="H919" s="321">
        <v>14.1</v>
      </c>
      <c r="I919" s="315">
        <f t="shared" ref="I919:I921" si="94">G919*(H919^2)*0.5</f>
        <v>1510.9559999999999</v>
      </c>
      <c r="J919" s="316">
        <f t="shared" si="91"/>
        <v>6.7074898785425106</v>
      </c>
    </row>
    <row r="920" spans="1:10" s="316" customFormat="1">
      <c r="A920" s="295">
        <v>34</v>
      </c>
      <c r="B920" s="295">
        <f t="shared" si="92"/>
        <v>22</v>
      </c>
      <c r="C920" s="295">
        <v>1.2</v>
      </c>
      <c r="D920" s="295" t="s">
        <v>113</v>
      </c>
      <c r="E920" s="295">
        <v>30</v>
      </c>
      <c r="F920" s="316">
        <f t="shared" si="90"/>
        <v>1.1111111111111112</v>
      </c>
      <c r="G920" s="321">
        <v>8.1999999999999993</v>
      </c>
      <c r="H920" s="321">
        <v>7.5</v>
      </c>
      <c r="I920" s="315">
        <f t="shared" si="94"/>
        <v>230.62499999999997</v>
      </c>
      <c r="J920" s="316">
        <f t="shared" si="91"/>
        <v>1.1024060534938802</v>
      </c>
    </row>
    <row r="921" spans="1:10" s="316" customFormat="1">
      <c r="A921" s="295">
        <v>34</v>
      </c>
      <c r="B921" s="295">
        <f t="shared" si="92"/>
        <v>22</v>
      </c>
      <c r="C921" s="295">
        <v>1.3</v>
      </c>
      <c r="D921" s="295" t="s">
        <v>115</v>
      </c>
      <c r="E921" s="295">
        <v>26</v>
      </c>
      <c r="F921" s="316">
        <f t="shared" si="90"/>
        <v>1.0833333333333333</v>
      </c>
      <c r="G921" s="321">
        <v>13.4</v>
      </c>
      <c r="H921" s="321">
        <v>9.9</v>
      </c>
      <c r="I921" s="315">
        <f t="shared" si="94"/>
        <v>656.66700000000003</v>
      </c>
      <c r="J921" s="316">
        <f t="shared" si="91"/>
        <v>6.6233660130718954</v>
      </c>
    </row>
    <row r="922" spans="1:10" s="316" customFormat="1">
      <c r="A922" s="295">
        <v>34</v>
      </c>
      <c r="B922" s="295">
        <f t="shared" si="92"/>
        <v>22</v>
      </c>
      <c r="C922" s="295">
        <v>1.4</v>
      </c>
      <c r="D922" s="295" t="s">
        <v>115</v>
      </c>
      <c r="E922" s="295"/>
      <c r="F922" s="316" t="str">
        <f t="shared" si="90"/>
        <v/>
      </c>
      <c r="G922" s="321"/>
      <c r="H922" s="321"/>
      <c r="I922" s="315"/>
      <c r="J922" s="316" t="str">
        <f t="shared" si="91"/>
        <v/>
      </c>
    </row>
    <row r="923" spans="1:10" s="316" customFormat="1">
      <c r="A923" s="295">
        <v>34</v>
      </c>
      <c r="B923" s="295">
        <f t="shared" si="92"/>
        <v>22</v>
      </c>
      <c r="C923" s="295">
        <v>1.5</v>
      </c>
      <c r="D923" s="295" t="s">
        <v>112</v>
      </c>
      <c r="E923" s="295">
        <v>28</v>
      </c>
      <c r="F923" s="316">
        <f t="shared" si="90"/>
        <v>1</v>
      </c>
      <c r="G923" s="321">
        <v>12</v>
      </c>
      <c r="H923" s="321">
        <v>10.7</v>
      </c>
      <c r="I923" s="315">
        <f t="shared" ref="I923:I924" si="95">G923*(H923^2)*0.5</f>
        <v>686.93999999999983</v>
      </c>
      <c r="J923" s="316">
        <f t="shared" si="91"/>
        <v>4.9326459099264692</v>
      </c>
    </row>
    <row r="924" spans="1:10" s="316" customFormat="1">
      <c r="A924" s="295">
        <v>34</v>
      </c>
      <c r="B924" s="295">
        <f t="shared" si="92"/>
        <v>22</v>
      </c>
      <c r="C924" s="295">
        <v>2.1</v>
      </c>
      <c r="D924" s="295" t="s">
        <v>114</v>
      </c>
      <c r="E924" s="295">
        <v>30</v>
      </c>
      <c r="F924" s="316">
        <f t="shared" si="90"/>
        <v>1.1538461538461537</v>
      </c>
      <c r="G924" s="321">
        <v>10.199999999999999</v>
      </c>
      <c r="H924" s="321">
        <v>7.7</v>
      </c>
      <c r="I924" s="315">
        <f t="shared" si="95"/>
        <v>302.37900000000002</v>
      </c>
      <c r="J924" s="316">
        <f t="shared" si="91"/>
        <v>1.6078900560726788</v>
      </c>
    </row>
    <row r="925" spans="1:10" s="316" customFormat="1">
      <c r="A925" s="295">
        <v>34</v>
      </c>
      <c r="B925" s="295">
        <f t="shared" si="92"/>
        <v>22</v>
      </c>
      <c r="C925" s="295">
        <v>2.2000000000000002</v>
      </c>
      <c r="D925" s="295" t="s">
        <v>115</v>
      </c>
      <c r="E925" s="295"/>
      <c r="F925" s="316" t="str">
        <f t="shared" si="90"/>
        <v/>
      </c>
      <c r="G925" s="321"/>
      <c r="H925" s="321"/>
      <c r="I925" s="315"/>
      <c r="J925" s="316" t="str">
        <f t="shared" si="91"/>
        <v/>
      </c>
    </row>
    <row r="926" spans="1:10" s="316" customFormat="1">
      <c r="A926" s="295">
        <v>34</v>
      </c>
      <c r="B926" s="295">
        <f t="shared" si="92"/>
        <v>22</v>
      </c>
      <c r="C926" s="295">
        <v>2.2999999999999998</v>
      </c>
      <c r="D926" s="295" t="s">
        <v>112</v>
      </c>
      <c r="E926" s="295">
        <v>26</v>
      </c>
      <c r="F926" s="316">
        <f t="shared" si="90"/>
        <v>1.04</v>
      </c>
      <c r="G926" s="321">
        <v>14.6</v>
      </c>
      <c r="H926" s="321">
        <v>11.6</v>
      </c>
      <c r="I926" s="315">
        <f t="shared" ref="I926:I931" si="96">G926*(H926^2)*0.5</f>
        <v>982.28800000000001</v>
      </c>
      <c r="J926" s="316">
        <f t="shared" si="91"/>
        <v>5.914084278085169</v>
      </c>
    </row>
    <row r="927" spans="1:10" s="316" customFormat="1">
      <c r="A927" s="295">
        <v>34</v>
      </c>
      <c r="B927" s="295">
        <f t="shared" si="92"/>
        <v>22</v>
      </c>
      <c r="C927" s="295">
        <v>2.4</v>
      </c>
      <c r="D927" s="295" t="s">
        <v>114</v>
      </c>
      <c r="E927" s="295">
        <v>28</v>
      </c>
      <c r="F927" s="316">
        <f t="shared" si="90"/>
        <v>1.1200000000000001</v>
      </c>
      <c r="G927" s="321">
        <v>6</v>
      </c>
      <c r="H927" s="321">
        <v>5.9</v>
      </c>
      <c r="I927" s="315">
        <f t="shared" si="96"/>
        <v>104.43</v>
      </c>
      <c r="J927" s="316">
        <f t="shared" si="91"/>
        <v>0.97144186046511638</v>
      </c>
    </row>
    <row r="928" spans="1:10" s="316" customFormat="1">
      <c r="A928" s="295">
        <v>34</v>
      </c>
      <c r="B928" s="295">
        <f t="shared" si="92"/>
        <v>22</v>
      </c>
      <c r="C928" s="295">
        <v>2.5</v>
      </c>
      <c r="D928" s="295" t="s">
        <v>113</v>
      </c>
      <c r="E928" s="295">
        <v>29</v>
      </c>
      <c r="F928" s="316">
        <f t="shared" si="90"/>
        <v>1.0740740740740742</v>
      </c>
      <c r="G928" s="321">
        <v>7.8</v>
      </c>
      <c r="H928" s="321">
        <v>6.9</v>
      </c>
      <c r="I928" s="315">
        <f t="shared" si="96"/>
        <v>185.67900000000003</v>
      </c>
      <c r="J928" s="316">
        <f t="shared" si="91"/>
        <v>1.0885028901056386</v>
      </c>
    </row>
    <row r="929" spans="1:11" s="316" customFormat="1">
      <c r="A929" s="295">
        <v>34</v>
      </c>
      <c r="B929" s="295">
        <f t="shared" si="92"/>
        <v>22</v>
      </c>
      <c r="C929" s="295">
        <v>3.1</v>
      </c>
      <c r="D929" s="295" t="s">
        <v>115</v>
      </c>
      <c r="E929" s="295">
        <v>26</v>
      </c>
      <c r="F929" s="316">
        <f t="shared" si="90"/>
        <v>1.0833333333333333</v>
      </c>
      <c r="G929" s="321">
        <v>5.0999999999999996</v>
      </c>
      <c r="H929" s="321">
        <v>4.8</v>
      </c>
      <c r="I929" s="315">
        <f t="shared" si="96"/>
        <v>58.751999999999995</v>
      </c>
      <c r="J929" s="316">
        <f t="shared" si="91"/>
        <v>0.32339067015274531</v>
      </c>
    </row>
    <row r="930" spans="1:11" s="316" customFormat="1">
      <c r="A930" s="295">
        <v>34</v>
      </c>
      <c r="B930" s="295">
        <f t="shared" si="92"/>
        <v>22</v>
      </c>
      <c r="C930" s="295">
        <v>3.2</v>
      </c>
      <c r="D930" s="295" t="s">
        <v>113</v>
      </c>
      <c r="E930" s="295">
        <v>33</v>
      </c>
      <c r="F930" s="316">
        <f t="shared" si="90"/>
        <v>1.1000000000000001</v>
      </c>
      <c r="G930" s="321">
        <v>8</v>
      </c>
      <c r="H930" s="321">
        <v>7.1</v>
      </c>
      <c r="I930" s="315">
        <f t="shared" si="96"/>
        <v>201.64</v>
      </c>
      <c r="J930" s="316">
        <f t="shared" si="91"/>
        <v>1.0507775044815941</v>
      </c>
    </row>
    <row r="931" spans="1:11" s="316" customFormat="1">
      <c r="A931" s="295">
        <v>34</v>
      </c>
      <c r="B931" s="295">
        <f t="shared" si="92"/>
        <v>22</v>
      </c>
      <c r="C931" s="295">
        <v>3.3</v>
      </c>
      <c r="D931" s="295" t="s">
        <v>114</v>
      </c>
      <c r="E931" s="295">
        <v>28</v>
      </c>
      <c r="F931" s="316">
        <f t="shared" si="90"/>
        <v>1.1200000000000001</v>
      </c>
      <c r="G931" s="321">
        <v>9.1999999999999993</v>
      </c>
      <c r="H931" s="321">
        <v>9.1</v>
      </c>
      <c r="I931" s="315">
        <f t="shared" si="96"/>
        <v>380.92599999999993</v>
      </c>
      <c r="J931" s="316">
        <f t="shared" si="91"/>
        <v>1.8509523809523805</v>
      </c>
    </row>
    <row r="932" spans="1:11">
      <c r="A932" s="295">
        <v>34</v>
      </c>
      <c r="B932" s="295">
        <f t="shared" si="92"/>
        <v>22</v>
      </c>
      <c r="C932" s="295">
        <v>3.4</v>
      </c>
      <c r="D932" s="295" t="s">
        <v>114</v>
      </c>
      <c r="F932" s="316" t="str">
        <f t="shared" si="90"/>
        <v/>
      </c>
      <c r="G932" s="321"/>
      <c r="H932" s="321"/>
      <c r="J932" s="316" t="str">
        <f t="shared" si="91"/>
        <v/>
      </c>
    </row>
    <row r="933" spans="1:11">
      <c r="A933" s="295">
        <v>34</v>
      </c>
      <c r="B933" s="295">
        <f t="shared" si="92"/>
        <v>22</v>
      </c>
      <c r="C933" s="295">
        <v>3.5</v>
      </c>
      <c r="D933" s="295" t="s">
        <v>115</v>
      </c>
      <c r="F933" s="316" t="str">
        <f t="shared" si="90"/>
        <v/>
      </c>
      <c r="G933" s="321"/>
      <c r="H933" s="321"/>
      <c r="J933" s="316" t="str">
        <f t="shared" si="91"/>
        <v/>
      </c>
    </row>
    <row r="934" spans="1:11">
      <c r="A934" s="295">
        <v>34</v>
      </c>
      <c r="B934" s="295">
        <f t="shared" si="92"/>
        <v>22</v>
      </c>
      <c r="C934" s="295">
        <v>4.0999999999999996</v>
      </c>
      <c r="D934" s="295" t="s">
        <v>111</v>
      </c>
      <c r="F934" s="316" t="str">
        <f t="shared" si="90"/>
        <v/>
      </c>
      <c r="G934" s="321"/>
      <c r="H934" s="321"/>
      <c r="J934" s="316" t="str">
        <f t="shared" si="91"/>
        <v/>
      </c>
    </row>
    <row r="935" spans="1:11">
      <c r="A935" s="295">
        <v>34</v>
      </c>
      <c r="B935" s="295">
        <f t="shared" si="92"/>
        <v>22</v>
      </c>
      <c r="C935" s="295">
        <v>4.2</v>
      </c>
      <c r="D935" s="295" t="s">
        <v>112</v>
      </c>
      <c r="E935" s="295">
        <v>33</v>
      </c>
      <c r="F935" s="316">
        <f t="shared" si="90"/>
        <v>1.1379310344827587</v>
      </c>
      <c r="G935" s="321">
        <v>15.5</v>
      </c>
      <c r="H935" s="321">
        <v>11.7</v>
      </c>
      <c r="I935" s="315">
        <f t="shared" ref="I935:I936" si="97">G935*(H935^2)*0.5</f>
        <v>1060.8974999999998</v>
      </c>
      <c r="J935" s="316">
        <f t="shared" si="91"/>
        <v>3.1874290195230111</v>
      </c>
    </row>
    <row r="936" spans="1:11">
      <c r="A936" s="295">
        <v>34</v>
      </c>
      <c r="B936" s="295">
        <f t="shared" si="92"/>
        <v>22</v>
      </c>
      <c r="C936" s="295">
        <v>4.3</v>
      </c>
      <c r="D936" s="295" t="s">
        <v>113</v>
      </c>
      <c r="E936" s="295">
        <v>29</v>
      </c>
      <c r="F936" s="316">
        <f t="shared" si="90"/>
        <v>1.1153846153846154</v>
      </c>
      <c r="G936" s="321">
        <v>10.1</v>
      </c>
      <c r="H936" s="321">
        <v>9.4</v>
      </c>
      <c r="I936" s="315">
        <f t="shared" si="97"/>
        <v>446.21800000000007</v>
      </c>
      <c r="J936" s="316">
        <f t="shared" si="91"/>
        <v>3.2041159237132355</v>
      </c>
    </row>
    <row r="937" spans="1:11">
      <c r="A937" s="295">
        <v>34</v>
      </c>
      <c r="B937" s="295">
        <f t="shared" si="92"/>
        <v>22</v>
      </c>
      <c r="C937" s="295">
        <v>4.4000000000000004</v>
      </c>
      <c r="D937" s="295" t="s">
        <v>112</v>
      </c>
      <c r="F937" s="316" t="str">
        <f t="shared" si="90"/>
        <v/>
      </c>
      <c r="G937" s="321"/>
      <c r="H937" s="321"/>
      <c r="J937" s="316" t="str">
        <f t="shared" si="91"/>
        <v/>
      </c>
    </row>
    <row r="938" spans="1:11">
      <c r="A938" s="295">
        <v>34</v>
      </c>
      <c r="B938" s="295">
        <f t="shared" si="92"/>
        <v>22</v>
      </c>
      <c r="C938" s="295">
        <v>4.5</v>
      </c>
      <c r="D938" s="295" t="s">
        <v>112</v>
      </c>
      <c r="E938" s="295">
        <v>29</v>
      </c>
      <c r="F938" s="316">
        <f t="shared" si="90"/>
        <v>1.0740740740740742</v>
      </c>
      <c r="G938" s="321">
        <v>15.3</v>
      </c>
      <c r="H938" s="321">
        <v>13.3</v>
      </c>
      <c r="I938" s="315">
        <f t="shared" ref="I938:I944" si="98">G938*(H938^2)*0.5</f>
        <v>1353.2085000000002</v>
      </c>
      <c r="J938" s="316">
        <f t="shared" si="91"/>
        <v>6.0460217676862458</v>
      </c>
    </row>
    <row r="939" spans="1:11">
      <c r="A939" s="295">
        <v>34</v>
      </c>
      <c r="B939" s="295">
        <f t="shared" si="92"/>
        <v>22</v>
      </c>
      <c r="C939" s="295">
        <v>5.0999999999999996</v>
      </c>
      <c r="D939" s="295" t="s">
        <v>113</v>
      </c>
      <c r="E939" s="295">
        <v>28</v>
      </c>
      <c r="F939" s="316">
        <f t="shared" si="90"/>
        <v>1.1666666666666667</v>
      </c>
      <c r="G939" s="321">
        <v>9</v>
      </c>
      <c r="H939" s="321">
        <v>6.8</v>
      </c>
      <c r="I939" s="315">
        <f t="shared" si="98"/>
        <v>208.07999999999998</v>
      </c>
      <c r="J939" s="316">
        <f t="shared" si="91"/>
        <v>1.2527921104441486</v>
      </c>
    </row>
    <row r="940" spans="1:11">
      <c r="A940" s="295">
        <v>34</v>
      </c>
      <c r="B940" s="295">
        <f t="shared" si="92"/>
        <v>22</v>
      </c>
      <c r="C940" s="295">
        <v>5.2</v>
      </c>
      <c r="D940" s="295" t="s">
        <v>114</v>
      </c>
      <c r="E940" s="295">
        <v>28</v>
      </c>
      <c r="F940" s="316">
        <f t="shared" si="90"/>
        <v>1.037037037037037</v>
      </c>
      <c r="G940" s="321">
        <v>8.6999999999999993</v>
      </c>
      <c r="H940" s="321">
        <v>7.3</v>
      </c>
      <c r="I940" s="315">
        <f t="shared" si="98"/>
        <v>231.81149999999997</v>
      </c>
      <c r="J940" s="316">
        <f t="shared" si="91"/>
        <v>1.4004367841090331</v>
      </c>
    </row>
    <row r="941" spans="1:11">
      <c r="A941" s="295">
        <v>34</v>
      </c>
      <c r="B941" s="295">
        <f t="shared" si="92"/>
        <v>22</v>
      </c>
      <c r="C941" s="295">
        <v>5.3</v>
      </c>
      <c r="D941" s="295" t="s">
        <v>112</v>
      </c>
      <c r="E941" s="295">
        <v>33</v>
      </c>
      <c r="F941" s="316">
        <f t="shared" si="90"/>
        <v>1.1785714285714286</v>
      </c>
      <c r="G941" s="321">
        <v>12</v>
      </c>
      <c r="H941" s="321">
        <v>11.8</v>
      </c>
      <c r="I941" s="315">
        <f t="shared" si="98"/>
        <v>835.44</v>
      </c>
      <c r="J941" s="316">
        <f t="shared" si="91"/>
        <v>3.5209629292469535</v>
      </c>
    </row>
    <row r="942" spans="1:11">
      <c r="A942" s="295">
        <v>34</v>
      </c>
      <c r="B942" s="295">
        <f t="shared" si="92"/>
        <v>22</v>
      </c>
      <c r="C942" s="295">
        <v>5.4</v>
      </c>
      <c r="D942" s="295" t="s">
        <v>113</v>
      </c>
      <c r="E942" s="295">
        <v>27</v>
      </c>
      <c r="F942" s="316">
        <f t="shared" si="90"/>
        <v>1.0384615384615385</v>
      </c>
      <c r="G942" s="321">
        <v>7.9</v>
      </c>
      <c r="H942" s="321">
        <v>7.4</v>
      </c>
      <c r="I942" s="315">
        <f t="shared" si="98"/>
        <v>216.30200000000002</v>
      </c>
      <c r="J942" s="316">
        <f t="shared" si="91"/>
        <v>1.2094045289348618</v>
      </c>
    </row>
    <row r="943" spans="1:11">
      <c r="A943" s="295">
        <v>34</v>
      </c>
      <c r="B943" s="295">
        <f t="shared" si="92"/>
        <v>22</v>
      </c>
      <c r="C943" s="295">
        <v>5.5</v>
      </c>
      <c r="D943" s="295" t="s">
        <v>114</v>
      </c>
      <c r="E943" s="295">
        <v>23</v>
      </c>
      <c r="F943" s="316">
        <f t="shared" si="90"/>
        <v>1.0454545454545454</v>
      </c>
      <c r="G943" s="321">
        <v>6.9</v>
      </c>
      <c r="H943" s="321">
        <v>5.8</v>
      </c>
      <c r="I943" s="315">
        <f t="shared" si="98"/>
        <v>116.05800000000001</v>
      </c>
      <c r="J943" s="316">
        <f t="shared" si="91"/>
        <v>1.1536351165980794</v>
      </c>
      <c r="K943" s="316" t="s">
        <v>167</v>
      </c>
    </row>
    <row r="944" spans="1:11">
      <c r="A944" s="295">
        <v>34</v>
      </c>
      <c r="B944" s="295">
        <f t="shared" si="92"/>
        <v>22</v>
      </c>
      <c r="C944" s="295">
        <v>6.1</v>
      </c>
      <c r="D944" s="295" t="s">
        <v>115</v>
      </c>
      <c r="E944" s="295">
        <v>28</v>
      </c>
      <c r="F944" s="316">
        <f t="shared" si="90"/>
        <v>1.1200000000000001</v>
      </c>
      <c r="G944" s="321">
        <v>4.7</v>
      </c>
      <c r="H944" s="321">
        <v>4</v>
      </c>
      <c r="I944" s="315">
        <f t="shared" si="98"/>
        <v>37.6</v>
      </c>
      <c r="J944" s="316">
        <f t="shared" si="91"/>
        <v>0.27947078935632524</v>
      </c>
    </row>
    <row r="945" spans="1:11">
      <c r="A945" s="295">
        <v>34</v>
      </c>
      <c r="B945" s="295">
        <f t="shared" si="92"/>
        <v>22</v>
      </c>
      <c r="C945" s="295">
        <v>6.2</v>
      </c>
      <c r="D945" s="295" t="s">
        <v>115</v>
      </c>
      <c r="F945" s="316" t="str">
        <f t="shared" si="90"/>
        <v/>
      </c>
      <c r="G945" s="321"/>
      <c r="H945" s="321"/>
      <c r="J945" s="316" t="str">
        <f t="shared" si="91"/>
        <v/>
      </c>
    </row>
    <row r="946" spans="1:11">
      <c r="A946" s="295">
        <v>34</v>
      </c>
      <c r="B946" s="295">
        <f t="shared" si="92"/>
        <v>22</v>
      </c>
      <c r="C946" s="295">
        <v>6.3</v>
      </c>
      <c r="D946" s="295" t="s">
        <v>114</v>
      </c>
      <c r="F946" s="316" t="str">
        <f t="shared" si="90"/>
        <v/>
      </c>
      <c r="G946" s="321"/>
      <c r="H946" s="321"/>
      <c r="J946" s="316" t="str">
        <f t="shared" si="91"/>
        <v/>
      </c>
    </row>
    <row r="947" spans="1:11">
      <c r="A947" s="295">
        <v>34</v>
      </c>
      <c r="B947" s="295">
        <f t="shared" si="92"/>
        <v>22</v>
      </c>
      <c r="C947" s="295">
        <v>6.4</v>
      </c>
      <c r="D947" s="295" t="s">
        <v>112</v>
      </c>
      <c r="F947" s="316" t="str">
        <f t="shared" si="90"/>
        <v/>
      </c>
      <c r="G947" s="321"/>
      <c r="H947" s="321"/>
      <c r="J947" s="316" t="str">
        <f t="shared" si="91"/>
        <v/>
      </c>
    </row>
    <row r="948" spans="1:11">
      <c r="A948" s="295">
        <v>34</v>
      </c>
      <c r="B948" s="295">
        <f t="shared" si="92"/>
        <v>22</v>
      </c>
      <c r="C948" s="295">
        <v>6.5</v>
      </c>
      <c r="D948" s="295" t="s">
        <v>113</v>
      </c>
      <c r="E948" s="295">
        <v>24</v>
      </c>
      <c r="F948" s="316">
        <f t="shared" si="90"/>
        <v>1</v>
      </c>
      <c r="G948" s="321">
        <v>10.199999999999999</v>
      </c>
      <c r="H948" s="321">
        <v>8.1999999999999993</v>
      </c>
      <c r="I948" s="315">
        <f t="shared" ref="I948:I951" si="99">G948*(H948^2)*0.5</f>
        <v>342.92399999999998</v>
      </c>
      <c r="J948" s="316">
        <f t="shared" si="91"/>
        <v>6.7738074074074071</v>
      </c>
      <c r="K948" s="316" t="s">
        <v>168</v>
      </c>
    </row>
    <row r="949" spans="1:11">
      <c r="A949" s="295">
        <v>34</v>
      </c>
      <c r="B949" s="295">
        <f t="shared" si="92"/>
        <v>22</v>
      </c>
      <c r="C949" s="295">
        <v>7.1</v>
      </c>
      <c r="D949" s="295" t="s">
        <v>114</v>
      </c>
      <c r="E949" s="295">
        <v>29</v>
      </c>
      <c r="F949" s="316">
        <f t="shared" si="90"/>
        <v>1.0740740740740742</v>
      </c>
      <c r="G949" s="321">
        <v>8.3000000000000007</v>
      </c>
      <c r="H949" s="321">
        <v>7.3</v>
      </c>
      <c r="I949" s="315">
        <f t="shared" si="99"/>
        <v>221.15350000000001</v>
      </c>
      <c r="J949" s="316">
        <f t="shared" si="91"/>
        <v>1.6381740740740742</v>
      </c>
    </row>
    <row r="950" spans="1:11">
      <c r="A950" s="295">
        <v>34</v>
      </c>
      <c r="B950" s="295">
        <f t="shared" si="92"/>
        <v>22</v>
      </c>
      <c r="C950" s="295">
        <v>7.2</v>
      </c>
      <c r="D950" s="295" t="s">
        <v>111</v>
      </c>
      <c r="E950" s="295">
        <v>31</v>
      </c>
      <c r="F950" s="316">
        <f t="shared" si="90"/>
        <v>1.0689655172413792</v>
      </c>
      <c r="G950" s="321">
        <v>11</v>
      </c>
      <c r="H950" s="321">
        <v>9.9</v>
      </c>
      <c r="I950" s="315">
        <f t="shared" si="99"/>
        <v>539.05500000000006</v>
      </c>
      <c r="J950" s="316">
        <f t="shared" si="91"/>
        <v>35.609393579072538</v>
      </c>
    </row>
    <row r="951" spans="1:11">
      <c r="A951" s="295">
        <v>34</v>
      </c>
      <c r="B951" s="295">
        <f t="shared" si="92"/>
        <v>22</v>
      </c>
      <c r="C951" s="295">
        <v>7.3</v>
      </c>
      <c r="D951" s="295" t="s">
        <v>113</v>
      </c>
      <c r="E951" s="295">
        <v>29</v>
      </c>
      <c r="F951" s="316">
        <f t="shared" si="90"/>
        <v>1.0740740740740742</v>
      </c>
      <c r="G951" s="321">
        <v>5.9</v>
      </c>
      <c r="H951" s="321">
        <v>5.8</v>
      </c>
      <c r="I951" s="315">
        <f t="shared" si="99"/>
        <v>99.238000000000014</v>
      </c>
      <c r="J951" s="316">
        <f t="shared" si="91"/>
        <v>0.69453542733966034</v>
      </c>
      <c r="K951" s="316" t="s">
        <v>169</v>
      </c>
    </row>
    <row r="952" spans="1:11">
      <c r="A952" s="295">
        <v>34</v>
      </c>
      <c r="B952" s="295">
        <f t="shared" si="92"/>
        <v>22</v>
      </c>
      <c r="C952" s="295">
        <v>7.4</v>
      </c>
      <c r="D952" s="295" t="s">
        <v>115</v>
      </c>
      <c r="F952" s="316" t="str">
        <f t="shared" si="90"/>
        <v/>
      </c>
      <c r="G952" s="321"/>
      <c r="H952" s="321"/>
      <c r="J952" s="316" t="str">
        <f t="shared" si="91"/>
        <v/>
      </c>
    </row>
    <row r="953" spans="1:11">
      <c r="A953" s="295">
        <v>34</v>
      </c>
      <c r="B953" s="295">
        <f t="shared" si="92"/>
        <v>22</v>
      </c>
      <c r="C953" s="295">
        <v>7.5</v>
      </c>
      <c r="D953" s="295" t="s">
        <v>111</v>
      </c>
      <c r="F953" s="316" t="str">
        <f t="shared" si="90"/>
        <v/>
      </c>
      <c r="G953" s="321"/>
      <c r="H953" s="321"/>
      <c r="J953" s="316" t="str">
        <f t="shared" si="91"/>
        <v/>
      </c>
    </row>
    <row r="954" spans="1:11">
      <c r="A954" s="295">
        <v>35</v>
      </c>
      <c r="B954" s="295">
        <f t="shared" si="92"/>
        <v>23</v>
      </c>
      <c r="C954" s="295">
        <v>1.1000000000000001</v>
      </c>
      <c r="D954" s="295" t="s">
        <v>112</v>
      </c>
      <c r="E954" s="295">
        <v>30</v>
      </c>
      <c r="F954" s="316">
        <f t="shared" si="90"/>
        <v>1.0714285714285714</v>
      </c>
      <c r="G954" s="321">
        <v>13.7</v>
      </c>
      <c r="H954" s="321">
        <v>13.7</v>
      </c>
      <c r="I954" s="315">
        <f t="shared" ref="I954:I956" si="100">G954*(H954^2)*0.5</f>
        <v>1285.6764999999998</v>
      </c>
      <c r="J954" s="316">
        <f t="shared" si="91"/>
        <v>5.7074210703885218</v>
      </c>
    </row>
    <row r="955" spans="1:11">
      <c r="A955" s="295">
        <v>35</v>
      </c>
      <c r="B955" s="295">
        <f t="shared" si="92"/>
        <v>23</v>
      </c>
      <c r="C955" s="295">
        <v>1.2</v>
      </c>
      <c r="D955" s="295" t="s">
        <v>113</v>
      </c>
      <c r="E955" s="295">
        <v>29</v>
      </c>
      <c r="F955" s="316">
        <f t="shared" si="90"/>
        <v>1.0740740740740742</v>
      </c>
      <c r="G955" s="321">
        <v>7.6</v>
      </c>
      <c r="H955" s="321">
        <v>7</v>
      </c>
      <c r="I955" s="315">
        <f t="shared" si="100"/>
        <v>186.2</v>
      </c>
      <c r="J955" s="316">
        <f t="shared" si="91"/>
        <v>0.89005097955798584</v>
      </c>
    </row>
    <row r="956" spans="1:11">
      <c r="A956" s="295">
        <v>35</v>
      </c>
      <c r="B956" s="295">
        <f t="shared" si="92"/>
        <v>23</v>
      </c>
      <c r="C956" s="295">
        <v>1.3</v>
      </c>
      <c r="D956" s="295" t="s">
        <v>115</v>
      </c>
      <c r="E956" s="295">
        <v>26</v>
      </c>
      <c r="F956" s="316">
        <f t="shared" si="90"/>
        <v>1.0833333333333333</v>
      </c>
      <c r="G956" s="321">
        <v>12.7</v>
      </c>
      <c r="H956" s="321">
        <v>9.4</v>
      </c>
      <c r="I956" s="315">
        <f t="shared" si="100"/>
        <v>561.08600000000001</v>
      </c>
      <c r="J956" s="316">
        <f t="shared" si="91"/>
        <v>5.6593036391511333</v>
      </c>
    </row>
    <row r="957" spans="1:11">
      <c r="A957" s="295">
        <v>35</v>
      </c>
      <c r="B957" s="295">
        <f t="shared" si="92"/>
        <v>23</v>
      </c>
      <c r="C957" s="295">
        <v>1.4</v>
      </c>
      <c r="D957" s="295" t="s">
        <v>115</v>
      </c>
      <c r="F957" s="316" t="str">
        <f t="shared" si="90"/>
        <v/>
      </c>
      <c r="G957" s="321"/>
      <c r="H957" s="321"/>
      <c r="J957" s="316" t="str">
        <f t="shared" si="91"/>
        <v/>
      </c>
    </row>
    <row r="958" spans="1:11">
      <c r="A958" s="295">
        <v>35</v>
      </c>
      <c r="B958" s="295">
        <f t="shared" si="92"/>
        <v>23</v>
      </c>
      <c r="C958" s="295">
        <v>1.5</v>
      </c>
      <c r="D958" s="295" t="s">
        <v>112</v>
      </c>
      <c r="E958" s="295">
        <v>28</v>
      </c>
      <c r="F958" s="316">
        <f t="shared" si="90"/>
        <v>1</v>
      </c>
      <c r="G958" s="321">
        <v>11.4</v>
      </c>
      <c r="H958" s="321">
        <v>9.6999999999999993</v>
      </c>
      <c r="I958" s="315">
        <f t="shared" ref="I958:I959" si="101">G958*(H958^2)*0.5</f>
        <v>536.31299999999999</v>
      </c>
      <c r="J958" s="316">
        <f t="shared" si="91"/>
        <v>3.8510526769301467</v>
      </c>
    </row>
    <row r="959" spans="1:11">
      <c r="A959" s="295">
        <v>35</v>
      </c>
      <c r="B959" s="295">
        <f t="shared" si="92"/>
        <v>23</v>
      </c>
      <c r="C959" s="295">
        <v>2.1</v>
      </c>
      <c r="D959" s="295" t="s">
        <v>114</v>
      </c>
      <c r="E959" s="295">
        <v>30</v>
      </c>
      <c r="F959" s="316">
        <f t="shared" si="90"/>
        <v>1.1538461538461537</v>
      </c>
      <c r="G959" s="321">
        <v>9</v>
      </c>
      <c r="H959" s="321">
        <v>7.4</v>
      </c>
      <c r="I959" s="315">
        <f t="shared" si="101"/>
        <v>246.42000000000002</v>
      </c>
      <c r="J959" s="316">
        <f t="shared" si="91"/>
        <v>1.3103299753535449</v>
      </c>
    </row>
    <row r="960" spans="1:11">
      <c r="A960" s="295">
        <v>35</v>
      </c>
      <c r="B960" s="295">
        <f t="shared" si="92"/>
        <v>23</v>
      </c>
      <c r="C960" s="295">
        <v>2.2000000000000002</v>
      </c>
      <c r="D960" s="295" t="s">
        <v>115</v>
      </c>
      <c r="F960" s="316" t="str">
        <f t="shared" si="90"/>
        <v/>
      </c>
      <c r="G960" s="321"/>
      <c r="H960" s="321"/>
      <c r="J960" s="316" t="str">
        <f t="shared" si="91"/>
        <v/>
      </c>
    </row>
    <row r="961" spans="1:10">
      <c r="A961" s="295">
        <v>35</v>
      </c>
      <c r="B961" s="295">
        <f t="shared" si="92"/>
        <v>23</v>
      </c>
      <c r="C961" s="295">
        <v>2.2999999999999998</v>
      </c>
      <c r="D961" s="295" t="s">
        <v>112</v>
      </c>
      <c r="E961" s="295">
        <v>26</v>
      </c>
      <c r="F961" s="316">
        <f t="shared" si="90"/>
        <v>1.04</v>
      </c>
      <c r="G961" s="321">
        <v>11.9</v>
      </c>
      <c r="H961" s="321">
        <v>10.7</v>
      </c>
      <c r="I961" s="315">
        <f t="shared" ref="I961:I966" si="102">G961*(H961^2)*0.5</f>
        <v>681.21549999999991</v>
      </c>
      <c r="J961" s="316">
        <f t="shared" si="91"/>
        <v>4.1014100534038151</v>
      </c>
    </row>
    <row r="962" spans="1:10">
      <c r="A962" s="295">
        <v>35</v>
      </c>
      <c r="B962" s="295">
        <f t="shared" si="92"/>
        <v>23</v>
      </c>
      <c r="C962" s="295">
        <v>2.4</v>
      </c>
      <c r="D962" s="295" t="s">
        <v>114</v>
      </c>
      <c r="E962" s="295">
        <v>27</v>
      </c>
      <c r="F962" s="316">
        <f t="shared" si="90"/>
        <v>1.08</v>
      </c>
      <c r="G962" s="321">
        <v>6.7</v>
      </c>
      <c r="H962" s="321">
        <v>6.2</v>
      </c>
      <c r="I962" s="315">
        <f t="shared" si="102"/>
        <v>128.77400000000003</v>
      </c>
      <c r="J962" s="316">
        <f t="shared" si="91"/>
        <v>1.197897674418605</v>
      </c>
    </row>
    <row r="963" spans="1:10">
      <c r="A963" s="295">
        <v>35</v>
      </c>
      <c r="B963" s="295">
        <f t="shared" si="92"/>
        <v>23</v>
      </c>
      <c r="C963" s="295">
        <v>2.5</v>
      </c>
      <c r="D963" s="295" t="s">
        <v>113</v>
      </c>
      <c r="E963" s="295">
        <v>29</v>
      </c>
      <c r="F963" s="316">
        <f t="shared" si="90"/>
        <v>1.0740740740740742</v>
      </c>
      <c r="G963" s="321">
        <v>8</v>
      </c>
      <c r="H963" s="321">
        <v>7.5</v>
      </c>
      <c r="I963" s="315">
        <f t="shared" si="102"/>
        <v>225</v>
      </c>
      <c r="J963" s="316">
        <f t="shared" si="91"/>
        <v>1.319013729467353</v>
      </c>
    </row>
    <row r="964" spans="1:10">
      <c r="A964" s="295">
        <v>35</v>
      </c>
      <c r="B964" s="295">
        <f t="shared" si="92"/>
        <v>23</v>
      </c>
      <c r="C964" s="295">
        <v>3.1</v>
      </c>
      <c r="D964" s="295" t="s">
        <v>115</v>
      </c>
      <c r="E964" s="295">
        <v>25</v>
      </c>
      <c r="F964" s="316">
        <f t="shared" si="90"/>
        <v>1.0416666666666667</v>
      </c>
      <c r="G964" s="321">
        <v>7</v>
      </c>
      <c r="H964" s="321">
        <v>5.3</v>
      </c>
      <c r="I964" s="315">
        <f t="shared" si="102"/>
        <v>98.314999999999998</v>
      </c>
      <c r="J964" s="316">
        <f t="shared" si="91"/>
        <v>0.54115866244667676</v>
      </c>
    </row>
    <row r="965" spans="1:10">
      <c r="A965" s="295">
        <v>35</v>
      </c>
      <c r="B965" s="295">
        <f t="shared" si="92"/>
        <v>23</v>
      </c>
      <c r="C965" s="295">
        <v>3.2</v>
      </c>
      <c r="D965" s="295" t="s">
        <v>113</v>
      </c>
      <c r="E965" s="295">
        <v>32</v>
      </c>
      <c r="F965" s="316">
        <f t="shared" si="90"/>
        <v>1.0666666666666667</v>
      </c>
      <c r="G965" s="321">
        <v>7.6</v>
      </c>
      <c r="H965" s="321">
        <v>6.4</v>
      </c>
      <c r="I965" s="315">
        <f t="shared" si="102"/>
        <v>155.64800000000002</v>
      </c>
      <c r="J965" s="316">
        <f t="shared" si="91"/>
        <v>0.81110601575853603</v>
      </c>
    </row>
    <row r="966" spans="1:10">
      <c r="A966" s="295">
        <v>35</v>
      </c>
      <c r="B966" s="295">
        <f t="shared" si="92"/>
        <v>23</v>
      </c>
      <c r="C966" s="295">
        <v>3.3</v>
      </c>
      <c r="D966" s="295" t="s">
        <v>114</v>
      </c>
      <c r="E966" s="295">
        <v>27</v>
      </c>
      <c r="F966" s="316">
        <f t="shared" si="90"/>
        <v>1.08</v>
      </c>
      <c r="G966" s="321">
        <v>10.4</v>
      </c>
      <c r="H966" s="321">
        <v>10.1</v>
      </c>
      <c r="I966" s="315">
        <f t="shared" si="102"/>
        <v>530.452</v>
      </c>
      <c r="J966" s="316">
        <f t="shared" si="91"/>
        <v>2.5775121477162291</v>
      </c>
    </row>
    <row r="967" spans="1:10">
      <c r="A967" s="295">
        <v>35</v>
      </c>
      <c r="B967" s="295">
        <f t="shared" si="92"/>
        <v>23</v>
      </c>
      <c r="C967" s="295">
        <v>3.4</v>
      </c>
      <c r="D967" s="295" t="s">
        <v>114</v>
      </c>
      <c r="F967" s="316" t="str">
        <f t="shared" si="90"/>
        <v/>
      </c>
      <c r="G967" s="321"/>
      <c r="H967" s="321"/>
      <c r="J967" s="316" t="str">
        <f t="shared" si="91"/>
        <v/>
      </c>
    </row>
    <row r="968" spans="1:10">
      <c r="A968" s="295">
        <v>35</v>
      </c>
      <c r="B968" s="295">
        <f t="shared" si="92"/>
        <v>23</v>
      </c>
      <c r="C968" s="295">
        <v>3.5</v>
      </c>
      <c r="D968" s="295" t="s">
        <v>115</v>
      </c>
      <c r="F968" s="316" t="str">
        <f t="shared" si="90"/>
        <v/>
      </c>
      <c r="G968" s="321"/>
      <c r="H968" s="321"/>
      <c r="J968" s="316" t="str">
        <f t="shared" si="91"/>
        <v/>
      </c>
    </row>
    <row r="969" spans="1:10">
      <c r="A969" s="295">
        <v>35</v>
      </c>
      <c r="B969" s="295">
        <f t="shared" si="92"/>
        <v>23</v>
      </c>
      <c r="C969" s="295">
        <v>4.0999999999999996</v>
      </c>
      <c r="D969" s="295" t="s">
        <v>111</v>
      </c>
      <c r="F969" s="316" t="str">
        <f t="shared" ref="F969:F1032" si="103">IF(ISBLANK(E969),"",E969/SUMIFS(E:E,C:C,C969,B:B,"0"))</f>
        <v/>
      </c>
      <c r="G969" s="321"/>
      <c r="H969" s="321"/>
      <c r="J969" s="316" t="str">
        <f t="shared" ref="J969:J1032" si="104">IF(ISBLANK(I969),"",I969/SUMIFS(I:I,C:C,C969,B:B,"0"))</f>
        <v/>
      </c>
    </row>
    <row r="970" spans="1:10">
      <c r="A970" s="295">
        <v>35</v>
      </c>
      <c r="B970" s="295">
        <f t="shared" ref="B970:B1033" si="105">A970-12</f>
        <v>23</v>
      </c>
      <c r="C970" s="295">
        <v>4.2</v>
      </c>
      <c r="D970" s="295" t="s">
        <v>112</v>
      </c>
      <c r="E970" s="295">
        <v>33</v>
      </c>
      <c r="F970" s="316">
        <f t="shared" si="103"/>
        <v>1.1379310344827587</v>
      </c>
      <c r="G970" s="321">
        <v>14.8</v>
      </c>
      <c r="H970" s="321">
        <v>12.8</v>
      </c>
      <c r="I970" s="315">
        <f t="shared" ref="I970:I971" si="106">G970*(H970^2)*0.5</f>
        <v>1212.4160000000004</v>
      </c>
      <c r="J970" s="316">
        <f t="shared" si="104"/>
        <v>3.6426609942374384</v>
      </c>
    </row>
    <row r="971" spans="1:10">
      <c r="A971" s="295">
        <v>35</v>
      </c>
      <c r="B971" s="295">
        <f t="shared" si="105"/>
        <v>23</v>
      </c>
      <c r="C971" s="295">
        <v>4.3</v>
      </c>
      <c r="D971" s="295" t="s">
        <v>113</v>
      </c>
      <c r="E971" s="295">
        <v>28</v>
      </c>
      <c r="F971" s="316">
        <f t="shared" si="103"/>
        <v>1.0769230769230769</v>
      </c>
      <c r="G971" s="321">
        <v>11.6</v>
      </c>
      <c r="H971" s="321">
        <v>9.1999999999999993</v>
      </c>
      <c r="I971" s="315">
        <f t="shared" si="106"/>
        <v>490.91199999999992</v>
      </c>
      <c r="J971" s="316">
        <f t="shared" si="104"/>
        <v>3.5250459558823519</v>
      </c>
    </row>
    <row r="972" spans="1:10">
      <c r="A972" s="295">
        <v>35</v>
      </c>
      <c r="B972" s="295">
        <f t="shared" si="105"/>
        <v>23</v>
      </c>
      <c r="C972" s="295">
        <v>4.4000000000000004</v>
      </c>
      <c r="D972" s="295" t="s">
        <v>112</v>
      </c>
      <c r="F972" s="316" t="str">
        <f t="shared" si="103"/>
        <v/>
      </c>
      <c r="G972" s="321"/>
      <c r="H972" s="321"/>
      <c r="J972" s="316" t="str">
        <f t="shared" si="104"/>
        <v/>
      </c>
    </row>
    <row r="973" spans="1:10">
      <c r="A973" s="295">
        <v>35</v>
      </c>
      <c r="B973" s="295">
        <f t="shared" si="105"/>
        <v>23</v>
      </c>
      <c r="C973" s="295">
        <v>4.5</v>
      </c>
      <c r="D973" s="295" t="s">
        <v>112</v>
      </c>
      <c r="E973" s="295">
        <v>29</v>
      </c>
      <c r="F973" s="316">
        <f t="shared" si="103"/>
        <v>1.0740740740740742</v>
      </c>
      <c r="G973" s="321">
        <v>14.3</v>
      </c>
      <c r="H973" s="321">
        <v>12.8</v>
      </c>
      <c r="I973" s="315">
        <f t="shared" ref="I973:I979" si="107">G973*(H973^2)*0.5</f>
        <v>1171.4560000000004</v>
      </c>
      <c r="J973" s="316">
        <f t="shared" si="104"/>
        <v>5.2339668838073807</v>
      </c>
    </row>
    <row r="974" spans="1:10">
      <c r="A974" s="295">
        <v>35</v>
      </c>
      <c r="B974" s="295">
        <f t="shared" si="105"/>
        <v>23</v>
      </c>
      <c r="C974" s="295">
        <v>5.0999999999999996</v>
      </c>
      <c r="D974" s="295" t="s">
        <v>113</v>
      </c>
      <c r="E974" s="295">
        <v>27</v>
      </c>
      <c r="F974" s="316">
        <f t="shared" si="103"/>
        <v>1.125</v>
      </c>
      <c r="G974" s="321">
        <v>9.6</v>
      </c>
      <c r="H974" s="321">
        <v>8.1</v>
      </c>
      <c r="I974" s="315">
        <f t="shared" si="107"/>
        <v>314.928</v>
      </c>
      <c r="J974" s="316">
        <f t="shared" si="104"/>
        <v>1.8960943567760229</v>
      </c>
    </row>
    <row r="975" spans="1:10">
      <c r="A975" s="295">
        <v>35</v>
      </c>
      <c r="B975" s="295">
        <f t="shared" si="105"/>
        <v>23</v>
      </c>
      <c r="C975" s="295">
        <v>5.2</v>
      </c>
      <c r="D975" s="295" t="s">
        <v>114</v>
      </c>
      <c r="E975" s="295">
        <v>28</v>
      </c>
      <c r="F975" s="316">
        <f t="shared" si="103"/>
        <v>1.037037037037037</v>
      </c>
      <c r="G975" s="321">
        <v>9.1</v>
      </c>
      <c r="H975" s="321">
        <v>9</v>
      </c>
      <c r="I975" s="315">
        <f t="shared" si="107"/>
        <v>368.55</v>
      </c>
      <c r="J975" s="316">
        <f t="shared" si="104"/>
        <v>2.2265115267507616</v>
      </c>
    </row>
    <row r="976" spans="1:10">
      <c r="A976" s="295">
        <v>35</v>
      </c>
      <c r="B976" s="295">
        <f t="shared" si="105"/>
        <v>23</v>
      </c>
      <c r="C976" s="295">
        <v>5.3</v>
      </c>
      <c r="D976" s="295" t="s">
        <v>112</v>
      </c>
      <c r="E976" s="295">
        <v>32</v>
      </c>
      <c r="F976" s="316">
        <f t="shared" si="103"/>
        <v>1.1428571428571428</v>
      </c>
      <c r="G976" s="321">
        <v>12.3</v>
      </c>
      <c r="H976" s="321">
        <v>12.3</v>
      </c>
      <c r="I976" s="315">
        <f t="shared" si="107"/>
        <v>930.43350000000021</v>
      </c>
      <c r="J976" s="316">
        <f t="shared" si="104"/>
        <v>3.9213131543013211</v>
      </c>
    </row>
    <row r="977" spans="1:11">
      <c r="A977" s="295">
        <v>35</v>
      </c>
      <c r="B977" s="295">
        <f t="shared" si="105"/>
        <v>23</v>
      </c>
      <c r="C977" s="295">
        <v>5.4</v>
      </c>
      <c r="D977" s="295" t="s">
        <v>113</v>
      </c>
      <c r="E977" s="295">
        <v>23</v>
      </c>
      <c r="F977" s="316">
        <f t="shared" si="103"/>
        <v>0.88461538461538458</v>
      </c>
      <c r="G977" s="321">
        <v>6.2</v>
      </c>
      <c r="H977" s="321">
        <v>5.7</v>
      </c>
      <c r="I977" s="315">
        <f t="shared" si="107"/>
        <v>100.71900000000001</v>
      </c>
      <c r="J977" s="316">
        <f t="shared" si="104"/>
        <v>0.56314788929270343</v>
      </c>
      <c r="K977" s="316" t="s">
        <v>167</v>
      </c>
    </row>
    <row r="978" spans="1:11">
      <c r="A978" s="295">
        <v>35</v>
      </c>
      <c r="B978" s="295">
        <f t="shared" si="105"/>
        <v>23</v>
      </c>
      <c r="C978" s="295">
        <v>5.5</v>
      </c>
      <c r="D978" s="295" t="s">
        <v>114</v>
      </c>
      <c r="E978" s="295">
        <v>27</v>
      </c>
      <c r="F978" s="316">
        <f t="shared" si="103"/>
        <v>1.2272727272727273</v>
      </c>
      <c r="G978" s="321">
        <v>8.1</v>
      </c>
      <c r="H978" s="321">
        <v>7.4</v>
      </c>
      <c r="I978" s="315">
        <f t="shared" si="107"/>
        <v>221.77800000000002</v>
      </c>
      <c r="J978" s="316">
        <f t="shared" si="104"/>
        <v>2.2045088566827697</v>
      </c>
    </row>
    <row r="979" spans="1:11">
      <c r="A979" s="295">
        <v>35</v>
      </c>
      <c r="B979" s="295">
        <f t="shared" si="105"/>
        <v>23</v>
      </c>
      <c r="C979" s="295">
        <v>6.1</v>
      </c>
      <c r="D979" s="295" t="s">
        <v>115</v>
      </c>
      <c r="E979" s="295">
        <v>28</v>
      </c>
      <c r="F979" s="316">
        <f t="shared" si="103"/>
        <v>1.1200000000000001</v>
      </c>
      <c r="G979" s="321">
        <v>8.6999999999999993</v>
      </c>
      <c r="H979" s="321">
        <v>8.5</v>
      </c>
      <c r="I979" s="315">
        <f t="shared" si="107"/>
        <v>314.28749999999997</v>
      </c>
      <c r="J979" s="316">
        <f t="shared" si="104"/>
        <v>2.3360153114315438</v>
      </c>
    </row>
    <row r="980" spans="1:11">
      <c r="A980" s="295">
        <v>35</v>
      </c>
      <c r="B980" s="295">
        <f t="shared" si="105"/>
        <v>23</v>
      </c>
      <c r="C980" s="295">
        <v>6.2</v>
      </c>
      <c r="D980" s="295" t="s">
        <v>115</v>
      </c>
      <c r="F980" s="316" t="str">
        <f t="shared" si="103"/>
        <v/>
      </c>
      <c r="G980" s="321"/>
      <c r="H980" s="321"/>
      <c r="J980" s="316" t="str">
        <f t="shared" si="104"/>
        <v/>
      </c>
    </row>
    <row r="981" spans="1:11">
      <c r="A981" s="295">
        <v>35</v>
      </c>
      <c r="B981" s="295">
        <f t="shared" si="105"/>
        <v>23</v>
      </c>
      <c r="C981" s="295">
        <v>6.3</v>
      </c>
      <c r="D981" s="295" t="s">
        <v>114</v>
      </c>
      <c r="F981" s="316" t="str">
        <f t="shared" si="103"/>
        <v/>
      </c>
      <c r="G981" s="321"/>
      <c r="H981" s="321"/>
      <c r="J981" s="316" t="str">
        <f t="shared" si="104"/>
        <v/>
      </c>
    </row>
    <row r="982" spans="1:11">
      <c r="A982" s="295">
        <v>35</v>
      </c>
      <c r="B982" s="295">
        <f t="shared" si="105"/>
        <v>23</v>
      </c>
      <c r="C982" s="295">
        <v>6.4</v>
      </c>
      <c r="D982" s="295" t="s">
        <v>112</v>
      </c>
      <c r="F982" s="316" t="str">
        <f t="shared" si="103"/>
        <v/>
      </c>
      <c r="G982" s="321"/>
      <c r="H982" s="321"/>
      <c r="J982" s="316" t="str">
        <f t="shared" si="104"/>
        <v/>
      </c>
    </row>
    <row r="983" spans="1:11">
      <c r="A983" s="295">
        <v>35</v>
      </c>
      <c r="B983" s="295">
        <f t="shared" si="105"/>
        <v>23</v>
      </c>
      <c r="C983" s="295">
        <v>6.5</v>
      </c>
      <c r="D983" s="295" t="s">
        <v>113</v>
      </c>
      <c r="E983" s="295">
        <v>25</v>
      </c>
      <c r="F983" s="316">
        <f t="shared" si="103"/>
        <v>1.0416666666666667</v>
      </c>
      <c r="G983" s="321">
        <v>10.8</v>
      </c>
      <c r="H983" s="321">
        <v>10.5</v>
      </c>
      <c r="I983" s="315">
        <f t="shared" ref="I983:I986" si="108">G983*(H983^2)*0.5</f>
        <v>595.35</v>
      </c>
      <c r="J983" s="316">
        <f t="shared" si="104"/>
        <v>11.76</v>
      </c>
      <c r="K983" s="316" t="s">
        <v>163</v>
      </c>
    </row>
    <row r="984" spans="1:11">
      <c r="A984" s="295">
        <v>35</v>
      </c>
      <c r="B984" s="295">
        <f t="shared" si="105"/>
        <v>23</v>
      </c>
      <c r="C984" s="295">
        <v>7.1</v>
      </c>
      <c r="D984" s="295" t="s">
        <v>114</v>
      </c>
      <c r="E984" s="295">
        <v>29</v>
      </c>
      <c r="F984" s="316">
        <f t="shared" si="103"/>
        <v>1.0740740740740742</v>
      </c>
      <c r="G984" s="321">
        <v>7.8</v>
      </c>
      <c r="H984" s="321">
        <v>7.4</v>
      </c>
      <c r="I984" s="315">
        <f t="shared" si="108"/>
        <v>213.56400000000002</v>
      </c>
      <c r="J984" s="316">
        <f t="shared" si="104"/>
        <v>1.5819555555555558</v>
      </c>
    </row>
    <row r="985" spans="1:11">
      <c r="A985" s="295">
        <v>35</v>
      </c>
      <c r="B985" s="295">
        <f t="shared" si="105"/>
        <v>23</v>
      </c>
      <c r="C985" s="295">
        <v>7.2</v>
      </c>
      <c r="D985" s="295" t="s">
        <v>111</v>
      </c>
      <c r="E985" s="295">
        <v>31</v>
      </c>
      <c r="F985" s="316">
        <f t="shared" si="103"/>
        <v>1.0689655172413792</v>
      </c>
      <c r="G985" s="321">
        <v>12</v>
      </c>
      <c r="H985" s="321">
        <v>9.8000000000000007</v>
      </c>
      <c r="I985" s="315">
        <f t="shared" si="108"/>
        <v>576.24000000000012</v>
      </c>
      <c r="J985" s="316">
        <f t="shared" si="104"/>
        <v>38.065794688862475</v>
      </c>
    </row>
    <row r="986" spans="1:11">
      <c r="A986" s="295">
        <v>35</v>
      </c>
      <c r="B986" s="295">
        <f t="shared" si="105"/>
        <v>23</v>
      </c>
      <c r="C986" s="295">
        <v>7.3</v>
      </c>
      <c r="D986" s="295" t="s">
        <v>113</v>
      </c>
      <c r="E986" s="295">
        <v>29</v>
      </c>
      <c r="F986" s="316">
        <f t="shared" si="103"/>
        <v>1.0740740740740742</v>
      </c>
      <c r="G986" s="321">
        <v>5.4</v>
      </c>
      <c r="H986" s="321">
        <v>5.2</v>
      </c>
      <c r="I986" s="315">
        <f t="shared" si="108"/>
        <v>73.00800000000001</v>
      </c>
      <c r="J986" s="316">
        <f t="shared" si="104"/>
        <v>0.5109599395313682</v>
      </c>
      <c r="K986" s="316" t="s">
        <v>135</v>
      </c>
    </row>
    <row r="987" spans="1:11">
      <c r="A987" s="295">
        <v>35</v>
      </c>
      <c r="B987" s="295">
        <f t="shared" si="105"/>
        <v>23</v>
      </c>
      <c r="C987" s="295">
        <v>7.4</v>
      </c>
      <c r="D987" s="295" t="s">
        <v>115</v>
      </c>
      <c r="F987" s="316" t="str">
        <f t="shared" si="103"/>
        <v/>
      </c>
      <c r="G987" s="321"/>
      <c r="H987" s="321"/>
      <c r="J987" s="316" t="str">
        <f t="shared" si="104"/>
        <v/>
      </c>
    </row>
    <row r="988" spans="1:11">
      <c r="A988" s="295">
        <v>35</v>
      </c>
      <c r="B988" s="295">
        <f t="shared" si="105"/>
        <v>23</v>
      </c>
      <c r="C988" s="295">
        <v>7.5</v>
      </c>
      <c r="D988" s="295" t="s">
        <v>111</v>
      </c>
      <c r="F988" s="316" t="str">
        <f t="shared" si="103"/>
        <v/>
      </c>
      <c r="G988" s="321"/>
      <c r="H988" s="321"/>
      <c r="J988" s="316" t="str">
        <f t="shared" si="104"/>
        <v/>
      </c>
    </row>
    <row r="989" spans="1:11">
      <c r="A989" s="295">
        <v>36</v>
      </c>
      <c r="B989" s="295">
        <f t="shared" si="105"/>
        <v>24</v>
      </c>
      <c r="C989" s="295">
        <v>1.1000000000000001</v>
      </c>
      <c r="D989" s="295" t="s">
        <v>112</v>
      </c>
      <c r="E989" s="295">
        <v>30</v>
      </c>
      <c r="F989" s="316">
        <f t="shared" si="103"/>
        <v>1.0714285714285714</v>
      </c>
      <c r="G989" s="321">
        <v>15.7</v>
      </c>
      <c r="H989" s="321">
        <v>12.9</v>
      </c>
      <c r="I989" s="315">
        <f t="shared" ref="I989:I991" si="109">G989*(H989^2)*0.5</f>
        <v>1306.3184999999999</v>
      </c>
      <c r="J989" s="316">
        <f t="shared" si="104"/>
        <v>5.7990557745578517</v>
      </c>
    </row>
    <row r="990" spans="1:11">
      <c r="A990" s="295">
        <v>36</v>
      </c>
      <c r="B990" s="295">
        <f t="shared" si="105"/>
        <v>24</v>
      </c>
      <c r="C990" s="295">
        <v>1.2</v>
      </c>
      <c r="D990" s="295" t="s">
        <v>113</v>
      </c>
      <c r="E990" s="295">
        <v>30</v>
      </c>
      <c r="F990" s="316">
        <f t="shared" si="103"/>
        <v>1.1111111111111112</v>
      </c>
      <c r="G990" s="321">
        <v>6.4</v>
      </c>
      <c r="H990" s="321">
        <v>6.3</v>
      </c>
      <c r="I990" s="315">
        <f t="shared" si="109"/>
        <v>127.008</v>
      </c>
      <c r="J990" s="316">
        <f t="shared" si="104"/>
        <v>0.60710845763534194</v>
      </c>
    </row>
    <row r="991" spans="1:11">
      <c r="A991" s="295">
        <v>36</v>
      </c>
      <c r="B991" s="295">
        <f t="shared" si="105"/>
        <v>24</v>
      </c>
      <c r="C991" s="295">
        <v>1.3</v>
      </c>
      <c r="D991" s="295" t="s">
        <v>115</v>
      </c>
      <c r="E991" s="295">
        <v>26</v>
      </c>
      <c r="F991" s="316">
        <f t="shared" si="103"/>
        <v>1.0833333333333333</v>
      </c>
      <c r="G991" s="321">
        <v>13.4</v>
      </c>
      <c r="H991" s="321">
        <v>10.6</v>
      </c>
      <c r="I991" s="315">
        <f t="shared" si="109"/>
        <v>752.81200000000001</v>
      </c>
      <c r="J991" s="316">
        <f t="shared" si="104"/>
        <v>7.5931170822238361</v>
      </c>
    </row>
    <row r="992" spans="1:11">
      <c r="A992" s="295">
        <v>36</v>
      </c>
      <c r="B992" s="295">
        <f t="shared" si="105"/>
        <v>24</v>
      </c>
      <c r="C992" s="295">
        <v>1.4</v>
      </c>
      <c r="D992" s="295" t="s">
        <v>115</v>
      </c>
      <c r="F992" s="316" t="str">
        <f t="shared" si="103"/>
        <v/>
      </c>
      <c r="G992" s="321"/>
      <c r="H992" s="321"/>
      <c r="J992" s="316" t="str">
        <f t="shared" si="104"/>
        <v/>
      </c>
    </row>
    <row r="993" spans="1:10">
      <c r="A993" s="295">
        <v>36</v>
      </c>
      <c r="B993" s="295">
        <f t="shared" si="105"/>
        <v>24</v>
      </c>
      <c r="C993" s="295">
        <v>1.5</v>
      </c>
      <c r="D993" s="295" t="s">
        <v>112</v>
      </c>
      <c r="E993" s="295">
        <v>29</v>
      </c>
      <c r="F993" s="316">
        <f t="shared" si="103"/>
        <v>1.0357142857142858</v>
      </c>
      <c r="G993" s="321">
        <v>11.5</v>
      </c>
      <c r="H993" s="321">
        <v>10.4</v>
      </c>
      <c r="I993" s="315">
        <f t="shared" ref="I993:I994" si="110">G993*(H993^2)*0.5</f>
        <v>621.92000000000007</v>
      </c>
      <c r="J993" s="316">
        <f t="shared" si="104"/>
        <v>4.4657628676470589</v>
      </c>
    </row>
    <row r="994" spans="1:10">
      <c r="A994" s="295">
        <v>36</v>
      </c>
      <c r="B994" s="295">
        <f t="shared" si="105"/>
        <v>24</v>
      </c>
      <c r="C994" s="295">
        <v>2.1</v>
      </c>
      <c r="D994" s="295" t="s">
        <v>114</v>
      </c>
      <c r="E994" s="295">
        <v>29</v>
      </c>
      <c r="F994" s="316">
        <f t="shared" si="103"/>
        <v>1.1153846153846154</v>
      </c>
      <c r="G994" s="321">
        <v>9</v>
      </c>
      <c r="H994" s="321">
        <v>8.5</v>
      </c>
      <c r="I994" s="315">
        <f t="shared" si="110"/>
        <v>325.125</v>
      </c>
      <c r="J994" s="316">
        <f t="shared" si="104"/>
        <v>1.728841138044076</v>
      </c>
    </row>
    <row r="995" spans="1:10">
      <c r="A995" s="295">
        <v>36</v>
      </c>
      <c r="B995" s="295">
        <f t="shared" si="105"/>
        <v>24</v>
      </c>
      <c r="C995" s="295">
        <v>2.2000000000000002</v>
      </c>
      <c r="D995" s="295" t="s">
        <v>115</v>
      </c>
      <c r="F995" s="316" t="str">
        <f t="shared" si="103"/>
        <v/>
      </c>
      <c r="G995" s="321"/>
      <c r="H995" s="321"/>
      <c r="J995" s="316" t="str">
        <f t="shared" si="104"/>
        <v/>
      </c>
    </row>
    <row r="996" spans="1:10" s="316" customFormat="1">
      <c r="A996" s="295">
        <v>36</v>
      </c>
      <c r="B996" s="295">
        <f t="shared" si="105"/>
        <v>24</v>
      </c>
      <c r="C996" s="295">
        <v>2.2999999999999998</v>
      </c>
      <c r="D996" s="295" t="s">
        <v>112</v>
      </c>
      <c r="E996" s="295">
        <v>26</v>
      </c>
      <c r="F996" s="316">
        <f t="shared" si="103"/>
        <v>1.04</v>
      </c>
      <c r="G996" s="321">
        <v>15.5</v>
      </c>
      <c r="H996" s="321">
        <v>12.5</v>
      </c>
      <c r="I996" s="315">
        <f t="shared" ref="I996:I1001" si="111">G996*(H996^2)*0.5</f>
        <v>1210.9375</v>
      </c>
      <c r="J996" s="316">
        <f t="shared" si="104"/>
        <v>7.290719657059598</v>
      </c>
    </row>
    <row r="997" spans="1:10" s="316" customFormat="1">
      <c r="A997" s="295">
        <v>36</v>
      </c>
      <c r="B997" s="295">
        <f t="shared" si="105"/>
        <v>24</v>
      </c>
      <c r="C997" s="295">
        <v>2.4</v>
      </c>
      <c r="D997" s="295" t="s">
        <v>114</v>
      </c>
      <c r="E997" s="295">
        <v>27</v>
      </c>
      <c r="F997" s="316">
        <f t="shared" si="103"/>
        <v>1.08</v>
      </c>
      <c r="G997" s="321">
        <v>6.9</v>
      </c>
      <c r="H997" s="321">
        <v>6.8</v>
      </c>
      <c r="I997" s="315">
        <f t="shared" si="111"/>
        <v>159.52799999999999</v>
      </c>
      <c r="J997" s="316">
        <f t="shared" si="104"/>
        <v>1.4839813953488372</v>
      </c>
    </row>
    <row r="998" spans="1:10" s="316" customFormat="1">
      <c r="A998" s="295">
        <v>36</v>
      </c>
      <c r="B998" s="295">
        <f t="shared" si="105"/>
        <v>24</v>
      </c>
      <c r="C998" s="295">
        <v>2.5</v>
      </c>
      <c r="D998" s="295" t="s">
        <v>113</v>
      </c>
      <c r="E998" s="295">
        <v>30</v>
      </c>
      <c r="F998" s="316">
        <f t="shared" si="103"/>
        <v>1.1111111111111112</v>
      </c>
      <c r="G998" s="321">
        <v>6.6</v>
      </c>
      <c r="H998" s="321">
        <v>5.8</v>
      </c>
      <c r="I998" s="315">
        <f t="shared" si="111"/>
        <v>111.012</v>
      </c>
      <c r="J998" s="316">
        <f t="shared" si="104"/>
        <v>0.65078378726946573</v>
      </c>
    </row>
    <row r="999" spans="1:10" s="316" customFormat="1">
      <c r="A999" s="295">
        <v>36</v>
      </c>
      <c r="B999" s="295">
        <f t="shared" si="105"/>
        <v>24</v>
      </c>
      <c r="C999" s="295">
        <v>3.1</v>
      </c>
      <c r="D999" s="295" t="s">
        <v>115</v>
      </c>
      <c r="E999" s="295">
        <v>26</v>
      </c>
      <c r="F999" s="316">
        <f t="shared" si="103"/>
        <v>1.0833333333333333</v>
      </c>
      <c r="G999" s="321">
        <v>5</v>
      </c>
      <c r="H999" s="321">
        <v>4.8</v>
      </c>
      <c r="I999" s="315">
        <f t="shared" si="111"/>
        <v>57.599999999999994</v>
      </c>
      <c r="J999" s="316">
        <f t="shared" si="104"/>
        <v>0.31704967662033851</v>
      </c>
    </row>
    <row r="1000" spans="1:10" s="316" customFormat="1">
      <c r="A1000" s="295">
        <v>36</v>
      </c>
      <c r="B1000" s="295">
        <f t="shared" si="105"/>
        <v>24</v>
      </c>
      <c r="C1000" s="295">
        <v>3.2</v>
      </c>
      <c r="D1000" s="295" t="s">
        <v>113</v>
      </c>
      <c r="E1000" s="295">
        <v>32</v>
      </c>
      <c r="F1000" s="316">
        <f t="shared" si="103"/>
        <v>1.0666666666666667</v>
      </c>
      <c r="G1000" s="321">
        <v>7.3</v>
      </c>
      <c r="H1000" s="321">
        <v>7</v>
      </c>
      <c r="I1000" s="315">
        <f t="shared" si="111"/>
        <v>178.85</v>
      </c>
      <c r="J1000" s="316">
        <f t="shared" si="104"/>
        <v>0.93201525826489351</v>
      </c>
    </row>
    <row r="1001" spans="1:10" s="316" customFormat="1">
      <c r="A1001" s="295">
        <v>36</v>
      </c>
      <c r="B1001" s="295">
        <f t="shared" si="105"/>
        <v>24</v>
      </c>
      <c r="C1001" s="295">
        <v>3.3</v>
      </c>
      <c r="D1001" s="295" t="s">
        <v>114</v>
      </c>
      <c r="E1001" s="295">
        <v>27</v>
      </c>
      <c r="F1001" s="316">
        <f t="shared" si="103"/>
        <v>1.08</v>
      </c>
      <c r="G1001" s="321">
        <v>10.9</v>
      </c>
      <c r="H1001" s="321">
        <v>9.5</v>
      </c>
      <c r="I1001" s="315">
        <f t="shared" si="111"/>
        <v>491.86250000000001</v>
      </c>
      <c r="J1001" s="316">
        <f t="shared" si="104"/>
        <v>2.3900024295432458</v>
      </c>
    </row>
    <row r="1002" spans="1:10" s="316" customFormat="1">
      <c r="A1002" s="295">
        <v>36</v>
      </c>
      <c r="B1002" s="295">
        <f t="shared" si="105"/>
        <v>24</v>
      </c>
      <c r="C1002" s="295">
        <v>3.4</v>
      </c>
      <c r="D1002" s="295" t="s">
        <v>114</v>
      </c>
      <c r="E1002" s="295"/>
      <c r="F1002" s="316" t="str">
        <f t="shared" si="103"/>
        <v/>
      </c>
      <c r="G1002" s="321"/>
      <c r="H1002" s="321"/>
      <c r="I1002" s="315"/>
      <c r="J1002" s="316" t="str">
        <f t="shared" si="104"/>
        <v/>
      </c>
    </row>
    <row r="1003" spans="1:10" s="316" customFormat="1">
      <c r="A1003" s="295">
        <v>36</v>
      </c>
      <c r="B1003" s="295">
        <f t="shared" si="105"/>
        <v>24</v>
      </c>
      <c r="C1003" s="295">
        <v>3.5</v>
      </c>
      <c r="D1003" s="295" t="s">
        <v>115</v>
      </c>
      <c r="E1003" s="295"/>
      <c r="F1003" s="316" t="str">
        <f t="shared" si="103"/>
        <v/>
      </c>
      <c r="G1003" s="321"/>
      <c r="H1003" s="321"/>
      <c r="I1003" s="315"/>
      <c r="J1003" s="316" t="str">
        <f t="shared" si="104"/>
        <v/>
      </c>
    </row>
    <row r="1004" spans="1:10" s="316" customFormat="1">
      <c r="A1004" s="295">
        <v>36</v>
      </c>
      <c r="B1004" s="295">
        <f t="shared" si="105"/>
        <v>24</v>
      </c>
      <c r="C1004" s="295">
        <v>4.0999999999999996</v>
      </c>
      <c r="D1004" s="295" t="s">
        <v>111</v>
      </c>
      <c r="E1004" s="295"/>
      <c r="F1004" s="316" t="str">
        <f t="shared" si="103"/>
        <v/>
      </c>
      <c r="G1004" s="321"/>
      <c r="H1004" s="321"/>
      <c r="I1004" s="315"/>
      <c r="J1004" s="316" t="str">
        <f t="shared" si="104"/>
        <v/>
      </c>
    </row>
    <row r="1005" spans="1:10" s="316" customFormat="1">
      <c r="A1005" s="295">
        <v>36</v>
      </c>
      <c r="B1005" s="295">
        <f t="shared" si="105"/>
        <v>24</v>
      </c>
      <c r="C1005" s="295">
        <v>4.2</v>
      </c>
      <c r="D1005" s="295" t="s">
        <v>112</v>
      </c>
      <c r="E1005" s="295">
        <v>31</v>
      </c>
      <c r="F1005" s="316">
        <f t="shared" si="103"/>
        <v>1.0689655172413792</v>
      </c>
      <c r="G1005" s="321">
        <v>15.6</v>
      </c>
      <c r="H1005" s="321">
        <v>12.6</v>
      </c>
      <c r="I1005" s="315">
        <f t="shared" ref="I1005:I1006" si="112">G1005*(H1005^2)*0.5</f>
        <v>1238.328</v>
      </c>
      <c r="J1005" s="316">
        <f t="shared" si="104"/>
        <v>3.7205126818452223</v>
      </c>
    </row>
    <row r="1006" spans="1:10" s="316" customFormat="1">
      <c r="A1006" s="295">
        <v>36</v>
      </c>
      <c r="B1006" s="295">
        <f t="shared" si="105"/>
        <v>24</v>
      </c>
      <c r="C1006" s="295">
        <v>4.3</v>
      </c>
      <c r="D1006" s="295" t="s">
        <v>113</v>
      </c>
      <c r="E1006" s="295">
        <v>29</v>
      </c>
      <c r="F1006" s="316">
        <f t="shared" si="103"/>
        <v>1.1153846153846154</v>
      </c>
      <c r="G1006" s="321">
        <v>10.1</v>
      </c>
      <c r="H1006" s="321">
        <v>9.8000000000000007</v>
      </c>
      <c r="I1006" s="315">
        <f t="shared" si="112"/>
        <v>485.00200000000007</v>
      </c>
      <c r="J1006" s="316">
        <f t="shared" si="104"/>
        <v>3.4826085707720589</v>
      </c>
    </row>
    <row r="1007" spans="1:10" s="316" customFormat="1">
      <c r="A1007" s="295">
        <v>36</v>
      </c>
      <c r="B1007" s="295">
        <f t="shared" si="105"/>
        <v>24</v>
      </c>
      <c r="C1007" s="295">
        <v>4.4000000000000004</v>
      </c>
      <c r="D1007" s="295" t="s">
        <v>112</v>
      </c>
      <c r="E1007" s="295"/>
      <c r="F1007" s="316" t="str">
        <f t="shared" si="103"/>
        <v/>
      </c>
      <c r="G1007" s="321"/>
      <c r="H1007" s="321"/>
      <c r="I1007" s="315"/>
      <c r="J1007" s="316" t="str">
        <f t="shared" si="104"/>
        <v/>
      </c>
    </row>
    <row r="1008" spans="1:10" s="316" customFormat="1">
      <c r="A1008" s="295">
        <v>36</v>
      </c>
      <c r="B1008" s="295">
        <f t="shared" si="105"/>
        <v>24</v>
      </c>
      <c r="C1008" s="295">
        <v>4.5</v>
      </c>
      <c r="D1008" s="295" t="s">
        <v>112</v>
      </c>
      <c r="E1008" s="295">
        <v>28</v>
      </c>
      <c r="F1008" s="316">
        <f t="shared" si="103"/>
        <v>1.037037037037037</v>
      </c>
      <c r="G1008" s="321">
        <v>16.3</v>
      </c>
      <c r="H1008" s="321">
        <v>13.3</v>
      </c>
      <c r="I1008" s="315">
        <f t="shared" ref="I1008:I1014" si="113">G1008*(H1008^2)*0.5</f>
        <v>1441.6535000000001</v>
      </c>
      <c r="J1008" s="316">
        <f t="shared" si="104"/>
        <v>6.4411865891036468</v>
      </c>
    </row>
    <row r="1009" spans="1:11" s="316" customFormat="1">
      <c r="A1009" s="295">
        <v>36</v>
      </c>
      <c r="B1009" s="295">
        <f t="shared" si="105"/>
        <v>24</v>
      </c>
      <c r="C1009" s="295">
        <v>5.0999999999999996</v>
      </c>
      <c r="D1009" s="295" t="s">
        <v>113</v>
      </c>
      <c r="E1009" s="295">
        <v>27</v>
      </c>
      <c r="F1009" s="316">
        <f t="shared" si="103"/>
        <v>1.125</v>
      </c>
      <c r="G1009" s="321">
        <v>8.6999999999999993</v>
      </c>
      <c r="H1009" s="321">
        <v>7.6</v>
      </c>
      <c r="I1009" s="315">
        <f t="shared" si="113"/>
        <v>251.25599999999997</v>
      </c>
      <c r="J1009" s="316">
        <f t="shared" si="104"/>
        <v>1.5127428609273115</v>
      </c>
    </row>
    <row r="1010" spans="1:11" s="316" customFormat="1">
      <c r="A1010" s="295">
        <v>36</v>
      </c>
      <c r="B1010" s="295">
        <f t="shared" si="105"/>
        <v>24</v>
      </c>
      <c r="C1010" s="295">
        <v>5.2</v>
      </c>
      <c r="D1010" s="295" t="s">
        <v>114</v>
      </c>
      <c r="E1010" s="295">
        <v>23</v>
      </c>
      <c r="F1010" s="316">
        <f t="shared" si="103"/>
        <v>0.85185185185185186</v>
      </c>
      <c r="G1010" s="321">
        <v>8.4</v>
      </c>
      <c r="H1010" s="321">
        <v>6.3</v>
      </c>
      <c r="I1010" s="315">
        <f t="shared" si="113"/>
        <v>166.69800000000001</v>
      </c>
      <c r="J1010" s="316">
        <f t="shared" si="104"/>
        <v>1.0070682905611137</v>
      </c>
    </row>
    <row r="1011" spans="1:11" s="316" customFormat="1">
      <c r="A1011" s="295">
        <v>36</v>
      </c>
      <c r="B1011" s="295">
        <f t="shared" si="105"/>
        <v>24</v>
      </c>
      <c r="C1011" s="295">
        <v>5.3</v>
      </c>
      <c r="D1011" s="295" t="s">
        <v>112</v>
      </c>
      <c r="E1011" s="295">
        <v>33</v>
      </c>
      <c r="F1011" s="316">
        <f t="shared" si="103"/>
        <v>1.1785714285714286</v>
      </c>
      <c r="G1011" s="321">
        <v>14</v>
      </c>
      <c r="H1011" s="321">
        <v>12.3</v>
      </c>
      <c r="I1011" s="315">
        <f t="shared" si="113"/>
        <v>1059.0300000000002</v>
      </c>
      <c r="J1011" s="316">
        <f t="shared" si="104"/>
        <v>4.463283265058414</v>
      </c>
    </row>
    <row r="1012" spans="1:11">
      <c r="A1012" s="295">
        <v>36</v>
      </c>
      <c r="B1012" s="295">
        <f t="shared" si="105"/>
        <v>24</v>
      </c>
      <c r="C1012" s="295">
        <v>5.4</v>
      </c>
      <c r="D1012" s="295" t="s">
        <v>113</v>
      </c>
      <c r="E1012" s="295">
        <v>23</v>
      </c>
      <c r="F1012" s="316">
        <f t="shared" si="103"/>
        <v>0.88461538461538458</v>
      </c>
      <c r="G1012" s="321">
        <v>6.4</v>
      </c>
      <c r="H1012" s="321">
        <v>5.5</v>
      </c>
      <c r="I1012" s="315">
        <f t="shared" si="113"/>
        <v>96.800000000000011</v>
      </c>
      <c r="J1012" s="316">
        <f t="shared" si="104"/>
        <v>0.54123567235113235</v>
      </c>
      <c r="K1012" s="316" t="s">
        <v>163</v>
      </c>
    </row>
    <row r="1013" spans="1:11">
      <c r="A1013" s="295">
        <v>36</v>
      </c>
      <c r="B1013" s="295">
        <f t="shared" si="105"/>
        <v>24</v>
      </c>
      <c r="C1013" s="295">
        <v>5.5</v>
      </c>
      <c r="D1013" s="295" t="s">
        <v>114</v>
      </c>
      <c r="E1013" s="295">
        <v>27</v>
      </c>
      <c r="F1013" s="316">
        <f t="shared" si="103"/>
        <v>1.2272727272727273</v>
      </c>
      <c r="G1013" s="321">
        <v>6.7</v>
      </c>
      <c r="H1013" s="321">
        <v>7.8</v>
      </c>
      <c r="I1013" s="315">
        <f t="shared" si="113"/>
        <v>203.81399999999999</v>
      </c>
      <c r="J1013" s="316">
        <f t="shared" si="104"/>
        <v>2.025943818214349</v>
      </c>
    </row>
    <row r="1014" spans="1:11">
      <c r="A1014" s="295">
        <v>36</v>
      </c>
      <c r="B1014" s="295">
        <f t="shared" si="105"/>
        <v>24</v>
      </c>
      <c r="C1014" s="295">
        <v>6.1</v>
      </c>
      <c r="D1014" s="295" t="s">
        <v>115</v>
      </c>
      <c r="E1014" s="295">
        <v>28</v>
      </c>
      <c r="F1014" s="316">
        <f t="shared" si="103"/>
        <v>1.1200000000000001</v>
      </c>
      <c r="G1014" s="321">
        <v>5.9</v>
      </c>
      <c r="H1014" s="321">
        <v>5.0999999999999996</v>
      </c>
      <c r="I1014" s="315">
        <f t="shared" si="113"/>
        <v>76.729500000000002</v>
      </c>
      <c r="J1014" s="316">
        <f t="shared" si="104"/>
        <v>0.5703099449977701</v>
      </c>
    </row>
    <row r="1015" spans="1:11">
      <c r="A1015" s="295">
        <v>36</v>
      </c>
      <c r="B1015" s="295">
        <f t="shared" si="105"/>
        <v>24</v>
      </c>
      <c r="C1015" s="295">
        <v>6.2</v>
      </c>
      <c r="D1015" s="295" t="s">
        <v>115</v>
      </c>
      <c r="F1015" s="316" t="str">
        <f t="shared" si="103"/>
        <v/>
      </c>
      <c r="G1015" s="321"/>
      <c r="H1015" s="321"/>
      <c r="J1015" s="316" t="str">
        <f t="shared" si="104"/>
        <v/>
      </c>
    </row>
    <row r="1016" spans="1:11">
      <c r="A1016" s="295">
        <v>36</v>
      </c>
      <c r="B1016" s="295">
        <f t="shared" si="105"/>
        <v>24</v>
      </c>
      <c r="C1016" s="295">
        <v>6.3</v>
      </c>
      <c r="D1016" s="295" t="s">
        <v>114</v>
      </c>
      <c r="F1016" s="316" t="str">
        <f t="shared" si="103"/>
        <v/>
      </c>
      <c r="G1016" s="321"/>
      <c r="H1016" s="321"/>
      <c r="J1016" s="316" t="str">
        <f t="shared" si="104"/>
        <v/>
      </c>
    </row>
    <row r="1017" spans="1:11">
      <c r="A1017" s="295">
        <v>36</v>
      </c>
      <c r="B1017" s="295">
        <f t="shared" si="105"/>
        <v>24</v>
      </c>
      <c r="C1017" s="295">
        <v>6.4</v>
      </c>
      <c r="D1017" s="295" t="s">
        <v>112</v>
      </c>
      <c r="F1017" s="316" t="str">
        <f t="shared" si="103"/>
        <v/>
      </c>
      <c r="G1017" s="321"/>
      <c r="H1017" s="321"/>
      <c r="J1017" s="316" t="str">
        <f t="shared" si="104"/>
        <v/>
      </c>
    </row>
    <row r="1018" spans="1:11">
      <c r="A1018" s="295">
        <v>36</v>
      </c>
      <c r="B1018" s="295">
        <f t="shared" si="105"/>
        <v>24</v>
      </c>
      <c r="C1018" s="295">
        <v>6.5</v>
      </c>
      <c r="D1018" s="295" t="s">
        <v>113</v>
      </c>
      <c r="E1018" s="295">
        <v>26</v>
      </c>
      <c r="F1018" s="316">
        <f t="shared" si="103"/>
        <v>1.0833333333333333</v>
      </c>
      <c r="G1018" s="321">
        <v>10.7</v>
      </c>
      <c r="H1018" s="321">
        <v>10</v>
      </c>
      <c r="I1018" s="315">
        <f t="shared" ref="I1018:I1021" si="114">G1018*(H1018^2)*0.5</f>
        <v>535</v>
      </c>
      <c r="J1018" s="316">
        <f t="shared" si="104"/>
        <v>10.567901234567902</v>
      </c>
      <c r="K1018" s="316" t="s">
        <v>158</v>
      </c>
    </row>
    <row r="1019" spans="1:11">
      <c r="A1019" s="295">
        <v>36</v>
      </c>
      <c r="B1019" s="295">
        <f t="shared" si="105"/>
        <v>24</v>
      </c>
      <c r="C1019" s="295">
        <v>7.1</v>
      </c>
      <c r="D1019" s="295" t="s">
        <v>114</v>
      </c>
      <c r="E1019" s="295">
        <v>29</v>
      </c>
      <c r="F1019" s="316">
        <f t="shared" si="103"/>
        <v>1.0740740740740742</v>
      </c>
      <c r="G1019" s="321">
        <v>6.9</v>
      </c>
      <c r="H1019" s="321">
        <v>5.9</v>
      </c>
      <c r="I1019" s="315">
        <f t="shared" si="114"/>
        <v>120.09450000000001</v>
      </c>
      <c r="J1019" s="316">
        <f t="shared" si="104"/>
        <v>0.88958888888888898</v>
      </c>
    </row>
    <row r="1020" spans="1:11">
      <c r="A1020" s="295">
        <v>36</v>
      </c>
      <c r="B1020" s="295">
        <f t="shared" si="105"/>
        <v>24</v>
      </c>
      <c r="C1020" s="295">
        <v>7.2</v>
      </c>
      <c r="D1020" s="295" t="s">
        <v>111</v>
      </c>
      <c r="E1020" s="295">
        <v>31</v>
      </c>
      <c r="F1020" s="316">
        <f t="shared" si="103"/>
        <v>1.0689655172413792</v>
      </c>
      <c r="G1020" s="321">
        <v>12</v>
      </c>
      <c r="H1020" s="321">
        <v>10.7</v>
      </c>
      <c r="I1020" s="315">
        <f t="shared" si="114"/>
        <v>686.93999999999983</v>
      </c>
      <c r="J1020" s="316">
        <f t="shared" si="104"/>
        <v>45.378517637732848</v>
      </c>
    </row>
    <row r="1021" spans="1:11">
      <c r="A1021" s="295">
        <v>36</v>
      </c>
      <c r="B1021" s="295">
        <f t="shared" si="105"/>
        <v>24</v>
      </c>
      <c r="C1021" s="295">
        <v>7.3</v>
      </c>
      <c r="D1021" s="295" t="s">
        <v>113</v>
      </c>
      <c r="E1021" s="295">
        <v>29</v>
      </c>
      <c r="F1021" s="316">
        <f t="shared" si="103"/>
        <v>1.0740740740740742</v>
      </c>
      <c r="G1021" s="321">
        <v>5.4</v>
      </c>
      <c r="H1021" s="321">
        <v>5</v>
      </c>
      <c r="I1021" s="315">
        <f t="shared" si="114"/>
        <v>67.5</v>
      </c>
      <c r="J1021" s="316">
        <f t="shared" si="104"/>
        <v>0.47241118669690102</v>
      </c>
      <c r="K1021" s="316" t="s">
        <v>135</v>
      </c>
    </row>
    <row r="1022" spans="1:11">
      <c r="A1022" s="295">
        <v>36</v>
      </c>
      <c r="B1022" s="295">
        <f t="shared" si="105"/>
        <v>24</v>
      </c>
      <c r="C1022" s="295">
        <v>7.4</v>
      </c>
      <c r="D1022" s="295" t="s">
        <v>115</v>
      </c>
      <c r="F1022" s="316" t="str">
        <f t="shared" si="103"/>
        <v/>
      </c>
      <c r="G1022" s="321"/>
      <c r="H1022" s="321"/>
      <c r="J1022" s="316" t="str">
        <f t="shared" si="104"/>
        <v/>
      </c>
    </row>
    <row r="1023" spans="1:11">
      <c r="A1023" s="295">
        <v>36</v>
      </c>
      <c r="B1023" s="295">
        <f t="shared" si="105"/>
        <v>24</v>
      </c>
      <c r="C1023" s="295">
        <v>7.5</v>
      </c>
      <c r="D1023" s="295" t="s">
        <v>111</v>
      </c>
      <c r="F1023" s="316" t="str">
        <f t="shared" si="103"/>
        <v/>
      </c>
      <c r="G1023" s="321"/>
      <c r="H1023" s="321"/>
      <c r="J1023" s="316" t="str">
        <f t="shared" si="104"/>
        <v/>
      </c>
    </row>
    <row r="1024" spans="1:11">
      <c r="A1024" s="295">
        <v>37</v>
      </c>
      <c r="B1024" s="295">
        <f t="shared" si="105"/>
        <v>25</v>
      </c>
      <c r="C1024" s="295">
        <v>1.1000000000000001</v>
      </c>
      <c r="D1024" s="295" t="s">
        <v>112</v>
      </c>
      <c r="E1024" s="295">
        <v>32</v>
      </c>
      <c r="F1024" s="316">
        <f t="shared" si="103"/>
        <v>1.1428571428571428</v>
      </c>
      <c r="G1024" s="321">
        <v>14.5</v>
      </c>
      <c r="H1024" s="321">
        <v>13.5</v>
      </c>
      <c r="I1024" s="315">
        <f t="shared" ref="I1024:I1026" si="115">G1024*(H1024^2)*0.5</f>
        <v>1321.3125</v>
      </c>
      <c r="J1024" s="316">
        <f t="shared" si="104"/>
        <v>5.8656176752610278</v>
      </c>
    </row>
    <row r="1025" spans="1:10">
      <c r="A1025" s="295">
        <v>37</v>
      </c>
      <c r="B1025" s="295">
        <f t="shared" si="105"/>
        <v>25</v>
      </c>
      <c r="C1025" s="295">
        <v>1.2</v>
      </c>
      <c r="D1025" s="295" t="s">
        <v>113</v>
      </c>
      <c r="E1025" s="295">
        <v>30</v>
      </c>
      <c r="F1025" s="316">
        <f t="shared" si="103"/>
        <v>1.1111111111111112</v>
      </c>
      <c r="G1025" s="321">
        <v>7</v>
      </c>
      <c r="H1025" s="321">
        <v>6</v>
      </c>
      <c r="I1025" s="315">
        <f t="shared" si="115"/>
        <v>126</v>
      </c>
      <c r="J1025" s="316">
        <f t="shared" si="104"/>
        <v>0.60229013654299801</v>
      </c>
    </row>
    <row r="1026" spans="1:10">
      <c r="A1026" s="295">
        <v>37</v>
      </c>
      <c r="B1026" s="295">
        <f t="shared" si="105"/>
        <v>25</v>
      </c>
      <c r="C1026" s="295">
        <v>1.3</v>
      </c>
      <c r="D1026" s="295" t="s">
        <v>115</v>
      </c>
      <c r="E1026" s="295">
        <v>27</v>
      </c>
      <c r="F1026" s="316">
        <f t="shared" si="103"/>
        <v>1.125</v>
      </c>
      <c r="G1026" s="321">
        <v>13.5</v>
      </c>
      <c r="H1026" s="321">
        <v>9.9</v>
      </c>
      <c r="I1026" s="315">
        <f t="shared" si="115"/>
        <v>661.5675</v>
      </c>
      <c r="J1026" s="316">
        <f t="shared" si="104"/>
        <v>6.672794117647058</v>
      </c>
    </row>
    <row r="1027" spans="1:10">
      <c r="A1027" s="295">
        <v>37</v>
      </c>
      <c r="B1027" s="295">
        <f t="shared" si="105"/>
        <v>25</v>
      </c>
      <c r="C1027" s="295">
        <v>1.4</v>
      </c>
      <c r="D1027" s="295" t="s">
        <v>115</v>
      </c>
      <c r="F1027" s="316" t="str">
        <f t="shared" si="103"/>
        <v/>
      </c>
      <c r="G1027" s="321"/>
      <c r="H1027" s="321"/>
      <c r="J1027" s="316" t="str">
        <f t="shared" si="104"/>
        <v/>
      </c>
    </row>
    <row r="1028" spans="1:10" s="316" customFormat="1">
      <c r="A1028" s="295">
        <v>37</v>
      </c>
      <c r="B1028" s="295">
        <f t="shared" si="105"/>
        <v>25</v>
      </c>
      <c r="C1028" s="295">
        <v>1.5</v>
      </c>
      <c r="D1028" s="295" t="s">
        <v>112</v>
      </c>
      <c r="E1028" s="295">
        <v>28</v>
      </c>
      <c r="F1028" s="316">
        <f t="shared" si="103"/>
        <v>1</v>
      </c>
      <c r="G1028" s="321">
        <v>10.9</v>
      </c>
      <c r="H1028" s="321">
        <v>10.3</v>
      </c>
      <c r="I1028" s="315">
        <f t="shared" ref="I1028:I1029" si="116">G1028*(H1028^2)*0.5</f>
        <v>578.19050000000016</v>
      </c>
      <c r="J1028" s="316">
        <f t="shared" si="104"/>
        <v>4.151758530560663</v>
      </c>
    </row>
    <row r="1029" spans="1:10" s="316" customFormat="1">
      <c r="A1029" s="295">
        <v>37</v>
      </c>
      <c r="B1029" s="295">
        <f t="shared" si="105"/>
        <v>25</v>
      </c>
      <c r="C1029" s="295">
        <v>2.1</v>
      </c>
      <c r="D1029" s="295" t="s">
        <v>114</v>
      </c>
      <c r="E1029" s="295">
        <v>31</v>
      </c>
      <c r="F1029" s="316">
        <f t="shared" si="103"/>
        <v>1.1923076923076923</v>
      </c>
      <c r="G1029" s="321">
        <v>8.1</v>
      </c>
      <c r="H1029" s="321">
        <v>8</v>
      </c>
      <c r="I1029" s="315">
        <f t="shared" si="116"/>
        <v>259.2</v>
      </c>
      <c r="J1029" s="316">
        <f t="shared" si="104"/>
        <v>1.37828719102199</v>
      </c>
    </row>
    <row r="1030" spans="1:10" s="316" customFormat="1">
      <c r="A1030" s="295">
        <v>37</v>
      </c>
      <c r="B1030" s="295">
        <f t="shared" si="105"/>
        <v>25</v>
      </c>
      <c r="C1030" s="295">
        <v>2.2000000000000002</v>
      </c>
      <c r="D1030" s="295" t="s">
        <v>115</v>
      </c>
      <c r="E1030" s="295"/>
      <c r="F1030" s="316" t="str">
        <f t="shared" si="103"/>
        <v/>
      </c>
      <c r="G1030" s="321"/>
      <c r="H1030" s="321"/>
      <c r="I1030" s="315"/>
      <c r="J1030" s="316" t="str">
        <f t="shared" si="104"/>
        <v/>
      </c>
    </row>
    <row r="1031" spans="1:10" s="316" customFormat="1">
      <c r="A1031" s="295">
        <v>37</v>
      </c>
      <c r="B1031" s="295">
        <f t="shared" si="105"/>
        <v>25</v>
      </c>
      <c r="C1031" s="295">
        <v>2.2999999999999998</v>
      </c>
      <c r="D1031" s="295" t="s">
        <v>112</v>
      </c>
      <c r="E1031" s="295">
        <v>26</v>
      </c>
      <c r="F1031" s="316">
        <f t="shared" si="103"/>
        <v>1.04</v>
      </c>
      <c r="G1031" s="321">
        <v>14.7</v>
      </c>
      <c r="H1031" s="321">
        <v>13.3</v>
      </c>
      <c r="I1031" s="315">
        <f t="shared" ref="I1031:I1036" si="117">G1031*(H1031^2)*0.5</f>
        <v>1300.1415</v>
      </c>
      <c r="J1031" s="316">
        <f t="shared" si="104"/>
        <v>7.827792260962231</v>
      </c>
    </row>
    <row r="1032" spans="1:10" s="316" customFormat="1">
      <c r="A1032" s="295">
        <v>37</v>
      </c>
      <c r="B1032" s="295">
        <f t="shared" si="105"/>
        <v>25</v>
      </c>
      <c r="C1032" s="295">
        <v>2.4</v>
      </c>
      <c r="D1032" s="295" t="s">
        <v>114</v>
      </c>
      <c r="E1032" s="295">
        <v>28</v>
      </c>
      <c r="F1032" s="316">
        <f t="shared" si="103"/>
        <v>1.1200000000000001</v>
      </c>
      <c r="G1032" s="321">
        <v>6.4</v>
      </c>
      <c r="H1032" s="321">
        <v>5.7</v>
      </c>
      <c r="I1032" s="315">
        <f t="shared" si="117"/>
        <v>103.96800000000002</v>
      </c>
      <c r="J1032" s="316">
        <f t="shared" si="104"/>
        <v>0.96714418604651176</v>
      </c>
    </row>
    <row r="1033" spans="1:10" s="316" customFormat="1">
      <c r="A1033" s="295">
        <v>37</v>
      </c>
      <c r="B1033" s="295">
        <f t="shared" si="105"/>
        <v>25</v>
      </c>
      <c r="C1033" s="295">
        <v>2.5</v>
      </c>
      <c r="D1033" s="295" t="s">
        <v>113</v>
      </c>
      <c r="E1033" s="295">
        <v>31</v>
      </c>
      <c r="F1033" s="316">
        <f t="shared" ref="F1033:F1096" si="118">IF(ISBLANK(E1033),"",E1033/SUMIFS(E:E,C:C,C1033,B:B,"0"))</f>
        <v>1.1481481481481481</v>
      </c>
      <c r="G1033" s="321">
        <v>8.1</v>
      </c>
      <c r="H1033" s="321">
        <v>7.5</v>
      </c>
      <c r="I1033" s="315">
        <f t="shared" si="117"/>
        <v>227.8125</v>
      </c>
      <c r="J1033" s="316">
        <f t="shared" ref="J1033:J1096" si="119">IF(ISBLANK(I1033),"",I1033/SUMIFS(I:I,C:C,C1033,B:B,"0"))</f>
        <v>1.3355014010856949</v>
      </c>
    </row>
    <row r="1034" spans="1:10" s="316" customFormat="1">
      <c r="A1034" s="295">
        <v>37</v>
      </c>
      <c r="B1034" s="295">
        <f t="shared" ref="B1034:B1097" si="120">A1034-12</f>
        <v>25</v>
      </c>
      <c r="C1034" s="295">
        <v>3.1</v>
      </c>
      <c r="D1034" s="295" t="s">
        <v>115</v>
      </c>
      <c r="E1034" s="295">
        <v>26</v>
      </c>
      <c r="F1034" s="316">
        <f t="shared" si="118"/>
        <v>1.0833333333333333</v>
      </c>
      <c r="G1034" s="321">
        <v>6.9</v>
      </c>
      <c r="H1034" s="321">
        <v>4.7</v>
      </c>
      <c r="I1034" s="315">
        <f t="shared" si="117"/>
        <v>76.21050000000001</v>
      </c>
      <c r="J1034" s="316">
        <f t="shared" si="119"/>
        <v>0.41948809687629018</v>
      </c>
    </row>
    <row r="1035" spans="1:10" s="316" customFormat="1">
      <c r="A1035" s="295">
        <v>37</v>
      </c>
      <c r="B1035" s="295">
        <f t="shared" si="120"/>
        <v>25</v>
      </c>
      <c r="C1035" s="295">
        <v>3.2</v>
      </c>
      <c r="D1035" s="295" t="s">
        <v>113</v>
      </c>
      <c r="E1035" s="295">
        <v>33</v>
      </c>
      <c r="F1035" s="316">
        <f t="shared" si="118"/>
        <v>1.1000000000000001</v>
      </c>
      <c r="G1035" s="321">
        <v>6.7</v>
      </c>
      <c r="H1035" s="321">
        <v>6.3</v>
      </c>
      <c r="I1035" s="315">
        <f t="shared" si="117"/>
        <v>132.9615</v>
      </c>
      <c r="J1035" s="316">
        <f t="shared" si="119"/>
        <v>0.69288312419227083</v>
      </c>
    </row>
    <row r="1036" spans="1:10" s="316" customFormat="1">
      <c r="A1036" s="295">
        <v>37</v>
      </c>
      <c r="B1036" s="295">
        <f t="shared" si="120"/>
        <v>25</v>
      </c>
      <c r="C1036" s="295">
        <v>3.3</v>
      </c>
      <c r="D1036" s="295" t="s">
        <v>114</v>
      </c>
      <c r="E1036" s="295">
        <v>27</v>
      </c>
      <c r="F1036" s="316">
        <f t="shared" si="118"/>
        <v>1.08</v>
      </c>
      <c r="G1036" s="321">
        <v>10.199999999999999</v>
      </c>
      <c r="H1036" s="321">
        <v>8.8000000000000007</v>
      </c>
      <c r="I1036" s="315">
        <f t="shared" si="117"/>
        <v>394.94400000000002</v>
      </c>
      <c r="J1036" s="316">
        <f t="shared" si="119"/>
        <v>1.919067055393586</v>
      </c>
    </row>
    <row r="1037" spans="1:10" s="316" customFormat="1">
      <c r="A1037" s="295">
        <v>37</v>
      </c>
      <c r="B1037" s="295">
        <f t="shared" si="120"/>
        <v>25</v>
      </c>
      <c r="C1037" s="295">
        <v>3.4</v>
      </c>
      <c r="D1037" s="295" t="s">
        <v>114</v>
      </c>
      <c r="E1037" s="295"/>
      <c r="F1037" s="316" t="str">
        <f t="shared" si="118"/>
        <v/>
      </c>
      <c r="G1037" s="321"/>
      <c r="H1037" s="321"/>
      <c r="I1037" s="315"/>
      <c r="J1037" s="316" t="str">
        <f t="shared" si="119"/>
        <v/>
      </c>
    </row>
    <row r="1038" spans="1:10" s="316" customFormat="1">
      <c r="A1038" s="295">
        <v>37</v>
      </c>
      <c r="B1038" s="295">
        <f t="shared" si="120"/>
        <v>25</v>
      </c>
      <c r="C1038" s="295">
        <v>3.5</v>
      </c>
      <c r="D1038" s="295" t="s">
        <v>115</v>
      </c>
      <c r="E1038" s="295"/>
      <c r="F1038" s="316" t="str">
        <f t="shared" si="118"/>
        <v/>
      </c>
      <c r="G1038" s="321"/>
      <c r="H1038" s="321"/>
      <c r="I1038" s="315"/>
      <c r="J1038" s="316" t="str">
        <f t="shared" si="119"/>
        <v/>
      </c>
    </row>
    <row r="1039" spans="1:10" s="316" customFormat="1">
      <c r="A1039" s="295">
        <v>37</v>
      </c>
      <c r="B1039" s="295">
        <f t="shared" si="120"/>
        <v>25</v>
      </c>
      <c r="C1039" s="295">
        <v>4.0999999999999996</v>
      </c>
      <c r="D1039" s="295" t="s">
        <v>111</v>
      </c>
      <c r="E1039" s="295"/>
      <c r="F1039" s="316" t="str">
        <f t="shared" si="118"/>
        <v/>
      </c>
      <c r="G1039" s="321"/>
      <c r="H1039" s="321"/>
      <c r="I1039" s="315"/>
      <c r="J1039" s="316" t="str">
        <f t="shared" si="119"/>
        <v/>
      </c>
    </row>
    <row r="1040" spans="1:10" s="316" customFormat="1">
      <c r="A1040" s="295">
        <v>37</v>
      </c>
      <c r="B1040" s="295">
        <f t="shared" si="120"/>
        <v>25</v>
      </c>
      <c r="C1040" s="295">
        <v>4.2</v>
      </c>
      <c r="D1040" s="295" t="s">
        <v>112</v>
      </c>
      <c r="E1040" s="295">
        <v>33</v>
      </c>
      <c r="F1040" s="316">
        <f t="shared" si="118"/>
        <v>1.1379310344827587</v>
      </c>
      <c r="G1040" s="321">
        <v>14.8</v>
      </c>
      <c r="H1040" s="321">
        <v>14.1</v>
      </c>
      <c r="I1040" s="315">
        <f t="shared" ref="I1040:I1041" si="121">G1040*(H1040^2)*0.5</f>
        <v>1471.1940000000002</v>
      </c>
      <c r="J1040" s="316">
        <f t="shared" si="119"/>
        <v>4.4201503434103087</v>
      </c>
    </row>
    <row r="1041" spans="1:11" s="316" customFormat="1">
      <c r="A1041" s="295">
        <v>37</v>
      </c>
      <c r="B1041" s="295">
        <f t="shared" si="120"/>
        <v>25</v>
      </c>
      <c r="C1041" s="295">
        <v>4.3</v>
      </c>
      <c r="D1041" s="295" t="s">
        <v>113</v>
      </c>
      <c r="E1041" s="295">
        <v>29</v>
      </c>
      <c r="F1041" s="316">
        <f t="shared" si="118"/>
        <v>1.1153846153846154</v>
      </c>
      <c r="G1041" s="321">
        <v>8.6</v>
      </c>
      <c r="H1041" s="321">
        <v>7.5</v>
      </c>
      <c r="I1041" s="315">
        <f t="shared" si="121"/>
        <v>241.875</v>
      </c>
      <c r="J1041" s="316">
        <f t="shared" si="119"/>
        <v>1.7368092256433822</v>
      </c>
    </row>
    <row r="1042" spans="1:11" s="316" customFormat="1">
      <c r="A1042" s="295">
        <v>37</v>
      </c>
      <c r="B1042" s="295">
        <f t="shared" si="120"/>
        <v>25</v>
      </c>
      <c r="C1042" s="295">
        <v>4.4000000000000004</v>
      </c>
      <c r="D1042" s="295" t="s">
        <v>112</v>
      </c>
      <c r="E1042" s="295"/>
      <c r="F1042" s="316" t="str">
        <f t="shared" si="118"/>
        <v/>
      </c>
      <c r="G1042" s="321"/>
      <c r="H1042" s="321"/>
      <c r="I1042" s="315"/>
      <c r="J1042" s="316" t="str">
        <f t="shared" si="119"/>
        <v/>
      </c>
    </row>
    <row r="1043" spans="1:11" s="316" customFormat="1">
      <c r="A1043" s="295">
        <v>37</v>
      </c>
      <c r="B1043" s="295">
        <f t="shared" si="120"/>
        <v>25</v>
      </c>
      <c r="C1043" s="295">
        <v>4.5</v>
      </c>
      <c r="D1043" s="295" t="s">
        <v>112</v>
      </c>
      <c r="E1043" s="295">
        <v>29</v>
      </c>
      <c r="F1043" s="316">
        <f t="shared" si="118"/>
        <v>1.0740740740740742</v>
      </c>
      <c r="G1043" s="321">
        <v>15.3</v>
      </c>
      <c r="H1043" s="321">
        <v>13.5</v>
      </c>
      <c r="I1043" s="315">
        <f t="shared" ref="I1043:I1049" si="122">G1043*(H1043^2)*0.5</f>
        <v>1394.2125000000001</v>
      </c>
      <c r="J1043" s="316">
        <f t="shared" si="119"/>
        <v>6.2292241910838273</v>
      </c>
    </row>
    <row r="1044" spans="1:11">
      <c r="A1044" s="295">
        <v>37</v>
      </c>
      <c r="B1044" s="295">
        <f t="shared" si="120"/>
        <v>25</v>
      </c>
      <c r="C1044" s="295">
        <v>5.0999999999999996</v>
      </c>
      <c r="D1044" s="295" t="s">
        <v>113</v>
      </c>
      <c r="E1044" s="295">
        <v>28</v>
      </c>
      <c r="F1044" s="316">
        <f t="shared" si="118"/>
        <v>1.1666666666666667</v>
      </c>
      <c r="G1044" s="321">
        <v>8.5</v>
      </c>
      <c r="H1044" s="321">
        <v>8.5</v>
      </c>
      <c r="I1044" s="315">
        <f t="shared" si="122"/>
        <v>307.0625</v>
      </c>
      <c r="J1044" s="316">
        <f t="shared" si="119"/>
        <v>1.848738357426261</v>
      </c>
    </row>
    <row r="1045" spans="1:11">
      <c r="A1045" s="295">
        <v>37</v>
      </c>
      <c r="B1045" s="295">
        <f t="shared" si="120"/>
        <v>25</v>
      </c>
      <c r="C1045" s="295">
        <v>5.2</v>
      </c>
      <c r="D1045" s="295" t="s">
        <v>114</v>
      </c>
      <c r="E1045" s="295">
        <v>22</v>
      </c>
      <c r="F1045" s="316">
        <f t="shared" si="118"/>
        <v>0.81481481481481477</v>
      </c>
      <c r="G1045" s="321">
        <v>9.1</v>
      </c>
      <c r="H1045" s="321">
        <v>7.4</v>
      </c>
      <c r="I1045" s="315">
        <f t="shared" si="122"/>
        <v>249.15800000000002</v>
      </c>
      <c r="J1045" s="316">
        <f t="shared" si="119"/>
        <v>1.5052317432700213</v>
      </c>
      <c r="K1045" s="316" t="s">
        <v>170</v>
      </c>
    </row>
    <row r="1046" spans="1:11">
      <c r="A1046" s="295">
        <v>37</v>
      </c>
      <c r="B1046" s="295">
        <f t="shared" si="120"/>
        <v>25</v>
      </c>
      <c r="C1046" s="295">
        <v>5.3</v>
      </c>
      <c r="D1046" s="295" t="s">
        <v>112</v>
      </c>
      <c r="E1046" s="295">
        <v>33</v>
      </c>
      <c r="F1046" s="316">
        <f t="shared" si="118"/>
        <v>1.1785714285714286</v>
      </c>
      <c r="G1046" s="321">
        <v>12.2</v>
      </c>
      <c r="H1046" s="321">
        <v>11</v>
      </c>
      <c r="I1046" s="315">
        <f t="shared" si="122"/>
        <v>738.09999999999991</v>
      </c>
      <c r="J1046" s="316">
        <f t="shared" si="119"/>
        <v>3.110723376995566</v>
      </c>
    </row>
    <row r="1047" spans="1:11">
      <c r="A1047" s="295">
        <v>37</v>
      </c>
      <c r="B1047" s="295">
        <f t="shared" si="120"/>
        <v>25</v>
      </c>
      <c r="C1047" s="295">
        <v>5.4</v>
      </c>
      <c r="D1047" s="295" t="s">
        <v>113</v>
      </c>
      <c r="E1047" s="295">
        <v>23</v>
      </c>
      <c r="F1047" s="316">
        <f t="shared" si="118"/>
        <v>0.88461538461538458</v>
      </c>
      <c r="G1047" s="321">
        <v>5.9</v>
      </c>
      <c r="H1047" s="321">
        <v>5.2</v>
      </c>
      <c r="I1047" s="315">
        <f t="shared" si="122"/>
        <v>79.768000000000015</v>
      </c>
      <c r="J1047" s="316">
        <f t="shared" si="119"/>
        <v>0.44600503214984633</v>
      </c>
      <c r="K1047" s="316" t="s">
        <v>163</v>
      </c>
    </row>
    <row r="1048" spans="1:11">
      <c r="A1048" s="295">
        <v>37</v>
      </c>
      <c r="B1048" s="295">
        <f t="shared" si="120"/>
        <v>25</v>
      </c>
      <c r="C1048" s="295">
        <v>5.5</v>
      </c>
      <c r="D1048" s="295" t="s">
        <v>114</v>
      </c>
      <c r="E1048" s="295">
        <v>28</v>
      </c>
      <c r="F1048" s="316">
        <f t="shared" si="118"/>
        <v>1.2727272727272727</v>
      </c>
      <c r="G1048" s="321">
        <v>6.4</v>
      </c>
      <c r="H1048" s="321">
        <v>6.3</v>
      </c>
      <c r="I1048" s="315">
        <f t="shared" si="122"/>
        <v>127.008</v>
      </c>
      <c r="J1048" s="316">
        <f t="shared" si="119"/>
        <v>1.2624798711755232</v>
      </c>
    </row>
    <row r="1049" spans="1:11">
      <c r="A1049" s="295">
        <v>37</v>
      </c>
      <c r="B1049" s="295">
        <f t="shared" si="120"/>
        <v>25</v>
      </c>
      <c r="C1049" s="295">
        <v>6.1</v>
      </c>
      <c r="D1049" s="295" t="s">
        <v>115</v>
      </c>
      <c r="E1049" s="295">
        <v>29</v>
      </c>
      <c r="F1049" s="316">
        <f t="shared" si="118"/>
        <v>1.1599999999999999</v>
      </c>
      <c r="G1049" s="321">
        <v>6.7</v>
      </c>
      <c r="H1049" s="321">
        <v>5.8</v>
      </c>
      <c r="I1049" s="315">
        <f t="shared" si="122"/>
        <v>112.694</v>
      </c>
      <c r="J1049" s="316">
        <f t="shared" si="119"/>
        <v>0.83762449829047114</v>
      </c>
    </row>
    <row r="1050" spans="1:11">
      <c r="A1050" s="295">
        <v>37</v>
      </c>
      <c r="B1050" s="295">
        <f t="shared" si="120"/>
        <v>25</v>
      </c>
      <c r="C1050" s="295">
        <v>6.2</v>
      </c>
      <c r="D1050" s="295" t="s">
        <v>115</v>
      </c>
      <c r="F1050" s="316" t="str">
        <f t="shared" si="118"/>
        <v/>
      </c>
      <c r="G1050" s="321"/>
      <c r="H1050" s="321"/>
      <c r="J1050" s="316" t="str">
        <f t="shared" si="119"/>
        <v/>
      </c>
    </row>
    <row r="1051" spans="1:11">
      <c r="A1051" s="295">
        <v>37</v>
      </c>
      <c r="B1051" s="295">
        <f t="shared" si="120"/>
        <v>25</v>
      </c>
      <c r="C1051" s="295">
        <v>6.3</v>
      </c>
      <c r="D1051" s="295" t="s">
        <v>114</v>
      </c>
      <c r="F1051" s="316" t="str">
        <f t="shared" si="118"/>
        <v/>
      </c>
      <c r="G1051" s="321"/>
      <c r="H1051" s="321"/>
      <c r="J1051" s="316" t="str">
        <f t="shared" si="119"/>
        <v/>
      </c>
    </row>
    <row r="1052" spans="1:11">
      <c r="A1052" s="295">
        <v>37</v>
      </c>
      <c r="B1052" s="295">
        <f t="shared" si="120"/>
        <v>25</v>
      </c>
      <c r="C1052" s="295">
        <v>6.4</v>
      </c>
      <c r="D1052" s="295" t="s">
        <v>112</v>
      </c>
      <c r="F1052" s="316" t="str">
        <f t="shared" si="118"/>
        <v/>
      </c>
      <c r="G1052" s="321"/>
      <c r="H1052" s="321"/>
      <c r="J1052" s="316" t="str">
        <f t="shared" si="119"/>
        <v/>
      </c>
    </row>
    <row r="1053" spans="1:11">
      <c r="A1053" s="295">
        <v>37</v>
      </c>
      <c r="B1053" s="295">
        <f t="shared" si="120"/>
        <v>25</v>
      </c>
      <c r="C1053" s="295">
        <v>6.5</v>
      </c>
      <c r="D1053" s="295" t="s">
        <v>113</v>
      </c>
      <c r="E1053" s="295">
        <v>25</v>
      </c>
      <c r="F1053" s="316">
        <f t="shared" si="118"/>
        <v>1.0416666666666667</v>
      </c>
      <c r="G1053" s="321">
        <v>11.6</v>
      </c>
      <c r="H1053" s="321">
        <v>10.3</v>
      </c>
      <c r="I1053" s="315">
        <f t="shared" ref="I1053:I1056" si="123">G1053*(H1053^2)*0.5</f>
        <v>615.32200000000012</v>
      </c>
      <c r="J1053" s="316">
        <f t="shared" si="119"/>
        <v>12.15450864197531</v>
      </c>
      <c r="K1053" s="316" t="s">
        <v>163</v>
      </c>
    </row>
    <row r="1054" spans="1:11">
      <c r="A1054" s="295">
        <v>37</v>
      </c>
      <c r="B1054" s="295">
        <f t="shared" si="120"/>
        <v>25</v>
      </c>
      <c r="C1054" s="295">
        <v>7.1</v>
      </c>
      <c r="D1054" s="295" t="s">
        <v>114</v>
      </c>
      <c r="E1054" s="295">
        <v>30</v>
      </c>
      <c r="F1054" s="316">
        <f t="shared" si="118"/>
        <v>1.1111111111111112</v>
      </c>
      <c r="G1054" s="321">
        <v>7.9</v>
      </c>
      <c r="H1054" s="321">
        <v>7.7</v>
      </c>
      <c r="I1054" s="315">
        <f t="shared" si="123"/>
        <v>234.19550000000004</v>
      </c>
      <c r="J1054" s="316">
        <f t="shared" si="119"/>
        <v>1.7347814814814817</v>
      </c>
    </row>
    <row r="1055" spans="1:11">
      <c r="A1055" s="295">
        <v>37</v>
      </c>
      <c r="B1055" s="295">
        <f t="shared" si="120"/>
        <v>25</v>
      </c>
      <c r="C1055" s="295">
        <v>7.2</v>
      </c>
      <c r="D1055" s="295" t="s">
        <v>111</v>
      </c>
      <c r="E1055" s="295">
        <v>32</v>
      </c>
      <c r="F1055" s="316">
        <f t="shared" si="118"/>
        <v>1.103448275862069</v>
      </c>
      <c r="G1055" s="321">
        <v>12.4</v>
      </c>
      <c r="H1055" s="321">
        <v>11.5</v>
      </c>
      <c r="I1055" s="315">
        <f t="shared" si="123"/>
        <v>819.95</v>
      </c>
      <c r="J1055" s="316">
        <f t="shared" si="119"/>
        <v>54.165015193552655</v>
      </c>
    </row>
    <row r="1056" spans="1:11">
      <c r="A1056" s="295">
        <v>37</v>
      </c>
      <c r="B1056" s="295">
        <f t="shared" si="120"/>
        <v>25</v>
      </c>
      <c r="C1056" s="295">
        <v>7.3</v>
      </c>
      <c r="D1056" s="295" t="s">
        <v>113</v>
      </c>
      <c r="E1056" s="295">
        <v>30</v>
      </c>
      <c r="F1056" s="316">
        <f t="shared" si="118"/>
        <v>1.1111111111111112</v>
      </c>
      <c r="G1056" s="321">
        <v>5.2</v>
      </c>
      <c r="H1056" s="321">
        <v>4.9000000000000004</v>
      </c>
      <c r="I1056" s="315">
        <f t="shared" si="123"/>
        <v>62.426000000000016</v>
      </c>
      <c r="J1056" s="316">
        <f t="shared" si="119"/>
        <v>0.43689986282578891</v>
      </c>
      <c r="K1056" s="316" t="s">
        <v>135</v>
      </c>
    </row>
    <row r="1057" spans="1:10">
      <c r="A1057" s="295">
        <v>37</v>
      </c>
      <c r="B1057" s="295">
        <f t="shared" si="120"/>
        <v>25</v>
      </c>
      <c r="C1057" s="295">
        <v>7.4</v>
      </c>
      <c r="D1057" s="295" t="s">
        <v>115</v>
      </c>
      <c r="F1057" s="316" t="str">
        <f t="shared" si="118"/>
        <v/>
      </c>
      <c r="G1057" s="321"/>
      <c r="H1057" s="321"/>
      <c r="J1057" s="316" t="str">
        <f t="shared" si="119"/>
        <v/>
      </c>
    </row>
    <row r="1058" spans="1:10">
      <c r="A1058" s="295">
        <v>37</v>
      </c>
      <c r="B1058" s="295">
        <f t="shared" si="120"/>
        <v>25</v>
      </c>
      <c r="C1058" s="295">
        <v>7.5</v>
      </c>
      <c r="D1058" s="295" t="s">
        <v>111</v>
      </c>
      <c r="F1058" s="316" t="str">
        <f t="shared" si="118"/>
        <v/>
      </c>
      <c r="G1058" s="321"/>
      <c r="H1058" s="321"/>
      <c r="J1058" s="316" t="str">
        <f t="shared" si="119"/>
        <v/>
      </c>
    </row>
    <row r="1059" spans="1:10">
      <c r="A1059" s="295">
        <v>38</v>
      </c>
      <c r="B1059" s="295">
        <f t="shared" si="120"/>
        <v>26</v>
      </c>
      <c r="C1059" s="295">
        <v>1.1000000000000001</v>
      </c>
      <c r="D1059" s="295" t="s">
        <v>112</v>
      </c>
      <c r="E1059" s="295">
        <v>31</v>
      </c>
      <c r="F1059" s="316">
        <f t="shared" si="118"/>
        <v>1.1071428571428572</v>
      </c>
      <c r="G1059" s="321">
        <v>15.8</v>
      </c>
      <c r="H1059" s="321">
        <v>13.9</v>
      </c>
      <c r="I1059" s="315">
        <f t="shared" ref="I1059:I1061" si="124">G1059*(H1059^2)*0.5</f>
        <v>1526.3590000000002</v>
      </c>
      <c r="J1059" s="316">
        <f t="shared" si="119"/>
        <v>6.7758674266638268</v>
      </c>
    </row>
    <row r="1060" spans="1:10" s="316" customFormat="1">
      <c r="A1060" s="295">
        <v>38</v>
      </c>
      <c r="B1060" s="295">
        <f t="shared" si="120"/>
        <v>26</v>
      </c>
      <c r="C1060" s="295">
        <v>1.2</v>
      </c>
      <c r="D1060" s="295" t="s">
        <v>113</v>
      </c>
      <c r="E1060" s="295">
        <v>30</v>
      </c>
      <c r="F1060" s="316">
        <f t="shared" si="118"/>
        <v>1.1111111111111112</v>
      </c>
      <c r="G1060" s="321">
        <v>7.7</v>
      </c>
      <c r="H1060" s="321">
        <v>5.7</v>
      </c>
      <c r="I1060" s="315">
        <f t="shared" si="124"/>
        <v>125.08650000000002</v>
      </c>
      <c r="J1060" s="316">
        <f t="shared" si="119"/>
        <v>0.59792353305306134</v>
      </c>
    </row>
    <row r="1061" spans="1:10" s="316" customFormat="1">
      <c r="A1061" s="295">
        <v>38</v>
      </c>
      <c r="B1061" s="295">
        <f t="shared" si="120"/>
        <v>26</v>
      </c>
      <c r="C1061" s="295">
        <v>1.3</v>
      </c>
      <c r="D1061" s="295" t="s">
        <v>115</v>
      </c>
      <c r="E1061" s="295">
        <v>27</v>
      </c>
      <c r="F1061" s="316">
        <f t="shared" si="118"/>
        <v>1.125</v>
      </c>
      <c r="G1061" s="321">
        <v>14</v>
      </c>
      <c r="H1061" s="321">
        <v>9.9</v>
      </c>
      <c r="I1061" s="315">
        <f t="shared" si="124"/>
        <v>686.07</v>
      </c>
      <c r="J1061" s="316">
        <f t="shared" si="119"/>
        <v>6.9199346405228761</v>
      </c>
    </row>
    <row r="1062" spans="1:10" s="316" customFormat="1">
      <c r="A1062" s="295">
        <v>38</v>
      </c>
      <c r="B1062" s="295">
        <f t="shared" si="120"/>
        <v>26</v>
      </c>
      <c r="C1062" s="295">
        <v>1.4</v>
      </c>
      <c r="D1062" s="295" t="s">
        <v>115</v>
      </c>
      <c r="E1062" s="295"/>
      <c r="F1062" s="316" t="str">
        <f t="shared" si="118"/>
        <v/>
      </c>
      <c r="G1062" s="321"/>
      <c r="H1062" s="321"/>
      <c r="I1062" s="315"/>
      <c r="J1062" s="316" t="str">
        <f t="shared" si="119"/>
        <v/>
      </c>
    </row>
    <row r="1063" spans="1:10" s="316" customFormat="1">
      <c r="A1063" s="295">
        <v>38</v>
      </c>
      <c r="B1063" s="295">
        <f t="shared" si="120"/>
        <v>26</v>
      </c>
      <c r="C1063" s="295">
        <v>1.5</v>
      </c>
      <c r="D1063" s="295" t="s">
        <v>112</v>
      </c>
      <c r="E1063" s="295">
        <v>28</v>
      </c>
      <c r="F1063" s="316">
        <f t="shared" si="118"/>
        <v>1</v>
      </c>
      <c r="G1063" s="321">
        <v>11.1</v>
      </c>
      <c r="H1063" s="321">
        <v>10</v>
      </c>
      <c r="I1063" s="315">
        <f t="shared" ref="I1063:I1064" si="125">G1063*(H1063^2)*0.5</f>
        <v>555</v>
      </c>
      <c r="J1063" s="316">
        <f t="shared" si="119"/>
        <v>3.9852366727941173</v>
      </c>
    </row>
    <row r="1064" spans="1:10" s="316" customFormat="1">
      <c r="A1064" s="295">
        <v>38</v>
      </c>
      <c r="B1064" s="295">
        <f t="shared" si="120"/>
        <v>26</v>
      </c>
      <c r="C1064" s="295">
        <v>2.1</v>
      </c>
      <c r="D1064" s="295" t="s">
        <v>114</v>
      </c>
      <c r="E1064" s="295">
        <v>31</v>
      </c>
      <c r="F1064" s="316">
        <f t="shared" si="118"/>
        <v>1.1923076923076923</v>
      </c>
      <c r="G1064" s="321">
        <v>9</v>
      </c>
      <c r="H1064" s="321">
        <v>8.1</v>
      </c>
      <c r="I1064" s="315">
        <f t="shared" si="125"/>
        <v>295.245</v>
      </c>
      <c r="J1064" s="316">
        <f t="shared" si="119"/>
        <v>1.5699552535234855</v>
      </c>
    </row>
    <row r="1065" spans="1:10" s="316" customFormat="1">
      <c r="A1065" s="295">
        <v>38</v>
      </c>
      <c r="B1065" s="295">
        <f t="shared" si="120"/>
        <v>26</v>
      </c>
      <c r="C1065" s="295">
        <v>2.2000000000000002</v>
      </c>
      <c r="D1065" s="295" t="s">
        <v>115</v>
      </c>
      <c r="E1065" s="295"/>
      <c r="F1065" s="316" t="str">
        <f t="shared" si="118"/>
        <v/>
      </c>
      <c r="G1065" s="321"/>
      <c r="H1065" s="321"/>
      <c r="I1065" s="315"/>
      <c r="J1065" s="316" t="str">
        <f t="shared" si="119"/>
        <v/>
      </c>
    </row>
    <row r="1066" spans="1:10" s="316" customFormat="1">
      <c r="A1066" s="295">
        <v>38</v>
      </c>
      <c r="B1066" s="295">
        <f t="shared" si="120"/>
        <v>26</v>
      </c>
      <c r="C1066" s="295">
        <v>2.2999999999999998</v>
      </c>
      <c r="D1066" s="295" t="s">
        <v>112</v>
      </c>
      <c r="E1066" s="295">
        <v>26</v>
      </c>
      <c r="F1066" s="316">
        <f t="shared" si="118"/>
        <v>1.04</v>
      </c>
      <c r="G1066" s="321">
        <v>14.5</v>
      </c>
      <c r="H1066" s="321">
        <v>12.3</v>
      </c>
      <c r="I1066" s="315">
        <f t="shared" ref="I1066:I1071" si="126">G1066*(H1066^2)*0.5</f>
        <v>1096.8525000000002</v>
      </c>
      <c r="J1066" s="316">
        <f t="shared" si="119"/>
        <v>6.6038454359906806</v>
      </c>
    </row>
    <row r="1067" spans="1:10" s="316" customFormat="1">
      <c r="A1067" s="295">
        <v>38</v>
      </c>
      <c r="B1067" s="295">
        <f t="shared" si="120"/>
        <v>26</v>
      </c>
      <c r="C1067" s="295">
        <v>2.4</v>
      </c>
      <c r="D1067" s="295" t="s">
        <v>114</v>
      </c>
      <c r="E1067" s="295">
        <v>28</v>
      </c>
      <c r="F1067" s="316">
        <f t="shared" si="118"/>
        <v>1.1200000000000001</v>
      </c>
      <c r="G1067" s="321">
        <v>6.6</v>
      </c>
      <c r="H1067" s="321">
        <v>6.3</v>
      </c>
      <c r="I1067" s="315">
        <f t="shared" si="126"/>
        <v>130.97699999999998</v>
      </c>
      <c r="J1067" s="316">
        <f t="shared" si="119"/>
        <v>1.2183906976744183</v>
      </c>
    </row>
    <row r="1068" spans="1:10" s="316" customFormat="1">
      <c r="A1068" s="295">
        <v>38</v>
      </c>
      <c r="B1068" s="295">
        <f t="shared" si="120"/>
        <v>26</v>
      </c>
      <c r="C1068" s="295">
        <v>2.5</v>
      </c>
      <c r="D1068" s="295" t="s">
        <v>113</v>
      </c>
      <c r="E1068" s="295">
        <v>30</v>
      </c>
      <c r="F1068" s="316">
        <f t="shared" si="118"/>
        <v>1.1111111111111112</v>
      </c>
      <c r="G1068" s="321">
        <v>7.1</v>
      </c>
      <c r="H1068" s="321">
        <v>6.6</v>
      </c>
      <c r="I1068" s="315">
        <f t="shared" si="126"/>
        <v>154.63799999999998</v>
      </c>
      <c r="J1068" s="316">
        <f t="shared" si="119"/>
        <v>0.90653175598832225</v>
      </c>
    </row>
    <row r="1069" spans="1:10" s="316" customFormat="1">
      <c r="A1069" s="295">
        <v>38</v>
      </c>
      <c r="B1069" s="295">
        <f t="shared" si="120"/>
        <v>26</v>
      </c>
      <c r="C1069" s="295">
        <v>3.1</v>
      </c>
      <c r="D1069" s="295" t="s">
        <v>115</v>
      </c>
      <c r="E1069" s="295">
        <v>26</v>
      </c>
      <c r="F1069" s="316">
        <f t="shared" si="118"/>
        <v>1.0833333333333333</v>
      </c>
      <c r="G1069" s="321">
        <v>3.9</v>
      </c>
      <c r="H1069" s="321">
        <v>3.6</v>
      </c>
      <c r="I1069" s="315">
        <f t="shared" si="126"/>
        <v>25.272000000000002</v>
      </c>
      <c r="J1069" s="316">
        <f t="shared" si="119"/>
        <v>0.13910554561717356</v>
      </c>
    </row>
    <row r="1070" spans="1:10" s="316" customFormat="1">
      <c r="A1070" s="295">
        <v>38</v>
      </c>
      <c r="B1070" s="295">
        <f t="shared" si="120"/>
        <v>26</v>
      </c>
      <c r="C1070" s="295">
        <v>3.2</v>
      </c>
      <c r="D1070" s="295" t="s">
        <v>113</v>
      </c>
      <c r="E1070" s="295">
        <v>33</v>
      </c>
      <c r="F1070" s="316">
        <f t="shared" si="118"/>
        <v>1.1000000000000001</v>
      </c>
      <c r="G1070" s="321">
        <v>7.1</v>
      </c>
      <c r="H1070" s="321">
        <v>5.5</v>
      </c>
      <c r="I1070" s="315">
        <f t="shared" si="126"/>
        <v>107.38749999999999</v>
      </c>
      <c r="J1070" s="316">
        <f t="shared" si="119"/>
        <v>0.55961301955225751</v>
      </c>
    </row>
    <row r="1071" spans="1:10" s="316" customFormat="1">
      <c r="A1071" s="295">
        <v>38</v>
      </c>
      <c r="B1071" s="295">
        <f t="shared" si="120"/>
        <v>26</v>
      </c>
      <c r="C1071" s="295">
        <v>3.3</v>
      </c>
      <c r="D1071" s="295" t="s">
        <v>114</v>
      </c>
      <c r="E1071" s="295">
        <v>27</v>
      </c>
      <c r="F1071" s="316">
        <f t="shared" si="118"/>
        <v>1.08</v>
      </c>
      <c r="G1071" s="321">
        <v>11.1</v>
      </c>
      <c r="H1071" s="321">
        <v>8.8000000000000007</v>
      </c>
      <c r="I1071" s="315">
        <f t="shared" si="126"/>
        <v>429.79200000000003</v>
      </c>
      <c r="J1071" s="316">
        <f t="shared" si="119"/>
        <v>2.0883965014577259</v>
      </c>
    </row>
    <row r="1072" spans="1:10" s="316" customFormat="1">
      <c r="A1072" s="295">
        <v>38</v>
      </c>
      <c r="B1072" s="295">
        <f t="shared" si="120"/>
        <v>26</v>
      </c>
      <c r="C1072" s="295">
        <v>3.4</v>
      </c>
      <c r="D1072" s="295" t="s">
        <v>114</v>
      </c>
      <c r="E1072" s="295"/>
      <c r="F1072" s="316" t="str">
        <f t="shared" si="118"/>
        <v/>
      </c>
      <c r="G1072" s="321"/>
      <c r="H1072" s="321"/>
      <c r="I1072" s="315"/>
      <c r="J1072" s="316" t="str">
        <f t="shared" si="119"/>
        <v/>
      </c>
    </row>
    <row r="1073" spans="1:11" s="316" customFormat="1">
      <c r="A1073" s="295">
        <v>38</v>
      </c>
      <c r="B1073" s="295">
        <f t="shared" si="120"/>
        <v>26</v>
      </c>
      <c r="C1073" s="295">
        <v>3.5</v>
      </c>
      <c r="D1073" s="295" t="s">
        <v>115</v>
      </c>
      <c r="E1073" s="295"/>
      <c r="F1073" s="316" t="str">
        <f t="shared" si="118"/>
        <v/>
      </c>
      <c r="G1073" s="321"/>
      <c r="H1073" s="321"/>
      <c r="I1073" s="315"/>
      <c r="J1073" s="316" t="str">
        <f t="shared" si="119"/>
        <v/>
      </c>
    </row>
    <row r="1074" spans="1:11" s="316" customFormat="1">
      <c r="A1074" s="295">
        <v>38</v>
      </c>
      <c r="B1074" s="295">
        <f t="shared" si="120"/>
        <v>26</v>
      </c>
      <c r="C1074" s="295">
        <v>4.0999999999999996</v>
      </c>
      <c r="D1074" s="295" t="s">
        <v>111</v>
      </c>
      <c r="E1074" s="295"/>
      <c r="F1074" s="316" t="str">
        <f t="shared" si="118"/>
        <v/>
      </c>
      <c r="G1074" s="321"/>
      <c r="H1074" s="321"/>
      <c r="I1074" s="315"/>
      <c r="J1074" s="316" t="str">
        <f t="shared" si="119"/>
        <v/>
      </c>
    </row>
    <row r="1075" spans="1:11" s="316" customFormat="1">
      <c r="A1075" s="295">
        <v>38</v>
      </c>
      <c r="B1075" s="295">
        <f t="shared" si="120"/>
        <v>26</v>
      </c>
      <c r="C1075" s="295">
        <v>4.2</v>
      </c>
      <c r="D1075" s="295" t="s">
        <v>112</v>
      </c>
      <c r="E1075" s="295">
        <v>32</v>
      </c>
      <c r="F1075" s="316">
        <f t="shared" si="118"/>
        <v>1.103448275862069</v>
      </c>
      <c r="G1075" s="321">
        <v>14.1</v>
      </c>
      <c r="H1075" s="321">
        <v>13.2</v>
      </c>
      <c r="I1075" s="315">
        <f t="shared" ref="I1075:I1076" si="127">G1075*(H1075^2)*0.5</f>
        <v>1228.3919999999998</v>
      </c>
      <c r="J1075" s="316">
        <f t="shared" si="119"/>
        <v>3.6906603212373588</v>
      </c>
    </row>
    <row r="1076" spans="1:11">
      <c r="A1076" s="295">
        <v>38</v>
      </c>
      <c r="B1076" s="295">
        <f t="shared" si="120"/>
        <v>26</v>
      </c>
      <c r="C1076" s="295">
        <v>4.3</v>
      </c>
      <c r="D1076" s="295" t="s">
        <v>113</v>
      </c>
      <c r="E1076" s="295">
        <v>28</v>
      </c>
      <c r="F1076" s="316">
        <f t="shared" si="118"/>
        <v>1.0769230769230769</v>
      </c>
      <c r="G1076" s="321">
        <v>9.3000000000000007</v>
      </c>
      <c r="H1076" s="321">
        <v>8.1</v>
      </c>
      <c r="I1076" s="315">
        <f t="shared" si="127"/>
        <v>305.0865</v>
      </c>
      <c r="J1076" s="316">
        <f t="shared" si="119"/>
        <v>2.1907061408547794</v>
      </c>
    </row>
    <row r="1077" spans="1:11">
      <c r="A1077" s="295">
        <v>38</v>
      </c>
      <c r="B1077" s="295">
        <f t="shared" si="120"/>
        <v>26</v>
      </c>
      <c r="C1077" s="295">
        <v>4.4000000000000004</v>
      </c>
      <c r="D1077" s="295" t="s">
        <v>112</v>
      </c>
      <c r="F1077" s="316" t="str">
        <f t="shared" si="118"/>
        <v/>
      </c>
      <c r="G1077" s="321"/>
      <c r="H1077" s="321"/>
      <c r="J1077" s="316" t="str">
        <f t="shared" si="119"/>
        <v/>
      </c>
    </row>
    <row r="1078" spans="1:11">
      <c r="A1078" s="295">
        <v>38</v>
      </c>
      <c r="B1078" s="295">
        <f t="shared" si="120"/>
        <v>26</v>
      </c>
      <c r="C1078" s="295">
        <v>4.5</v>
      </c>
      <c r="D1078" s="295" t="s">
        <v>112</v>
      </c>
      <c r="E1078" s="295">
        <v>29</v>
      </c>
      <c r="F1078" s="316">
        <f t="shared" si="118"/>
        <v>1.0740740740740742</v>
      </c>
      <c r="G1078" s="321">
        <v>16</v>
      </c>
      <c r="H1078" s="321">
        <v>13.5</v>
      </c>
      <c r="I1078" s="315">
        <f t="shared" ref="I1078:I1084" si="128">G1078*(H1078^2)*0.5</f>
        <v>1458</v>
      </c>
      <c r="J1078" s="316">
        <f t="shared" si="119"/>
        <v>6.5142213762968124</v>
      </c>
    </row>
    <row r="1079" spans="1:11">
      <c r="A1079" s="295">
        <v>38</v>
      </c>
      <c r="B1079" s="295">
        <f t="shared" si="120"/>
        <v>26</v>
      </c>
      <c r="C1079" s="295">
        <v>5.0999999999999996</v>
      </c>
      <c r="D1079" s="295" t="s">
        <v>113</v>
      </c>
      <c r="E1079" s="295">
        <v>26</v>
      </c>
      <c r="F1079" s="316">
        <f t="shared" si="118"/>
        <v>1.0833333333333333</v>
      </c>
      <c r="G1079" s="321">
        <v>8</v>
      </c>
      <c r="H1079" s="321">
        <v>6.9</v>
      </c>
      <c r="I1079" s="315">
        <f t="shared" si="128"/>
        <v>190.44000000000003</v>
      </c>
      <c r="J1079" s="316">
        <f t="shared" si="119"/>
        <v>1.1465865509082263</v>
      </c>
    </row>
    <row r="1080" spans="1:11">
      <c r="A1080" s="295">
        <v>38</v>
      </c>
      <c r="B1080" s="295">
        <f t="shared" si="120"/>
        <v>26</v>
      </c>
      <c r="C1080" s="295">
        <v>5.2</v>
      </c>
      <c r="D1080" s="295" t="s">
        <v>114</v>
      </c>
      <c r="F1080" s="316" t="str">
        <f t="shared" si="118"/>
        <v/>
      </c>
      <c r="G1080" s="321"/>
      <c r="H1080" s="321"/>
      <c r="J1080" s="316" t="str">
        <f t="shared" si="119"/>
        <v/>
      </c>
    </row>
    <row r="1081" spans="1:11">
      <c r="A1081" s="295">
        <v>38</v>
      </c>
      <c r="B1081" s="295">
        <f t="shared" si="120"/>
        <v>26</v>
      </c>
      <c r="C1081" s="295">
        <v>5.3</v>
      </c>
      <c r="D1081" s="295" t="s">
        <v>112</v>
      </c>
      <c r="E1081" s="295">
        <v>32</v>
      </c>
      <c r="F1081" s="316">
        <f t="shared" si="118"/>
        <v>1.1428571428571428</v>
      </c>
      <c r="G1081" s="321">
        <v>12.4</v>
      </c>
      <c r="H1081" s="321">
        <v>11.7</v>
      </c>
      <c r="I1081" s="315">
        <f t="shared" si="128"/>
        <v>848.71799999999996</v>
      </c>
      <c r="J1081" s="316">
        <f t="shared" si="119"/>
        <v>3.5769230769230771</v>
      </c>
    </row>
    <row r="1082" spans="1:11">
      <c r="A1082" s="295">
        <v>38</v>
      </c>
      <c r="B1082" s="295">
        <f t="shared" si="120"/>
        <v>26</v>
      </c>
      <c r="C1082" s="295">
        <v>5.4</v>
      </c>
      <c r="D1082" s="295" t="s">
        <v>113</v>
      </c>
      <c r="E1082" s="295">
        <v>27</v>
      </c>
      <c r="F1082" s="316">
        <f t="shared" si="118"/>
        <v>1.0384615384615385</v>
      </c>
      <c r="G1082" s="321">
        <v>6.6</v>
      </c>
      <c r="H1082" s="321">
        <v>5.8</v>
      </c>
      <c r="I1082" s="315">
        <f t="shared" si="128"/>
        <v>111.012</v>
      </c>
      <c r="J1082" s="316">
        <f t="shared" si="119"/>
        <v>0.62069890970086672</v>
      </c>
    </row>
    <row r="1083" spans="1:11">
      <c r="A1083" s="295">
        <v>38</v>
      </c>
      <c r="B1083" s="295">
        <f t="shared" si="120"/>
        <v>26</v>
      </c>
      <c r="C1083" s="295">
        <v>5.5</v>
      </c>
      <c r="D1083" s="295" t="s">
        <v>114</v>
      </c>
      <c r="E1083" s="295">
        <v>23</v>
      </c>
      <c r="F1083" s="316">
        <f t="shared" si="118"/>
        <v>1.0454545454545454</v>
      </c>
      <c r="G1083" s="321">
        <v>6.4</v>
      </c>
      <c r="H1083" s="321">
        <v>4.3</v>
      </c>
      <c r="I1083" s="315">
        <f t="shared" si="128"/>
        <v>59.167999999999999</v>
      </c>
      <c r="J1083" s="316">
        <f t="shared" si="119"/>
        <v>0.58813940080714089</v>
      </c>
    </row>
    <row r="1084" spans="1:11">
      <c r="A1084" s="295">
        <v>38</v>
      </c>
      <c r="B1084" s="295">
        <f t="shared" si="120"/>
        <v>26</v>
      </c>
      <c r="C1084" s="295">
        <v>6.1</v>
      </c>
      <c r="D1084" s="295" t="s">
        <v>115</v>
      </c>
      <c r="E1084" s="295">
        <v>30</v>
      </c>
      <c r="F1084" s="316">
        <f t="shared" si="118"/>
        <v>1.2</v>
      </c>
      <c r="G1084" s="321">
        <v>5.4</v>
      </c>
      <c r="H1084" s="321">
        <v>4.5</v>
      </c>
      <c r="I1084" s="315">
        <f t="shared" si="128"/>
        <v>54.675000000000004</v>
      </c>
      <c r="J1084" s="316">
        <f t="shared" si="119"/>
        <v>0.40638471829939049</v>
      </c>
    </row>
    <row r="1085" spans="1:11">
      <c r="A1085" s="295">
        <v>38</v>
      </c>
      <c r="B1085" s="295">
        <f t="shared" si="120"/>
        <v>26</v>
      </c>
      <c r="C1085" s="295">
        <v>6.2</v>
      </c>
      <c r="D1085" s="295" t="s">
        <v>115</v>
      </c>
      <c r="F1085" s="316" t="str">
        <f t="shared" si="118"/>
        <v/>
      </c>
      <c r="G1085" s="321"/>
      <c r="H1085" s="321"/>
      <c r="J1085" s="316" t="str">
        <f t="shared" si="119"/>
        <v/>
      </c>
    </row>
    <row r="1086" spans="1:11">
      <c r="A1086" s="295">
        <v>38</v>
      </c>
      <c r="B1086" s="295">
        <f t="shared" si="120"/>
        <v>26</v>
      </c>
      <c r="C1086" s="295">
        <v>6.3</v>
      </c>
      <c r="D1086" s="295" t="s">
        <v>114</v>
      </c>
      <c r="F1086" s="316" t="str">
        <f t="shared" si="118"/>
        <v/>
      </c>
      <c r="G1086" s="321"/>
      <c r="H1086" s="321"/>
      <c r="J1086" s="316" t="str">
        <f t="shared" si="119"/>
        <v/>
      </c>
    </row>
    <row r="1087" spans="1:11">
      <c r="A1087" s="295">
        <v>38</v>
      </c>
      <c r="B1087" s="295">
        <f t="shared" si="120"/>
        <v>26</v>
      </c>
      <c r="C1087" s="295">
        <v>6.4</v>
      </c>
      <c r="D1087" s="295" t="s">
        <v>112</v>
      </c>
      <c r="F1087" s="316" t="str">
        <f t="shared" si="118"/>
        <v/>
      </c>
      <c r="G1087" s="321"/>
      <c r="H1087" s="321"/>
      <c r="J1087" s="316" t="str">
        <f t="shared" si="119"/>
        <v/>
      </c>
    </row>
    <row r="1088" spans="1:11">
      <c r="A1088" s="295">
        <v>38</v>
      </c>
      <c r="B1088" s="295">
        <f t="shared" si="120"/>
        <v>26</v>
      </c>
      <c r="C1088" s="295">
        <v>6.5</v>
      </c>
      <c r="D1088" s="295" t="s">
        <v>113</v>
      </c>
      <c r="E1088" s="295">
        <v>25</v>
      </c>
      <c r="F1088" s="316">
        <f t="shared" si="118"/>
        <v>1.0416666666666667</v>
      </c>
      <c r="G1088" s="321">
        <v>9.9</v>
      </c>
      <c r="H1088" s="321">
        <v>9.6999999999999993</v>
      </c>
      <c r="I1088" s="315">
        <f t="shared" ref="I1088:I1091" si="129">G1088*(H1088^2)*0.5</f>
        <v>465.74549999999994</v>
      </c>
      <c r="J1088" s="316">
        <f t="shared" si="119"/>
        <v>9.1999111111111098</v>
      </c>
      <c r="K1088" s="316" t="s">
        <v>163</v>
      </c>
    </row>
    <row r="1089" spans="1:11">
      <c r="A1089" s="295">
        <v>38</v>
      </c>
      <c r="B1089" s="295">
        <f t="shared" si="120"/>
        <v>26</v>
      </c>
      <c r="C1089" s="295">
        <v>7.1</v>
      </c>
      <c r="D1089" s="295" t="s">
        <v>114</v>
      </c>
      <c r="E1089" s="295">
        <v>30</v>
      </c>
      <c r="F1089" s="316">
        <f t="shared" si="118"/>
        <v>1.1111111111111112</v>
      </c>
      <c r="G1089" s="321">
        <v>8.4</v>
      </c>
      <c r="H1089" s="321">
        <v>7.8</v>
      </c>
      <c r="I1089" s="315">
        <f t="shared" si="129"/>
        <v>255.52799999999999</v>
      </c>
      <c r="J1089" s="316">
        <f t="shared" si="119"/>
        <v>1.8928</v>
      </c>
    </row>
    <row r="1090" spans="1:11">
      <c r="A1090" s="295">
        <v>38</v>
      </c>
      <c r="B1090" s="295">
        <f t="shared" si="120"/>
        <v>26</v>
      </c>
      <c r="C1090" s="295">
        <v>7.2</v>
      </c>
      <c r="D1090" s="295" t="s">
        <v>111</v>
      </c>
      <c r="E1090" s="295">
        <v>32</v>
      </c>
      <c r="F1090" s="316">
        <f t="shared" si="118"/>
        <v>1.103448275862069</v>
      </c>
      <c r="G1090" s="321">
        <v>13.3</v>
      </c>
      <c r="H1090" s="321">
        <v>11.1</v>
      </c>
      <c r="I1090" s="315">
        <f t="shared" si="129"/>
        <v>819.34649999999999</v>
      </c>
      <c r="J1090" s="316">
        <f t="shared" si="119"/>
        <v>54.125148632580263</v>
      </c>
    </row>
    <row r="1091" spans="1:11">
      <c r="A1091" s="295">
        <v>38</v>
      </c>
      <c r="B1091" s="295">
        <f t="shared" si="120"/>
        <v>26</v>
      </c>
      <c r="C1091" s="295">
        <v>7.3</v>
      </c>
      <c r="D1091" s="295" t="s">
        <v>113</v>
      </c>
      <c r="E1091" s="295">
        <v>29</v>
      </c>
      <c r="F1091" s="316">
        <f t="shared" si="118"/>
        <v>1.0740740740740742</v>
      </c>
      <c r="G1091" s="321">
        <v>5.2</v>
      </c>
      <c r="H1091" s="321">
        <v>4.7</v>
      </c>
      <c r="I1091" s="315">
        <f t="shared" si="129"/>
        <v>57.434000000000012</v>
      </c>
      <c r="J1091" s="316">
        <f t="shared" si="119"/>
        <v>0.40196243106296026</v>
      </c>
      <c r="K1091" s="316" t="s">
        <v>171</v>
      </c>
    </row>
    <row r="1092" spans="1:11">
      <c r="A1092" s="295">
        <v>38</v>
      </c>
      <c r="B1092" s="295">
        <f t="shared" si="120"/>
        <v>26</v>
      </c>
      <c r="C1092" s="295">
        <v>7.4</v>
      </c>
      <c r="D1092" s="295" t="s">
        <v>115</v>
      </c>
      <c r="F1092" s="316" t="str">
        <f t="shared" si="118"/>
        <v/>
      </c>
      <c r="G1092" s="321"/>
      <c r="H1092" s="321"/>
      <c r="J1092" s="316" t="str">
        <f t="shared" si="119"/>
        <v/>
      </c>
    </row>
    <row r="1093" spans="1:11">
      <c r="A1093" s="295">
        <v>38</v>
      </c>
      <c r="B1093" s="295">
        <f t="shared" si="120"/>
        <v>26</v>
      </c>
      <c r="C1093" s="295">
        <v>7.5</v>
      </c>
      <c r="D1093" s="295" t="s">
        <v>111</v>
      </c>
      <c r="F1093" s="316" t="str">
        <f t="shared" si="118"/>
        <v/>
      </c>
      <c r="G1093" s="321"/>
      <c r="H1093" s="321"/>
      <c r="J1093" s="316" t="str">
        <f t="shared" si="119"/>
        <v/>
      </c>
    </row>
    <row r="1094" spans="1:11">
      <c r="A1094" s="321">
        <v>40</v>
      </c>
      <c r="B1094" s="295">
        <f t="shared" si="120"/>
        <v>28</v>
      </c>
      <c r="C1094" s="321">
        <v>1.1000000000000001</v>
      </c>
      <c r="D1094" s="321" t="s">
        <v>112</v>
      </c>
      <c r="E1094" s="321">
        <v>32</v>
      </c>
      <c r="F1094" s="316">
        <f t="shared" si="118"/>
        <v>1.1428571428571428</v>
      </c>
      <c r="G1094" s="321">
        <v>15.9</v>
      </c>
      <c r="H1094" s="321">
        <v>13.3</v>
      </c>
      <c r="I1094" s="315">
        <f t="shared" ref="I1094:I1096" si="130">G1094*(H1094^2)*0.5</f>
        <v>1406.2755000000002</v>
      </c>
      <c r="J1094" s="316">
        <f t="shared" si="119"/>
        <v>6.2427884615384626</v>
      </c>
    </row>
    <row r="1095" spans="1:11">
      <c r="A1095" s="321">
        <v>40</v>
      </c>
      <c r="B1095" s="295">
        <f t="shared" si="120"/>
        <v>28</v>
      </c>
      <c r="C1095" s="321">
        <v>1.2</v>
      </c>
      <c r="D1095" s="321" t="s">
        <v>113</v>
      </c>
      <c r="E1095" s="321">
        <v>30</v>
      </c>
      <c r="F1095" s="316">
        <f t="shared" si="118"/>
        <v>1.1111111111111112</v>
      </c>
      <c r="G1095" s="321">
        <v>6.5</v>
      </c>
      <c r="H1095" s="321">
        <v>6.2</v>
      </c>
      <c r="I1095" s="315">
        <f t="shared" si="130"/>
        <v>124.93000000000002</v>
      </c>
      <c r="J1095" s="316">
        <f t="shared" si="119"/>
        <v>0.59717545046283138</v>
      </c>
    </row>
    <row r="1096" spans="1:11">
      <c r="A1096" s="321">
        <v>40</v>
      </c>
      <c r="B1096" s="295">
        <f t="shared" si="120"/>
        <v>28</v>
      </c>
      <c r="C1096" s="321">
        <v>1.3</v>
      </c>
      <c r="D1096" s="321" t="s">
        <v>115</v>
      </c>
      <c r="E1096" s="321">
        <v>27</v>
      </c>
      <c r="F1096" s="316">
        <f t="shared" si="118"/>
        <v>1.125</v>
      </c>
      <c r="G1096" s="321">
        <v>14</v>
      </c>
      <c r="H1096" s="321">
        <v>11.1</v>
      </c>
      <c r="I1096" s="315">
        <f t="shared" si="130"/>
        <v>862.46999999999991</v>
      </c>
      <c r="J1096" s="316">
        <f t="shared" si="119"/>
        <v>8.6991648511256336</v>
      </c>
    </row>
    <row r="1097" spans="1:11">
      <c r="A1097" s="321">
        <v>40</v>
      </c>
      <c r="B1097" s="295">
        <f t="shared" si="120"/>
        <v>28</v>
      </c>
      <c r="C1097" s="321">
        <v>1.4</v>
      </c>
      <c r="D1097" s="321" t="s">
        <v>115</v>
      </c>
      <c r="E1097" s="321"/>
      <c r="F1097" s="316" t="str">
        <f t="shared" ref="F1097:F1160" si="131">IF(ISBLANK(E1097),"",E1097/SUMIFS(E:E,C:C,C1097,B:B,"0"))</f>
        <v/>
      </c>
      <c r="G1097" s="321"/>
      <c r="H1097" s="321"/>
      <c r="J1097" s="316" t="str">
        <f t="shared" ref="J1097:J1160" si="132">IF(ISBLANK(I1097),"",I1097/SUMIFS(I:I,C:C,C1097,B:B,"0"))</f>
        <v/>
      </c>
    </row>
    <row r="1098" spans="1:11">
      <c r="A1098" s="321">
        <v>40</v>
      </c>
      <c r="B1098" s="295">
        <f t="shared" ref="B1098:B1161" si="133">A1098-12</f>
        <v>28</v>
      </c>
      <c r="C1098" s="321">
        <v>1.5</v>
      </c>
      <c r="D1098" s="321" t="s">
        <v>112</v>
      </c>
      <c r="E1098" s="321">
        <v>28</v>
      </c>
      <c r="F1098" s="316">
        <f t="shared" si="131"/>
        <v>1</v>
      </c>
      <c r="G1098" s="321">
        <v>11.9</v>
      </c>
      <c r="H1098" s="321">
        <v>10.4</v>
      </c>
      <c r="I1098" s="315">
        <f t="shared" ref="I1098:I1099" si="134">G1098*(H1098^2)*0.5</f>
        <v>643.55200000000013</v>
      </c>
      <c r="J1098" s="316">
        <f t="shared" si="132"/>
        <v>4.6210937500000009</v>
      </c>
    </row>
    <row r="1099" spans="1:11">
      <c r="A1099" s="321">
        <v>40</v>
      </c>
      <c r="B1099" s="295">
        <f t="shared" si="133"/>
        <v>28</v>
      </c>
      <c r="C1099" s="321">
        <v>2.1</v>
      </c>
      <c r="D1099" s="321" t="s">
        <v>114</v>
      </c>
      <c r="E1099" s="321">
        <v>31</v>
      </c>
      <c r="F1099" s="316">
        <f t="shared" si="131"/>
        <v>1.1923076923076923</v>
      </c>
      <c r="G1099" s="321">
        <v>10.4</v>
      </c>
      <c r="H1099" s="321">
        <v>8.9</v>
      </c>
      <c r="I1099" s="315">
        <f t="shared" si="134"/>
        <v>411.89200000000005</v>
      </c>
      <c r="J1099" s="316">
        <f t="shared" si="132"/>
        <v>2.1902217117454845</v>
      </c>
      <c r="K1099" s="316" t="s">
        <v>158</v>
      </c>
    </row>
    <row r="1100" spans="1:11">
      <c r="A1100" s="321">
        <v>40</v>
      </c>
      <c r="B1100" s="295">
        <f t="shared" si="133"/>
        <v>28</v>
      </c>
      <c r="C1100" s="321">
        <v>2.2000000000000002</v>
      </c>
      <c r="D1100" s="321" t="s">
        <v>115</v>
      </c>
      <c r="E1100" s="321"/>
      <c r="F1100" s="316" t="str">
        <f t="shared" si="131"/>
        <v/>
      </c>
      <c r="G1100" s="321"/>
      <c r="H1100" s="321"/>
      <c r="J1100" s="316" t="str">
        <f t="shared" si="132"/>
        <v/>
      </c>
    </row>
    <row r="1101" spans="1:11">
      <c r="A1101" s="321">
        <v>40</v>
      </c>
      <c r="B1101" s="295">
        <f t="shared" si="133"/>
        <v>28</v>
      </c>
      <c r="C1101" s="321">
        <v>2.2999999999999998</v>
      </c>
      <c r="D1101" s="321" t="s">
        <v>112</v>
      </c>
      <c r="E1101" s="321">
        <v>26</v>
      </c>
      <c r="F1101" s="316">
        <f t="shared" si="131"/>
        <v>1.04</v>
      </c>
      <c r="G1101" s="321">
        <v>17.100000000000001</v>
      </c>
      <c r="H1101" s="321">
        <v>14</v>
      </c>
      <c r="I1101" s="315">
        <f t="shared" ref="I1101:I1106" si="135">G1101*(H1101^2)*0.5</f>
        <v>1675.8000000000002</v>
      </c>
      <c r="J1101" s="316">
        <f t="shared" si="132"/>
        <v>10.089528155912651</v>
      </c>
      <c r="K1101" s="316" t="s">
        <v>172</v>
      </c>
    </row>
    <row r="1102" spans="1:11">
      <c r="A1102" s="321">
        <v>40</v>
      </c>
      <c r="B1102" s="295">
        <f t="shared" si="133"/>
        <v>28</v>
      </c>
      <c r="C1102" s="321">
        <v>2.4</v>
      </c>
      <c r="D1102" s="321" t="s">
        <v>114</v>
      </c>
      <c r="E1102" s="321">
        <v>28</v>
      </c>
      <c r="F1102" s="316">
        <f t="shared" si="131"/>
        <v>1.1200000000000001</v>
      </c>
      <c r="G1102" s="321">
        <v>7.4</v>
      </c>
      <c r="H1102" s="321">
        <v>6.9</v>
      </c>
      <c r="I1102" s="315">
        <f t="shared" si="135"/>
        <v>176.15700000000004</v>
      </c>
      <c r="J1102" s="316">
        <f t="shared" si="132"/>
        <v>1.6386697674418609</v>
      </c>
    </row>
    <row r="1103" spans="1:11">
      <c r="A1103" s="321">
        <v>40</v>
      </c>
      <c r="B1103" s="295">
        <f t="shared" si="133"/>
        <v>28</v>
      </c>
      <c r="C1103" s="321">
        <v>2.5</v>
      </c>
      <c r="D1103" s="321" t="s">
        <v>113</v>
      </c>
      <c r="E1103" s="321">
        <v>30</v>
      </c>
      <c r="F1103" s="316">
        <f t="shared" si="131"/>
        <v>1.1111111111111112</v>
      </c>
      <c r="G1103" s="321">
        <v>5.7</v>
      </c>
      <c r="H1103" s="321">
        <v>5</v>
      </c>
      <c r="I1103" s="315">
        <f t="shared" si="135"/>
        <v>71.25</v>
      </c>
      <c r="J1103" s="316">
        <f t="shared" si="132"/>
        <v>0.41768768099799514</v>
      </c>
    </row>
    <row r="1104" spans="1:11">
      <c r="A1104" s="321">
        <v>40</v>
      </c>
      <c r="B1104" s="295">
        <f t="shared" si="133"/>
        <v>28</v>
      </c>
      <c r="C1104" s="321">
        <v>3.1</v>
      </c>
      <c r="D1104" s="321" t="s">
        <v>115</v>
      </c>
      <c r="E1104" s="321">
        <v>28</v>
      </c>
      <c r="F1104" s="316">
        <f t="shared" si="131"/>
        <v>1.1666666666666667</v>
      </c>
      <c r="G1104" s="321">
        <v>4.3</v>
      </c>
      <c r="H1104" s="321">
        <v>3.7</v>
      </c>
      <c r="I1104" s="315">
        <f t="shared" si="135"/>
        <v>29.433500000000002</v>
      </c>
      <c r="J1104" s="316">
        <f t="shared" si="132"/>
        <v>0.16201183431952665</v>
      </c>
    </row>
    <row r="1105" spans="1:11">
      <c r="A1105" s="321">
        <v>40</v>
      </c>
      <c r="B1105" s="295">
        <f t="shared" si="133"/>
        <v>28</v>
      </c>
      <c r="C1105" s="321">
        <v>3.2</v>
      </c>
      <c r="D1105" s="321" t="s">
        <v>113</v>
      </c>
      <c r="E1105" s="321">
        <v>34</v>
      </c>
      <c r="F1105" s="316">
        <f t="shared" si="131"/>
        <v>1.1333333333333333</v>
      </c>
      <c r="G1105" s="321">
        <v>7</v>
      </c>
      <c r="H1105" s="321">
        <v>6.9</v>
      </c>
      <c r="I1105" s="315">
        <f t="shared" si="135"/>
        <v>166.63500000000002</v>
      </c>
      <c r="J1105" s="316">
        <f t="shared" si="132"/>
        <v>0.86836098720140087</v>
      </c>
    </row>
    <row r="1106" spans="1:11">
      <c r="A1106" s="321">
        <v>40</v>
      </c>
      <c r="B1106" s="295">
        <f t="shared" si="133"/>
        <v>28</v>
      </c>
      <c r="C1106" s="321">
        <v>3.3</v>
      </c>
      <c r="D1106" s="321" t="s">
        <v>114</v>
      </c>
      <c r="E1106" s="321">
        <v>28</v>
      </c>
      <c r="F1106" s="316">
        <f t="shared" si="131"/>
        <v>1.1200000000000001</v>
      </c>
      <c r="G1106" s="321">
        <v>11.1</v>
      </c>
      <c r="H1106" s="321">
        <v>10</v>
      </c>
      <c r="I1106" s="315">
        <f t="shared" si="135"/>
        <v>555</v>
      </c>
      <c r="J1106" s="316">
        <f t="shared" si="132"/>
        <v>2.6967930029154519</v>
      </c>
    </row>
    <row r="1107" spans="1:11">
      <c r="A1107" s="321">
        <v>40</v>
      </c>
      <c r="B1107" s="295">
        <f t="shared" si="133"/>
        <v>28</v>
      </c>
      <c r="C1107" s="321">
        <v>3.4</v>
      </c>
      <c r="D1107" s="321" t="s">
        <v>114</v>
      </c>
      <c r="E1107" s="321"/>
      <c r="F1107" s="316" t="str">
        <f t="shared" si="131"/>
        <v/>
      </c>
      <c r="G1107" s="321"/>
      <c r="H1107" s="321"/>
      <c r="J1107" s="316" t="str">
        <f t="shared" si="132"/>
        <v/>
      </c>
    </row>
    <row r="1108" spans="1:11">
      <c r="A1108" s="321">
        <v>40</v>
      </c>
      <c r="B1108" s="295">
        <f t="shared" si="133"/>
        <v>28</v>
      </c>
      <c r="C1108" s="321">
        <v>3.5</v>
      </c>
      <c r="D1108" s="321" t="s">
        <v>115</v>
      </c>
      <c r="E1108" s="321"/>
      <c r="F1108" s="316" t="str">
        <f t="shared" si="131"/>
        <v/>
      </c>
      <c r="G1108" s="321"/>
      <c r="H1108" s="321"/>
      <c r="J1108" s="316" t="str">
        <f t="shared" si="132"/>
        <v/>
      </c>
    </row>
    <row r="1109" spans="1:11">
      <c r="A1109" s="321">
        <v>40</v>
      </c>
      <c r="B1109" s="295">
        <f t="shared" si="133"/>
        <v>28</v>
      </c>
      <c r="C1109" s="321">
        <v>4.0999999999999996</v>
      </c>
      <c r="D1109" s="321" t="s">
        <v>111</v>
      </c>
      <c r="E1109" s="321"/>
      <c r="F1109" s="316" t="str">
        <f t="shared" si="131"/>
        <v/>
      </c>
      <c r="G1109" s="321"/>
      <c r="H1109" s="321"/>
      <c r="J1109" s="316" t="str">
        <f t="shared" si="132"/>
        <v/>
      </c>
    </row>
    <row r="1110" spans="1:11">
      <c r="A1110" s="321">
        <v>40</v>
      </c>
      <c r="B1110" s="295">
        <f t="shared" si="133"/>
        <v>28</v>
      </c>
      <c r="C1110" s="321">
        <v>4.2</v>
      </c>
      <c r="D1110" s="321" t="s">
        <v>112</v>
      </c>
      <c r="E1110" s="321">
        <v>32</v>
      </c>
      <c r="F1110" s="316">
        <f t="shared" si="131"/>
        <v>1.103448275862069</v>
      </c>
      <c r="G1110" s="321">
        <v>16.100000000000001</v>
      </c>
      <c r="H1110" s="321">
        <v>13.4</v>
      </c>
      <c r="I1110" s="315">
        <f t="shared" ref="I1110:I1111" si="136">G1110*(H1110^2)*0.5</f>
        <v>1445.4580000000001</v>
      </c>
      <c r="J1110" s="316">
        <f t="shared" si="132"/>
        <v>4.3428274415781862</v>
      </c>
    </row>
    <row r="1111" spans="1:11">
      <c r="A1111" s="321">
        <v>40</v>
      </c>
      <c r="B1111" s="295">
        <f t="shared" si="133"/>
        <v>28</v>
      </c>
      <c r="C1111" s="321">
        <v>4.3</v>
      </c>
      <c r="D1111" s="321" t="s">
        <v>113</v>
      </c>
      <c r="E1111" s="321">
        <v>30</v>
      </c>
      <c r="F1111" s="316">
        <f t="shared" si="131"/>
        <v>1.1538461538461537</v>
      </c>
      <c r="G1111" s="321">
        <v>8</v>
      </c>
      <c r="H1111" s="321">
        <v>6.9</v>
      </c>
      <c r="I1111" s="315">
        <f t="shared" si="136"/>
        <v>190.44000000000003</v>
      </c>
      <c r="J1111" s="316">
        <f t="shared" si="132"/>
        <v>1.3674747242647061</v>
      </c>
    </row>
    <row r="1112" spans="1:11">
      <c r="A1112" s="321">
        <v>40</v>
      </c>
      <c r="B1112" s="295">
        <f t="shared" si="133"/>
        <v>28</v>
      </c>
      <c r="C1112" s="321">
        <v>4.4000000000000004</v>
      </c>
      <c r="D1112" s="321" t="s">
        <v>112</v>
      </c>
      <c r="E1112" s="321"/>
      <c r="F1112" s="316" t="str">
        <f t="shared" si="131"/>
        <v/>
      </c>
      <c r="G1112" s="321"/>
      <c r="H1112" s="321"/>
      <c r="J1112" s="316" t="str">
        <f t="shared" si="132"/>
        <v/>
      </c>
    </row>
    <row r="1113" spans="1:11">
      <c r="A1113" s="321">
        <v>40</v>
      </c>
      <c r="B1113" s="295">
        <f t="shared" si="133"/>
        <v>28</v>
      </c>
      <c r="C1113" s="321">
        <v>4.5</v>
      </c>
      <c r="D1113" s="321" t="s">
        <v>112</v>
      </c>
      <c r="E1113" s="321">
        <v>30</v>
      </c>
      <c r="F1113" s="316">
        <f t="shared" si="131"/>
        <v>1.1111111111111112</v>
      </c>
      <c r="G1113" s="321">
        <v>15.6</v>
      </c>
      <c r="H1113" s="321">
        <v>14.6</v>
      </c>
      <c r="I1113" s="315">
        <f t="shared" ref="I1113:I1119" si="137">G1113*(H1113^2)*0.5</f>
        <v>1662.6479999999999</v>
      </c>
      <c r="J1113" s="316">
        <f t="shared" si="132"/>
        <v>7.4285714285714279</v>
      </c>
      <c r="K1113" s="316" t="s">
        <v>172</v>
      </c>
    </row>
    <row r="1114" spans="1:11">
      <c r="A1114" s="321">
        <v>40</v>
      </c>
      <c r="B1114" s="295">
        <f t="shared" si="133"/>
        <v>28</v>
      </c>
      <c r="C1114" s="321">
        <v>5.0999999999999996</v>
      </c>
      <c r="D1114" s="321" t="s">
        <v>113</v>
      </c>
      <c r="E1114" s="321">
        <v>27</v>
      </c>
      <c r="F1114" s="316">
        <f t="shared" si="131"/>
        <v>1.125</v>
      </c>
      <c r="G1114" s="321">
        <v>6.9</v>
      </c>
      <c r="H1114" s="321">
        <v>6.8</v>
      </c>
      <c r="I1114" s="315">
        <f t="shared" si="137"/>
        <v>159.52799999999999</v>
      </c>
      <c r="J1114" s="316">
        <f t="shared" si="132"/>
        <v>0.96047395134051394</v>
      </c>
    </row>
    <row r="1115" spans="1:11">
      <c r="A1115" s="321">
        <v>40</v>
      </c>
      <c r="B1115" s="295">
        <f t="shared" si="133"/>
        <v>28</v>
      </c>
      <c r="C1115" s="321">
        <v>5.2</v>
      </c>
      <c r="D1115" s="321" t="s">
        <v>114</v>
      </c>
      <c r="E1115" s="321"/>
      <c r="F1115" s="316" t="str">
        <f t="shared" si="131"/>
        <v/>
      </c>
      <c r="G1115" s="321"/>
      <c r="H1115" s="321"/>
      <c r="J1115" s="316" t="str">
        <f t="shared" si="132"/>
        <v/>
      </c>
    </row>
    <row r="1116" spans="1:11">
      <c r="A1116" s="321">
        <v>40</v>
      </c>
      <c r="B1116" s="295">
        <f t="shared" si="133"/>
        <v>28</v>
      </c>
      <c r="C1116" s="321">
        <v>5.3</v>
      </c>
      <c r="D1116" s="321" t="s">
        <v>112</v>
      </c>
      <c r="E1116" s="321">
        <v>31</v>
      </c>
      <c r="F1116" s="316">
        <f t="shared" si="131"/>
        <v>1.1071428571428572</v>
      </c>
      <c r="G1116" s="321">
        <v>13.9</v>
      </c>
      <c r="H1116" s="321">
        <v>12.1</v>
      </c>
      <c r="I1116" s="315">
        <f t="shared" si="137"/>
        <v>1017.5495</v>
      </c>
      <c r="J1116" s="316">
        <f t="shared" si="132"/>
        <v>4.2884636457121665</v>
      </c>
    </row>
    <row r="1117" spans="1:11">
      <c r="A1117" s="321">
        <v>40</v>
      </c>
      <c r="B1117" s="295">
        <f t="shared" si="133"/>
        <v>28</v>
      </c>
      <c r="C1117" s="321">
        <v>5.4</v>
      </c>
      <c r="D1117" s="321" t="s">
        <v>113</v>
      </c>
      <c r="E1117" s="321">
        <v>27</v>
      </c>
      <c r="F1117" s="316">
        <f t="shared" si="131"/>
        <v>1.0384615384615385</v>
      </c>
      <c r="G1117" s="321">
        <v>8.1999999999999993</v>
      </c>
      <c r="H1117" s="321">
        <v>6.3</v>
      </c>
      <c r="I1117" s="315">
        <f t="shared" si="137"/>
        <v>162.72899999999998</v>
      </c>
      <c r="J1117" s="316">
        <f t="shared" si="132"/>
        <v>0.9098630136986301</v>
      </c>
    </row>
    <row r="1118" spans="1:11">
      <c r="A1118" s="321">
        <v>40</v>
      </c>
      <c r="B1118" s="295">
        <f t="shared" si="133"/>
        <v>28</v>
      </c>
      <c r="C1118" s="321">
        <v>5.5</v>
      </c>
      <c r="D1118" s="321" t="s">
        <v>114</v>
      </c>
      <c r="E1118" s="321">
        <v>23</v>
      </c>
      <c r="F1118" s="316">
        <f t="shared" si="131"/>
        <v>1.0454545454545454</v>
      </c>
      <c r="G1118" s="321">
        <v>7.1</v>
      </c>
      <c r="H1118" s="321">
        <v>5.5</v>
      </c>
      <c r="I1118" s="315">
        <f t="shared" si="137"/>
        <v>107.38749999999999</v>
      </c>
      <c r="J1118" s="316">
        <f t="shared" si="132"/>
        <v>1.067448957277191</v>
      </c>
      <c r="K1118" s="316" t="s">
        <v>173</v>
      </c>
    </row>
    <row r="1119" spans="1:11">
      <c r="A1119" s="321">
        <v>40</v>
      </c>
      <c r="B1119" s="295">
        <f t="shared" si="133"/>
        <v>28</v>
      </c>
      <c r="C1119" s="321">
        <v>6.1</v>
      </c>
      <c r="D1119" s="321" t="s">
        <v>115</v>
      </c>
      <c r="E1119" s="321">
        <v>30</v>
      </c>
      <c r="F1119" s="316">
        <f t="shared" si="131"/>
        <v>1.2</v>
      </c>
      <c r="G1119" s="321">
        <v>4.5</v>
      </c>
      <c r="H1119" s="321">
        <v>4.3</v>
      </c>
      <c r="I1119" s="315">
        <f t="shared" si="137"/>
        <v>41.602499999999999</v>
      </c>
      <c r="J1119" s="316">
        <f t="shared" si="132"/>
        <v>0.30922030622863084</v>
      </c>
    </row>
    <row r="1120" spans="1:11">
      <c r="A1120" s="321">
        <v>40</v>
      </c>
      <c r="B1120" s="295">
        <f t="shared" si="133"/>
        <v>28</v>
      </c>
      <c r="C1120" s="321">
        <v>6.2</v>
      </c>
      <c r="D1120" s="321" t="s">
        <v>115</v>
      </c>
      <c r="E1120" s="321"/>
      <c r="F1120" s="316" t="str">
        <f t="shared" si="131"/>
        <v/>
      </c>
      <c r="G1120" s="321"/>
      <c r="H1120" s="321"/>
      <c r="J1120" s="316" t="str">
        <f t="shared" si="132"/>
        <v/>
      </c>
    </row>
    <row r="1121" spans="1:11">
      <c r="A1121" s="321">
        <v>40</v>
      </c>
      <c r="B1121" s="295">
        <f t="shared" si="133"/>
        <v>28</v>
      </c>
      <c r="C1121" s="321">
        <v>6.3</v>
      </c>
      <c r="D1121" s="321" t="s">
        <v>114</v>
      </c>
      <c r="E1121" s="321"/>
      <c r="F1121" s="316" t="str">
        <f t="shared" si="131"/>
        <v/>
      </c>
      <c r="G1121" s="321"/>
      <c r="H1121" s="321"/>
      <c r="J1121" s="316" t="str">
        <f t="shared" si="132"/>
        <v/>
      </c>
    </row>
    <row r="1122" spans="1:11">
      <c r="A1122" s="321">
        <v>40</v>
      </c>
      <c r="B1122" s="295">
        <f t="shared" si="133"/>
        <v>28</v>
      </c>
      <c r="C1122" s="321">
        <v>6.4</v>
      </c>
      <c r="D1122" s="321" t="s">
        <v>112</v>
      </c>
      <c r="E1122" s="321"/>
      <c r="F1122" s="316" t="str">
        <f t="shared" si="131"/>
        <v/>
      </c>
      <c r="G1122" s="321"/>
      <c r="H1122" s="321"/>
      <c r="J1122" s="316" t="str">
        <f t="shared" si="132"/>
        <v/>
      </c>
    </row>
    <row r="1123" spans="1:11">
      <c r="A1123" s="321">
        <v>40</v>
      </c>
      <c r="B1123" s="295">
        <f t="shared" si="133"/>
        <v>28</v>
      </c>
      <c r="C1123" s="321">
        <v>6.5</v>
      </c>
      <c r="D1123" s="321" t="s">
        <v>113</v>
      </c>
      <c r="E1123" s="321">
        <v>27</v>
      </c>
      <c r="F1123" s="316">
        <f t="shared" si="131"/>
        <v>1.125</v>
      </c>
      <c r="G1123" s="321">
        <v>11.6</v>
      </c>
      <c r="H1123" s="321">
        <v>10</v>
      </c>
      <c r="I1123" s="315">
        <f t="shared" ref="I1123:I1126" si="138">G1123*(H1123^2)*0.5</f>
        <v>580</v>
      </c>
      <c r="J1123" s="316">
        <f t="shared" si="132"/>
        <v>11.456790123456789</v>
      </c>
      <c r="K1123" s="316" t="s">
        <v>158</v>
      </c>
    </row>
    <row r="1124" spans="1:11">
      <c r="A1124" s="321">
        <v>40</v>
      </c>
      <c r="B1124" s="295">
        <f t="shared" si="133"/>
        <v>28</v>
      </c>
      <c r="C1124" s="321">
        <v>7.1</v>
      </c>
      <c r="D1124" s="321" t="s">
        <v>114</v>
      </c>
      <c r="E1124" s="321">
        <v>31</v>
      </c>
      <c r="F1124" s="316">
        <f t="shared" si="131"/>
        <v>1.1481481481481481</v>
      </c>
      <c r="G1124" s="321">
        <v>10</v>
      </c>
      <c r="H1124" s="321">
        <v>8.6</v>
      </c>
      <c r="I1124" s="315">
        <f t="shared" si="138"/>
        <v>369.79999999999995</v>
      </c>
      <c r="J1124" s="316">
        <f t="shared" si="132"/>
        <v>2.7392592592592591</v>
      </c>
    </row>
    <row r="1125" spans="1:11">
      <c r="A1125" s="321">
        <v>40</v>
      </c>
      <c r="B1125" s="295">
        <f t="shared" si="133"/>
        <v>28</v>
      </c>
      <c r="C1125" s="321">
        <v>7.2</v>
      </c>
      <c r="D1125" s="321" t="s">
        <v>111</v>
      </c>
      <c r="E1125" s="321">
        <v>33</v>
      </c>
      <c r="F1125" s="316">
        <f t="shared" si="131"/>
        <v>1.1379310344827587</v>
      </c>
      <c r="G1125" s="321">
        <v>14.6</v>
      </c>
      <c r="H1125" s="321">
        <v>12.8</v>
      </c>
      <c r="I1125" s="315">
        <f t="shared" si="138"/>
        <v>1196.0320000000002</v>
      </c>
      <c r="J1125" s="316">
        <f t="shared" si="132"/>
        <v>79.008587660192902</v>
      </c>
      <c r="K1125" s="316" t="s">
        <v>174</v>
      </c>
    </row>
    <row r="1126" spans="1:11">
      <c r="A1126" s="321">
        <v>40</v>
      </c>
      <c r="B1126" s="295">
        <f t="shared" si="133"/>
        <v>28</v>
      </c>
      <c r="C1126" s="321">
        <v>7.3</v>
      </c>
      <c r="D1126" s="321" t="s">
        <v>113</v>
      </c>
      <c r="E1126" s="321">
        <v>30</v>
      </c>
      <c r="F1126" s="316">
        <f t="shared" si="131"/>
        <v>1.1111111111111112</v>
      </c>
      <c r="G1126" s="321">
        <v>5.4</v>
      </c>
      <c r="H1126" s="321">
        <v>5.2</v>
      </c>
      <c r="I1126" s="315">
        <f t="shared" si="138"/>
        <v>73.00800000000001</v>
      </c>
      <c r="J1126" s="316">
        <f t="shared" si="132"/>
        <v>0.5109599395313682</v>
      </c>
      <c r="K1126" s="316" t="s">
        <v>135</v>
      </c>
    </row>
    <row r="1127" spans="1:11">
      <c r="A1127" s="321">
        <v>40</v>
      </c>
      <c r="B1127" s="295">
        <f t="shared" si="133"/>
        <v>28</v>
      </c>
      <c r="C1127" s="321">
        <v>7.4</v>
      </c>
      <c r="D1127" s="321" t="s">
        <v>115</v>
      </c>
      <c r="E1127" s="321"/>
      <c r="F1127" s="316" t="str">
        <f t="shared" si="131"/>
        <v/>
      </c>
      <c r="G1127" s="321"/>
      <c r="H1127" s="321"/>
      <c r="J1127" s="316" t="str">
        <f t="shared" si="132"/>
        <v/>
      </c>
    </row>
    <row r="1128" spans="1:11">
      <c r="A1128" s="321">
        <v>40</v>
      </c>
      <c r="B1128" s="295">
        <f t="shared" si="133"/>
        <v>28</v>
      </c>
      <c r="C1128" s="321">
        <v>7.5</v>
      </c>
      <c r="D1128" s="321" t="s">
        <v>111</v>
      </c>
      <c r="E1128" s="321"/>
      <c r="F1128" s="316" t="str">
        <f t="shared" si="131"/>
        <v/>
      </c>
      <c r="G1128" s="321"/>
      <c r="H1128" s="321"/>
      <c r="J1128" s="316" t="str">
        <f t="shared" si="132"/>
        <v/>
      </c>
    </row>
    <row r="1129" spans="1:11">
      <c r="A1129" s="321">
        <v>41</v>
      </c>
      <c r="B1129" s="295">
        <f t="shared" si="133"/>
        <v>29</v>
      </c>
      <c r="C1129" s="321">
        <v>1.1000000000000001</v>
      </c>
      <c r="D1129" s="321" t="s">
        <v>112</v>
      </c>
      <c r="E1129" s="321">
        <v>31</v>
      </c>
      <c r="F1129" s="316">
        <f t="shared" si="131"/>
        <v>1.1071428571428572</v>
      </c>
      <c r="G1129" s="321">
        <v>15.2</v>
      </c>
      <c r="H1129" s="321">
        <v>14.5</v>
      </c>
      <c r="I1129" s="315">
        <f t="shared" ref="I1129:I1131" si="139">G1129*(H1129^2)*0.5</f>
        <v>1597.8999999999999</v>
      </c>
      <c r="J1129" s="316">
        <f t="shared" si="132"/>
        <v>7.0934547908232117</v>
      </c>
    </row>
    <row r="1130" spans="1:11">
      <c r="A1130" s="321">
        <v>41</v>
      </c>
      <c r="B1130" s="295">
        <f t="shared" si="133"/>
        <v>29</v>
      </c>
      <c r="C1130" s="321">
        <v>1.2</v>
      </c>
      <c r="D1130" s="321" t="s">
        <v>113</v>
      </c>
      <c r="E1130" s="321">
        <v>29</v>
      </c>
      <c r="F1130" s="316">
        <f t="shared" si="131"/>
        <v>1.0740740740740742</v>
      </c>
      <c r="G1130" s="321">
        <v>5.8</v>
      </c>
      <c r="H1130" s="321">
        <v>5.3</v>
      </c>
      <c r="I1130" s="315">
        <f t="shared" si="139"/>
        <v>81.460999999999999</v>
      </c>
      <c r="J1130" s="316">
        <f t="shared" si="132"/>
        <v>0.3893901334359457</v>
      </c>
    </row>
    <row r="1131" spans="1:11">
      <c r="A1131" s="321">
        <v>41</v>
      </c>
      <c r="B1131" s="295">
        <f t="shared" si="133"/>
        <v>29</v>
      </c>
      <c r="C1131" s="321">
        <v>1.3</v>
      </c>
      <c r="D1131" s="321" t="s">
        <v>115</v>
      </c>
      <c r="E1131" s="321">
        <v>26</v>
      </c>
      <c r="F1131" s="316">
        <f t="shared" si="131"/>
        <v>1.0833333333333333</v>
      </c>
      <c r="G1131" s="321">
        <v>17.3</v>
      </c>
      <c r="H1131" s="321">
        <v>10.8</v>
      </c>
      <c r="I1131" s="315">
        <f t="shared" si="139"/>
        <v>1008.9360000000001</v>
      </c>
      <c r="J1131" s="316">
        <f t="shared" si="132"/>
        <v>10.176470588235295</v>
      </c>
    </row>
    <row r="1132" spans="1:11">
      <c r="A1132" s="321">
        <v>41</v>
      </c>
      <c r="B1132" s="295">
        <f t="shared" si="133"/>
        <v>29</v>
      </c>
      <c r="C1132" s="321">
        <v>1.4</v>
      </c>
      <c r="D1132" s="321" t="s">
        <v>115</v>
      </c>
      <c r="E1132" s="321"/>
      <c r="F1132" s="316" t="str">
        <f t="shared" si="131"/>
        <v/>
      </c>
      <c r="G1132" s="321"/>
      <c r="H1132" s="321"/>
      <c r="J1132" s="316" t="str">
        <f t="shared" si="132"/>
        <v/>
      </c>
    </row>
    <row r="1133" spans="1:11">
      <c r="A1133" s="321">
        <v>41</v>
      </c>
      <c r="B1133" s="295">
        <f t="shared" si="133"/>
        <v>29</v>
      </c>
      <c r="C1133" s="321">
        <v>1.5</v>
      </c>
      <c r="D1133" s="321" t="s">
        <v>112</v>
      </c>
      <c r="E1133" s="321">
        <v>28</v>
      </c>
      <c r="F1133" s="316">
        <f t="shared" si="131"/>
        <v>1</v>
      </c>
      <c r="G1133" s="321">
        <v>11.6</v>
      </c>
      <c r="H1133" s="321">
        <v>10.7</v>
      </c>
      <c r="I1133" s="315">
        <f t="shared" ref="I1133:I1134" si="140">G1133*(H1133^2)*0.5</f>
        <v>664.04199999999992</v>
      </c>
      <c r="J1133" s="316">
        <f t="shared" si="132"/>
        <v>4.768224379595587</v>
      </c>
    </row>
    <row r="1134" spans="1:11">
      <c r="A1134" s="321">
        <v>41</v>
      </c>
      <c r="B1134" s="295">
        <f t="shared" si="133"/>
        <v>29</v>
      </c>
      <c r="C1134" s="321">
        <v>2.1</v>
      </c>
      <c r="D1134" s="321" t="s">
        <v>114</v>
      </c>
      <c r="E1134" s="321">
        <v>30</v>
      </c>
      <c r="F1134" s="316">
        <f t="shared" si="131"/>
        <v>1.1538461538461537</v>
      </c>
      <c r="G1134" s="321">
        <v>10.7</v>
      </c>
      <c r="H1134" s="321">
        <v>10.7</v>
      </c>
      <c r="I1134" s="315">
        <f t="shared" si="140"/>
        <v>612.52149999999983</v>
      </c>
      <c r="J1134" s="316">
        <f t="shared" si="132"/>
        <v>3.2570622595508318</v>
      </c>
      <c r="K1134" s="316" t="s">
        <v>158</v>
      </c>
    </row>
    <row r="1135" spans="1:11">
      <c r="A1135" s="321">
        <v>41</v>
      </c>
      <c r="B1135" s="295">
        <f t="shared" si="133"/>
        <v>29</v>
      </c>
      <c r="C1135" s="321">
        <v>2.2000000000000002</v>
      </c>
      <c r="D1135" s="321" t="s">
        <v>115</v>
      </c>
      <c r="E1135" s="321"/>
      <c r="F1135" s="316" t="str">
        <f t="shared" si="131"/>
        <v/>
      </c>
      <c r="G1135" s="321"/>
      <c r="H1135" s="321"/>
      <c r="J1135" s="316" t="str">
        <f t="shared" si="132"/>
        <v/>
      </c>
    </row>
    <row r="1136" spans="1:11">
      <c r="A1136" s="321">
        <v>41</v>
      </c>
      <c r="B1136" s="295">
        <f t="shared" si="133"/>
        <v>29</v>
      </c>
      <c r="C1136" s="321">
        <v>2.2999999999999998</v>
      </c>
      <c r="D1136" s="321" t="s">
        <v>112</v>
      </c>
      <c r="E1136" s="321"/>
      <c r="F1136" s="316" t="str">
        <f t="shared" si="131"/>
        <v/>
      </c>
      <c r="G1136" s="321"/>
      <c r="H1136" s="321"/>
      <c r="J1136" s="316" t="str">
        <f t="shared" si="132"/>
        <v/>
      </c>
    </row>
    <row r="1137" spans="1:10">
      <c r="A1137" s="321">
        <v>41</v>
      </c>
      <c r="B1137" s="295">
        <f t="shared" si="133"/>
        <v>29</v>
      </c>
      <c r="C1137" s="321">
        <v>2.4</v>
      </c>
      <c r="D1137" s="321" t="s">
        <v>114</v>
      </c>
      <c r="E1137" s="321">
        <v>28</v>
      </c>
      <c r="F1137" s="316">
        <f t="shared" si="131"/>
        <v>1.1200000000000001</v>
      </c>
      <c r="G1137" s="321">
        <v>9.5</v>
      </c>
      <c r="H1137" s="321">
        <v>6.8</v>
      </c>
      <c r="I1137" s="315">
        <f t="shared" ref="I1137:I1141" si="141">G1137*(H1137^2)*0.5</f>
        <v>219.64</v>
      </c>
      <c r="J1137" s="316">
        <f t="shared" si="132"/>
        <v>2.0431627906976741</v>
      </c>
    </row>
    <row r="1138" spans="1:10">
      <c r="A1138" s="321">
        <v>41</v>
      </c>
      <c r="B1138" s="295">
        <f t="shared" si="133"/>
        <v>29</v>
      </c>
      <c r="C1138" s="321">
        <v>2.5</v>
      </c>
      <c r="D1138" s="321" t="s">
        <v>113</v>
      </c>
      <c r="E1138" s="321">
        <v>29</v>
      </c>
      <c r="F1138" s="316">
        <f t="shared" si="131"/>
        <v>1.0740740740740742</v>
      </c>
      <c r="G1138" s="321">
        <v>6.4</v>
      </c>
      <c r="H1138" s="321">
        <v>5.8</v>
      </c>
      <c r="I1138" s="315">
        <f t="shared" si="141"/>
        <v>107.64800000000001</v>
      </c>
      <c r="J1138" s="316">
        <f t="shared" si="132"/>
        <v>0.63106306644311838</v>
      </c>
    </row>
    <row r="1139" spans="1:10">
      <c r="A1139" s="321">
        <v>41</v>
      </c>
      <c r="B1139" s="295">
        <f t="shared" si="133"/>
        <v>29</v>
      </c>
      <c r="C1139" s="321">
        <v>3.1</v>
      </c>
      <c r="D1139" s="321" t="s">
        <v>115</v>
      </c>
      <c r="E1139" s="321">
        <v>26</v>
      </c>
      <c r="F1139" s="316">
        <f t="shared" si="131"/>
        <v>1.0833333333333333</v>
      </c>
      <c r="G1139" s="321">
        <v>6.1</v>
      </c>
      <c r="H1139" s="321">
        <v>4.8</v>
      </c>
      <c r="I1139" s="315">
        <f t="shared" si="141"/>
        <v>70.271999999999991</v>
      </c>
      <c r="J1139" s="316">
        <f t="shared" si="132"/>
        <v>0.386800605476813</v>
      </c>
    </row>
    <row r="1140" spans="1:10" s="316" customFormat="1">
      <c r="A1140" s="321">
        <v>41</v>
      </c>
      <c r="B1140" s="295">
        <f t="shared" si="133"/>
        <v>29</v>
      </c>
      <c r="C1140" s="321">
        <v>3.2</v>
      </c>
      <c r="D1140" s="321" t="s">
        <v>113</v>
      </c>
      <c r="E1140" s="321">
        <v>32</v>
      </c>
      <c r="F1140" s="316">
        <f t="shared" si="131"/>
        <v>1.0666666666666667</v>
      </c>
      <c r="G1140" s="321">
        <v>6.6</v>
      </c>
      <c r="H1140" s="321">
        <v>6.1</v>
      </c>
      <c r="I1140" s="315">
        <f t="shared" si="141"/>
        <v>122.79299999999998</v>
      </c>
      <c r="J1140" s="316">
        <f t="shared" si="132"/>
        <v>0.63989348397048396</v>
      </c>
    </row>
    <row r="1141" spans="1:10" s="316" customFormat="1">
      <c r="A1141" s="321">
        <v>41</v>
      </c>
      <c r="B1141" s="295">
        <f t="shared" si="133"/>
        <v>29</v>
      </c>
      <c r="C1141" s="321">
        <v>3.3</v>
      </c>
      <c r="D1141" s="321" t="s">
        <v>114</v>
      </c>
      <c r="E1141" s="321">
        <v>27</v>
      </c>
      <c r="F1141" s="316">
        <f t="shared" si="131"/>
        <v>1.08</v>
      </c>
      <c r="G1141" s="321">
        <v>12</v>
      </c>
      <c r="H1141" s="321">
        <v>10.6</v>
      </c>
      <c r="I1141" s="315">
        <f t="shared" si="141"/>
        <v>674.16</v>
      </c>
      <c r="J1141" s="316">
        <f t="shared" si="132"/>
        <v>3.2758017492711367</v>
      </c>
    </row>
    <row r="1142" spans="1:10" s="316" customFormat="1">
      <c r="A1142" s="321">
        <v>41</v>
      </c>
      <c r="B1142" s="295">
        <f t="shared" si="133"/>
        <v>29</v>
      </c>
      <c r="C1142" s="321">
        <v>3.4</v>
      </c>
      <c r="D1142" s="321" t="s">
        <v>114</v>
      </c>
      <c r="E1142" s="321"/>
      <c r="F1142" s="316" t="str">
        <f t="shared" si="131"/>
        <v/>
      </c>
      <c r="G1142" s="321"/>
      <c r="H1142" s="321"/>
      <c r="I1142" s="315"/>
      <c r="J1142" s="316" t="str">
        <f t="shared" si="132"/>
        <v/>
      </c>
    </row>
    <row r="1143" spans="1:10" s="316" customFormat="1">
      <c r="A1143" s="321">
        <v>41</v>
      </c>
      <c r="B1143" s="295">
        <f t="shared" si="133"/>
        <v>29</v>
      </c>
      <c r="C1143" s="321">
        <v>3.5</v>
      </c>
      <c r="D1143" s="321" t="s">
        <v>115</v>
      </c>
      <c r="E1143" s="321"/>
      <c r="F1143" s="316" t="str">
        <f t="shared" si="131"/>
        <v/>
      </c>
      <c r="G1143" s="321"/>
      <c r="H1143" s="321"/>
      <c r="I1143" s="315"/>
      <c r="J1143" s="316" t="str">
        <f t="shared" si="132"/>
        <v/>
      </c>
    </row>
    <row r="1144" spans="1:10" s="316" customFormat="1">
      <c r="A1144" s="321">
        <v>41</v>
      </c>
      <c r="B1144" s="295">
        <f t="shared" si="133"/>
        <v>29</v>
      </c>
      <c r="C1144" s="321">
        <v>4.0999999999999996</v>
      </c>
      <c r="D1144" s="321" t="s">
        <v>111</v>
      </c>
      <c r="E1144" s="321"/>
      <c r="F1144" s="316" t="str">
        <f t="shared" si="131"/>
        <v/>
      </c>
      <c r="G1144" s="321"/>
      <c r="H1144" s="321"/>
      <c r="I1144" s="315"/>
      <c r="J1144" s="316" t="str">
        <f t="shared" si="132"/>
        <v/>
      </c>
    </row>
    <row r="1145" spans="1:10" s="316" customFormat="1">
      <c r="A1145" s="321">
        <v>41</v>
      </c>
      <c r="B1145" s="295">
        <f t="shared" si="133"/>
        <v>29</v>
      </c>
      <c r="C1145" s="321">
        <v>4.2</v>
      </c>
      <c r="D1145" s="321" t="s">
        <v>112</v>
      </c>
      <c r="E1145" s="321">
        <v>31</v>
      </c>
      <c r="F1145" s="316">
        <f t="shared" si="131"/>
        <v>1.0689655172413792</v>
      </c>
      <c r="G1145" s="321">
        <v>14.6</v>
      </c>
      <c r="H1145" s="321">
        <v>14.4</v>
      </c>
      <c r="I1145" s="315">
        <f t="shared" ref="I1145:I1146" si="142">G1145*(H1145^2)*0.5</f>
        <v>1513.7280000000001</v>
      </c>
      <c r="J1145" s="316">
        <f t="shared" si="132"/>
        <v>4.5479422421718683</v>
      </c>
    </row>
    <row r="1146" spans="1:10" s="316" customFormat="1">
      <c r="A1146" s="321">
        <v>41</v>
      </c>
      <c r="B1146" s="295">
        <f t="shared" si="133"/>
        <v>29</v>
      </c>
      <c r="C1146" s="321">
        <v>4.3</v>
      </c>
      <c r="D1146" s="321" t="s">
        <v>113</v>
      </c>
      <c r="E1146" s="321">
        <v>29</v>
      </c>
      <c r="F1146" s="316">
        <f t="shared" si="131"/>
        <v>1.1153846153846154</v>
      </c>
      <c r="G1146" s="321">
        <v>9</v>
      </c>
      <c r="H1146" s="321">
        <v>7.6</v>
      </c>
      <c r="I1146" s="315">
        <f t="shared" si="142"/>
        <v>259.92</v>
      </c>
      <c r="J1146" s="316">
        <f t="shared" si="132"/>
        <v>1.8663832720588236</v>
      </c>
    </row>
    <row r="1147" spans="1:10" s="316" customFormat="1">
      <c r="A1147" s="321">
        <v>41</v>
      </c>
      <c r="B1147" s="295">
        <f t="shared" si="133"/>
        <v>29</v>
      </c>
      <c r="C1147" s="321">
        <v>4.4000000000000004</v>
      </c>
      <c r="D1147" s="321" t="s">
        <v>112</v>
      </c>
      <c r="E1147" s="321"/>
      <c r="F1147" s="316" t="str">
        <f t="shared" si="131"/>
        <v/>
      </c>
      <c r="G1147" s="321"/>
      <c r="H1147" s="321"/>
      <c r="I1147" s="315"/>
      <c r="J1147" s="316" t="str">
        <f t="shared" si="132"/>
        <v/>
      </c>
    </row>
    <row r="1148" spans="1:10" s="316" customFormat="1">
      <c r="A1148" s="321">
        <v>41</v>
      </c>
      <c r="B1148" s="295">
        <f t="shared" si="133"/>
        <v>29</v>
      </c>
      <c r="C1148" s="321">
        <v>4.5</v>
      </c>
      <c r="D1148" s="321" t="s">
        <v>112</v>
      </c>
      <c r="E1148" s="321"/>
      <c r="F1148" s="316" t="str">
        <f t="shared" si="131"/>
        <v/>
      </c>
      <c r="G1148" s="321"/>
      <c r="H1148" s="321"/>
      <c r="I1148" s="315"/>
      <c r="J1148" s="316" t="str">
        <f t="shared" si="132"/>
        <v/>
      </c>
    </row>
    <row r="1149" spans="1:10" s="316" customFormat="1">
      <c r="A1149" s="321">
        <v>41</v>
      </c>
      <c r="B1149" s="295">
        <f t="shared" si="133"/>
        <v>29</v>
      </c>
      <c r="C1149" s="321">
        <v>5.0999999999999996</v>
      </c>
      <c r="D1149" s="321" t="s">
        <v>113</v>
      </c>
      <c r="E1149" s="321">
        <v>25</v>
      </c>
      <c r="F1149" s="316">
        <f t="shared" si="131"/>
        <v>1.0416666666666667</v>
      </c>
      <c r="G1149" s="321">
        <v>6.3</v>
      </c>
      <c r="H1149" s="321">
        <v>5.8</v>
      </c>
      <c r="I1149" s="315">
        <f t="shared" ref="I1149" si="143">G1149*(H1149^2)*0.5</f>
        <v>105.96599999999999</v>
      </c>
      <c r="J1149" s="316">
        <f t="shared" si="132"/>
        <v>0.6379919683550781</v>
      </c>
    </row>
    <row r="1150" spans="1:10" s="316" customFormat="1">
      <c r="A1150" s="321">
        <v>41</v>
      </c>
      <c r="B1150" s="295">
        <f t="shared" si="133"/>
        <v>29</v>
      </c>
      <c r="C1150" s="321">
        <v>5.2</v>
      </c>
      <c r="D1150" s="321" t="s">
        <v>114</v>
      </c>
      <c r="E1150" s="321"/>
      <c r="F1150" s="316" t="str">
        <f t="shared" si="131"/>
        <v/>
      </c>
      <c r="G1150" s="321"/>
      <c r="H1150" s="321"/>
      <c r="I1150" s="315"/>
      <c r="J1150" s="316" t="str">
        <f t="shared" si="132"/>
        <v/>
      </c>
    </row>
    <row r="1151" spans="1:10" s="316" customFormat="1">
      <c r="A1151" s="321">
        <v>41</v>
      </c>
      <c r="B1151" s="295">
        <f t="shared" si="133"/>
        <v>29</v>
      </c>
      <c r="C1151" s="321">
        <v>5.3</v>
      </c>
      <c r="D1151" s="321" t="s">
        <v>112</v>
      </c>
      <c r="E1151" s="321">
        <v>28</v>
      </c>
      <c r="F1151" s="316">
        <f t="shared" si="131"/>
        <v>1</v>
      </c>
      <c r="G1151" s="321">
        <v>12.6</v>
      </c>
      <c r="H1151" s="321">
        <v>12.4</v>
      </c>
      <c r="I1151" s="315">
        <f t="shared" ref="I1151:I1154" si="144">G1151*(H1151^2)*0.5</f>
        <v>968.6880000000001</v>
      </c>
      <c r="J1151" s="316">
        <f t="shared" si="132"/>
        <v>4.082536792595965</v>
      </c>
    </row>
    <row r="1152" spans="1:10" s="316" customFormat="1">
      <c r="A1152" s="321">
        <v>41</v>
      </c>
      <c r="B1152" s="295">
        <f t="shared" si="133"/>
        <v>29</v>
      </c>
      <c r="C1152" s="321">
        <v>5.4</v>
      </c>
      <c r="D1152" s="321" t="s">
        <v>113</v>
      </c>
      <c r="E1152" s="321">
        <v>26</v>
      </c>
      <c r="F1152" s="316">
        <f t="shared" si="131"/>
        <v>1</v>
      </c>
      <c r="G1152" s="321">
        <v>8.1999999999999993</v>
      </c>
      <c r="H1152" s="321">
        <v>6.8</v>
      </c>
      <c r="I1152" s="315">
        <f t="shared" si="144"/>
        <v>189.58399999999997</v>
      </c>
      <c r="J1152" s="316">
        <f t="shared" si="132"/>
        <v>1.0600167738328208</v>
      </c>
    </row>
    <row r="1153" spans="1:11" s="316" customFormat="1">
      <c r="A1153" s="321">
        <v>41</v>
      </c>
      <c r="B1153" s="295">
        <f t="shared" si="133"/>
        <v>29</v>
      </c>
      <c r="C1153" s="321">
        <v>5.5</v>
      </c>
      <c r="D1153" s="321" t="s">
        <v>114</v>
      </c>
      <c r="E1153" s="321">
        <v>21</v>
      </c>
      <c r="F1153" s="316">
        <f t="shared" si="131"/>
        <v>0.95454545454545459</v>
      </c>
      <c r="G1153" s="321">
        <v>8.1999999999999993</v>
      </c>
      <c r="H1153" s="321">
        <v>6</v>
      </c>
      <c r="I1153" s="315">
        <f t="shared" si="144"/>
        <v>147.6</v>
      </c>
      <c r="J1153" s="316">
        <f t="shared" si="132"/>
        <v>1.4671676507425297</v>
      </c>
    </row>
    <row r="1154" spans="1:11" s="316" customFormat="1">
      <c r="A1154" s="321">
        <v>41</v>
      </c>
      <c r="B1154" s="295">
        <f t="shared" si="133"/>
        <v>29</v>
      </c>
      <c r="C1154" s="321">
        <v>6.1</v>
      </c>
      <c r="D1154" s="321" t="s">
        <v>115</v>
      </c>
      <c r="E1154" s="321">
        <v>29</v>
      </c>
      <c r="F1154" s="316">
        <f t="shared" si="131"/>
        <v>1.1599999999999999</v>
      </c>
      <c r="G1154" s="321">
        <v>6.9</v>
      </c>
      <c r="H1154" s="321">
        <v>4.8</v>
      </c>
      <c r="I1154" s="315">
        <f t="shared" si="144"/>
        <v>79.488</v>
      </c>
      <c r="J1154" s="316">
        <f t="shared" si="132"/>
        <v>0.59081314107328664</v>
      </c>
    </row>
    <row r="1155" spans="1:11" s="316" customFormat="1">
      <c r="A1155" s="321">
        <v>41</v>
      </c>
      <c r="B1155" s="295">
        <f t="shared" si="133"/>
        <v>29</v>
      </c>
      <c r="C1155" s="321">
        <v>6.2</v>
      </c>
      <c r="D1155" s="321" t="s">
        <v>115</v>
      </c>
      <c r="E1155" s="321"/>
      <c r="F1155" s="316" t="str">
        <f t="shared" si="131"/>
        <v/>
      </c>
      <c r="G1155" s="321"/>
      <c r="H1155" s="321"/>
      <c r="I1155" s="315"/>
      <c r="J1155" s="316" t="str">
        <f t="shared" si="132"/>
        <v/>
      </c>
    </row>
    <row r="1156" spans="1:11">
      <c r="A1156" s="321">
        <v>41</v>
      </c>
      <c r="B1156" s="295">
        <f t="shared" si="133"/>
        <v>29</v>
      </c>
      <c r="C1156" s="321">
        <v>6.3</v>
      </c>
      <c r="D1156" s="321" t="s">
        <v>114</v>
      </c>
      <c r="E1156" s="321"/>
      <c r="F1156" s="316" t="str">
        <f t="shared" si="131"/>
        <v/>
      </c>
      <c r="G1156" s="321"/>
      <c r="H1156" s="321"/>
      <c r="J1156" s="316" t="str">
        <f t="shared" si="132"/>
        <v/>
      </c>
    </row>
    <row r="1157" spans="1:11">
      <c r="A1157" s="321">
        <v>41</v>
      </c>
      <c r="B1157" s="295">
        <f t="shared" si="133"/>
        <v>29</v>
      </c>
      <c r="C1157" s="321">
        <v>6.4</v>
      </c>
      <c r="D1157" s="321" t="s">
        <v>112</v>
      </c>
      <c r="E1157" s="321"/>
      <c r="F1157" s="316" t="str">
        <f t="shared" si="131"/>
        <v/>
      </c>
      <c r="G1157" s="321"/>
      <c r="H1157" s="321"/>
      <c r="J1157" s="316" t="str">
        <f t="shared" si="132"/>
        <v/>
      </c>
    </row>
    <row r="1158" spans="1:11">
      <c r="A1158" s="321">
        <v>41</v>
      </c>
      <c r="B1158" s="295">
        <f t="shared" si="133"/>
        <v>29</v>
      </c>
      <c r="C1158" s="321">
        <v>6.5</v>
      </c>
      <c r="D1158" s="321" t="s">
        <v>113</v>
      </c>
      <c r="E1158" s="321">
        <v>26</v>
      </c>
      <c r="F1158" s="316">
        <f t="shared" si="131"/>
        <v>1.0833333333333333</v>
      </c>
      <c r="G1158" s="321">
        <v>11.2</v>
      </c>
      <c r="H1158" s="321">
        <v>10.5</v>
      </c>
      <c r="I1158" s="315">
        <f t="shared" ref="I1158:I1161" si="145">G1158*(H1158^2)*0.5</f>
        <v>617.4</v>
      </c>
      <c r="J1158" s="316">
        <f t="shared" si="132"/>
        <v>12.195555555555556</v>
      </c>
      <c r="K1158" s="316" t="s">
        <v>167</v>
      </c>
    </row>
    <row r="1159" spans="1:11">
      <c r="A1159" s="321">
        <v>41</v>
      </c>
      <c r="B1159" s="295">
        <f t="shared" si="133"/>
        <v>29</v>
      </c>
      <c r="C1159" s="321">
        <v>7.1</v>
      </c>
      <c r="D1159" s="321" t="s">
        <v>114</v>
      </c>
      <c r="E1159" s="321">
        <v>30</v>
      </c>
      <c r="F1159" s="316">
        <f t="shared" si="131"/>
        <v>1.1111111111111112</v>
      </c>
      <c r="G1159" s="321">
        <v>9.6</v>
      </c>
      <c r="H1159" s="321">
        <v>9.6</v>
      </c>
      <c r="I1159" s="315">
        <f t="shared" si="145"/>
        <v>442.36799999999999</v>
      </c>
      <c r="J1159" s="316">
        <f t="shared" si="132"/>
        <v>3.2768000000000002</v>
      </c>
    </row>
    <row r="1160" spans="1:11">
      <c r="A1160" s="321">
        <v>41</v>
      </c>
      <c r="B1160" s="295">
        <f t="shared" si="133"/>
        <v>29</v>
      </c>
      <c r="C1160" s="321">
        <v>7.2</v>
      </c>
      <c r="D1160" s="321" t="s">
        <v>111</v>
      </c>
      <c r="E1160" s="321">
        <v>32</v>
      </c>
      <c r="F1160" s="316">
        <f t="shared" si="131"/>
        <v>1.103448275862069</v>
      </c>
      <c r="G1160" s="321">
        <v>14.3</v>
      </c>
      <c r="H1160" s="321">
        <v>13.9</v>
      </c>
      <c r="I1160" s="315">
        <f t="shared" si="145"/>
        <v>1381.4515000000001</v>
      </c>
      <c r="J1160" s="316">
        <f t="shared" si="132"/>
        <v>91.257200422777132</v>
      </c>
      <c r="K1160" s="316" t="s">
        <v>175</v>
      </c>
    </row>
    <row r="1161" spans="1:11">
      <c r="A1161" s="321">
        <v>41</v>
      </c>
      <c r="B1161" s="295">
        <f t="shared" si="133"/>
        <v>29</v>
      </c>
      <c r="C1161" s="321">
        <v>7.3</v>
      </c>
      <c r="D1161" s="321" t="s">
        <v>113</v>
      </c>
      <c r="E1161" s="321">
        <v>29</v>
      </c>
      <c r="F1161" s="316">
        <f t="shared" ref="F1161:F1224" si="146">IF(ISBLANK(E1161),"",E1161/SUMIFS(E:E,C:C,C1161,B:B,"0"))</f>
        <v>1.0740740740740742</v>
      </c>
      <c r="G1161" s="321">
        <v>4.2</v>
      </c>
      <c r="H1161" s="321">
        <v>4.2</v>
      </c>
      <c r="I1161" s="315">
        <f t="shared" si="145"/>
        <v>37.044000000000004</v>
      </c>
      <c r="J1161" s="316">
        <f t="shared" ref="J1161:J1224" si="147">IF(ISBLANK(I1161),"",I1161/SUMIFS(I:I,C:C,C1161,B:B,"0"))</f>
        <v>0.2592592592592593</v>
      </c>
      <c r="K1161" s="316" t="s">
        <v>135</v>
      </c>
    </row>
    <row r="1162" spans="1:11">
      <c r="A1162" s="321">
        <v>41</v>
      </c>
      <c r="B1162" s="295">
        <f t="shared" ref="B1162:B1225" si="148">A1162-12</f>
        <v>29</v>
      </c>
      <c r="C1162" s="321">
        <v>7.4</v>
      </c>
      <c r="D1162" s="321" t="s">
        <v>115</v>
      </c>
      <c r="E1162" s="321"/>
      <c r="F1162" s="316" t="str">
        <f t="shared" si="146"/>
        <v/>
      </c>
      <c r="G1162" s="321"/>
      <c r="H1162" s="321"/>
      <c r="J1162" s="316" t="str">
        <f t="shared" si="147"/>
        <v/>
      </c>
    </row>
    <row r="1163" spans="1:11">
      <c r="A1163" s="321">
        <v>41</v>
      </c>
      <c r="B1163" s="295">
        <f t="shared" si="148"/>
        <v>29</v>
      </c>
      <c r="C1163" s="321">
        <v>7.5</v>
      </c>
      <c r="D1163" s="321" t="s">
        <v>111</v>
      </c>
      <c r="E1163" s="321"/>
      <c r="F1163" s="316" t="str">
        <f t="shared" si="146"/>
        <v/>
      </c>
      <c r="G1163" s="321"/>
      <c r="H1163" s="321"/>
      <c r="J1163" s="316" t="str">
        <f t="shared" si="147"/>
        <v/>
      </c>
    </row>
    <row r="1164" spans="1:11">
      <c r="A1164" s="321">
        <v>42</v>
      </c>
      <c r="B1164" s="295">
        <f t="shared" si="148"/>
        <v>30</v>
      </c>
      <c r="C1164" s="321">
        <v>1.1000000000000001</v>
      </c>
      <c r="D1164" s="321" t="s">
        <v>112</v>
      </c>
      <c r="E1164" s="321">
        <v>30</v>
      </c>
      <c r="F1164" s="316">
        <f t="shared" si="146"/>
        <v>1.0714285714285714</v>
      </c>
      <c r="G1164" s="321">
        <v>16.899999999999999</v>
      </c>
      <c r="H1164" s="321">
        <v>15.5</v>
      </c>
      <c r="I1164" s="315">
        <f t="shared" ref="I1164:I1166" si="149">G1164*(H1164^2)*0.5</f>
        <v>2030.1124999999997</v>
      </c>
      <c r="J1164" s="316">
        <f t="shared" si="147"/>
        <v>9.0121479686057242</v>
      </c>
      <c r="K1164" s="316" t="s">
        <v>172</v>
      </c>
    </row>
    <row r="1165" spans="1:11">
      <c r="A1165" s="321">
        <v>42</v>
      </c>
      <c r="B1165" s="295">
        <f t="shared" si="148"/>
        <v>30</v>
      </c>
      <c r="C1165" s="321">
        <v>1.2</v>
      </c>
      <c r="D1165" s="321" t="s">
        <v>113</v>
      </c>
      <c r="E1165" s="321">
        <v>28</v>
      </c>
      <c r="F1165" s="316">
        <f t="shared" si="146"/>
        <v>1.037037037037037</v>
      </c>
      <c r="G1165" s="321">
        <v>6.4</v>
      </c>
      <c r="H1165" s="321">
        <v>5.4</v>
      </c>
      <c r="I1165" s="315">
        <f t="shared" si="149"/>
        <v>93.312000000000012</v>
      </c>
      <c r="J1165" s="316">
        <f t="shared" si="147"/>
        <v>0.44603886683412886</v>
      </c>
    </row>
    <row r="1166" spans="1:11">
      <c r="A1166" s="321">
        <v>42</v>
      </c>
      <c r="B1166" s="295">
        <f t="shared" si="148"/>
        <v>30</v>
      </c>
      <c r="C1166" s="321">
        <v>1.3</v>
      </c>
      <c r="D1166" s="321" t="s">
        <v>115</v>
      </c>
      <c r="E1166" s="321">
        <v>26</v>
      </c>
      <c r="F1166" s="316">
        <f t="shared" si="146"/>
        <v>1.0833333333333333</v>
      </c>
      <c r="G1166" s="321">
        <v>14.4</v>
      </c>
      <c r="H1166" s="321">
        <v>10.8</v>
      </c>
      <c r="I1166" s="315">
        <f t="shared" si="149"/>
        <v>839.80800000000011</v>
      </c>
      <c r="J1166" s="316">
        <f t="shared" si="147"/>
        <v>8.4705882352941178</v>
      </c>
    </row>
    <row r="1167" spans="1:11">
      <c r="A1167" s="321">
        <v>42</v>
      </c>
      <c r="B1167" s="295">
        <f t="shared" si="148"/>
        <v>30</v>
      </c>
      <c r="C1167" s="321">
        <v>1.4</v>
      </c>
      <c r="D1167" s="321" t="s">
        <v>115</v>
      </c>
      <c r="E1167" s="321"/>
      <c r="F1167" s="316" t="str">
        <f t="shared" si="146"/>
        <v/>
      </c>
      <c r="G1167" s="321"/>
      <c r="H1167" s="321"/>
      <c r="J1167" s="316" t="str">
        <f t="shared" si="147"/>
        <v/>
      </c>
    </row>
    <row r="1168" spans="1:11">
      <c r="A1168" s="321">
        <v>42</v>
      </c>
      <c r="B1168" s="295">
        <f t="shared" si="148"/>
        <v>30</v>
      </c>
      <c r="C1168" s="321">
        <v>1.5</v>
      </c>
      <c r="D1168" s="321" t="s">
        <v>112</v>
      </c>
      <c r="E1168" s="321">
        <v>29</v>
      </c>
      <c r="F1168" s="316">
        <f t="shared" si="146"/>
        <v>1.0357142857142858</v>
      </c>
      <c r="G1168" s="321">
        <v>11.2</v>
      </c>
      <c r="H1168" s="321">
        <v>9.6999999999999993</v>
      </c>
      <c r="I1168" s="315">
        <f t="shared" ref="I1168:I1169" si="150">G1168*(H1168^2)*0.5</f>
        <v>526.90399999999988</v>
      </c>
      <c r="J1168" s="316">
        <f t="shared" si="147"/>
        <v>3.7834903492647047</v>
      </c>
    </row>
    <row r="1169" spans="1:11">
      <c r="A1169" s="321">
        <v>42</v>
      </c>
      <c r="B1169" s="295">
        <f t="shared" si="148"/>
        <v>30</v>
      </c>
      <c r="C1169" s="321">
        <v>2.1</v>
      </c>
      <c r="D1169" s="321" t="s">
        <v>114</v>
      </c>
      <c r="E1169" s="321">
        <v>30</v>
      </c>
      <c r="F1169" s="316">
        <f t="shared" si="146"/>
        <v>1.1538461538461537</v>
      </c>
      <c r="G1169" s="321">
        <v>10.7</v>
      </c>
      <c r="H1169" s="321">
        <v>10</v>
      </c>
      <c r="I1169" s="315">
        <f t="shared" si="150"/>
        <v>535</v>
      </c>
      <c r="J1169" s="316">
        <f t="shared" si="147"/>
        <v>2.8448443178887528</v>
      </c>
      <c r="K1169" s="316" t="s">
        <v>158</v>
      </c>
    </row>
    <row r="1170" spans="1:11">
      <c r="A1170" s="321">
        <v>42</v>
      </c>
      <c r="B1170" s="295">
        <f t="shared" si="148"/>
        <v>30</v>
      </c>
      <c r="C1170" s="321">
        <v>2.2000000000000002</v>
      </c>
      <c r="D1170" s="321" t="s">
        <v>115</v>
      </c>
      <c r="E1170" s="321"/>
      <c r="F1170" s="316" t="str">
        <f t="shared" si="146"/>
        <v/>
      </c>
      <c r="G1170" s="321"/>
      <c r="H1170" s="321"/>
      <c r="J1170" s="316" t="str">
        <f t="shared" si="147"/>
        <v/>
      </c>
    </row>
    <row r="1171" spans="1:11">
      <c r="A1171" s="321">
        <v>42</v>
      </c>
      <c r="B1171" s="295">
        <f t="shared" si="148"/>
        <v>30</v>
      </c>
      <c r="C1171" s="321">
        <v>2.2999999999999998</v>
      </c>
      <c r="D1171" s="321" t="s">
        <v>112</v>
      </c>
      <c r="E1171" s="321"/>
      <c r="F1171" s="316" t="str">
        <f t="shared" si="146"/>
        <v/>
      </c>
      <c r="G1171" s="321"/>
      <c r="H1171" s="321"/>
      <c r="J1171" s="316" t="str">
        <f t="shared" si="147"/>
        <v/>
      </c>
    </row>
    <row r="1172" spans="1:11">
      <c r="A1172" s="321">
        <v>42</v>
      </c>
      <c r="B1172" s="295">
        <f t="shared" si="148"/>
        <v>30</v>
      </c>
      <c r="C1172" s="321">
        <v>2.4</v>
      </c>
      <c r="D1172" s="321" t="s">
        <v>114</v>
      </c>
      <c r="E1172" s="321">
        <v>27</v>
      </c>
      <c r="F1172" s="316">
        <f t="shared" si="146"/>
        <v>1.08</v>
      </c>
      <c r="G1172" s="321">
        <v>8.1</v>
      </c>
      <c r="H1172" s="321">
        <v>7.9</v>
      </c>
      <c r="I1172" s="315">
        <f t="shared" ref="I1172:I1176" si="151">G1172*(H1172^2)*0.5</f>
        <v>252.76050000000001</v>
      </c>
      <c r="J1172" s="316">
        <f t="shared" si="147"/>
        <v>2.3512604651162792</v>
      </c>
    </row>
    <row r="1173" spans="1:11">
      <c r="A1173" s="321">
        <v>42</v>
      </c>
      <c r="B1173" s="295">
        <f t="shared" si="148"/>
        <v>30</v>
      </c>
      <c r="C1173" s="321">
        <v>2.5</v>
      </c>
      <c r="D1173" s="321" t="s">
        <v>113</v>
      </c>
      <c r="E1173" s="321">
        <v>29</v>
      </c>
      <c r="F1173" s="316">
        <f t="shared" si="146"/>
        <v>1.0740740740740742</v>
      </c>
      <c r="G1173" s="321">
        <v>6.6</v>
      </c>
      <c r="H1173" s="321">
        <v>6.2</v>
      </c>
      <c r="I1173" s="315">
        <f t="shared" si="151"/>
        <v>126.852</v>
      </c>
      <c r="J1173" s="316">
        <f t="shared" si="147"/>
        <v>0.74364235382396737</v>
      </c>
    </row>
    <row r="1174" spans="1:11">
      <c r="A1174" s="321">
        <v>42</v>
      </c>
      <c r="B1174" s="295">
        <f t="shared" si="148"/>
        <v>30</v>
      </c>
      <c r="C1174" s="321">
        <v>3.1</v>
      </c>
      <c r="D1174" s="321" t="s">
        <v>115</v>
      </c>
      <c r="E1174" s="321">
        <v>25</v>
      </c>
      <c r="F1174" s="316">
        <f t="shared" si="146"/>
        <v>1.0416666666666667</v>
      </c>
      <c r="G1174" s="321">
        <v>6.1</v>
      </c>
      <c r="H1174" s="321">
        <v>5</v>
      </c>
      <c r="I1174" s="315">
        <f t="shared" si="151"/>
        <v>76.25</v>
      </c>
      <c r="J1174" s="316">
        <f t="shared" si="147"/>
        <v>0.41970551809550022</v>
      </c>
      <c r="K1174" s="316" t="s">
        <v>176</v>
      </c>
    </row>
    <row r="1175" spans="1:11">
      <c r="A1175" s="321">
        <v>42</v>
      </c>
      <c r="B1175" s="295">
        <f t="shared" si="148"/>
        <v>30</v>
      </c>
      <c r="C1175" s="321">
        <v>3.2</v>
      </c>
      <c r="D1175" s="321" t="s">
        <v>113</v>
      </c>
      <c r="E1175" s="321">
        <v>32</v>
      </c>
      <c r="F1175" s="316">
        <f t="shared" si="146"/>
        <v>1.0666666666666667</v>
      </c>
      <c r="G1175" s="321">
        <v>6.5</v>
      </c>
      <c r="H1175" s="321">
        <v>5.9</v>
      </c>
      <c r="I1175" s="315">
        <f t="shared" si="151"/>
        <v>113.13250000000001</v>
      </c>
      <c r="J1175" s="316">
        <f t="shared" si="147"/>
        <v>0.58955111101846847</v>
      </c>
    </row>
    <row r="1176" spans="1:11">
      <c r="A1176" s="321">
        <v>42</v>
      </c>
      <c r="B1176" s="295">
        <f t="shared" si="148"/>
        <v>30</v>
      </c>
      <c r="C1176" s="321">
        <v>3.3</v>
      </c>
      <c r="D1176" s="321" t="s">
        <v>114</v>
      </c>
      <c r="E1176" s="321">
        <v>27</v>
      </c>
      <c r="F1176" s="316">
        <f t="shared" si="146"/>
        <v>1.08</v>
      </c>
      <c r="G1176" s="321">
        <v>11.4</v>
      </c>
      <c r="H1176" s="321">
        <v>11.4</v>
      </c>
      <c r="I1176" s="315">
        <f t="shared" si="151"/>
        <v>740.77200000000005</v>
      </c>
      <c r="J1176" s="316">
        <f t="shared" si="147"/>
        <v>3.5994752186588923</v>
      </c>
    </row>
    <row r="1177" spans="1:11">
      <c r="A1177" s="321">
        <v>42</v>
      </c>
      <c r="B1177" s="295">
        <f t="shared" si="148"/>
        <v>30</v>
      </c>
      <c r="C1177" s="321">
        <v>3.4</v>
      </c>
      <c r="D1177" s="321" t="s">
        <v>114</v>
      </c>
      <c r="E1177" s="321"/>
      <c r="F1177" s="316" t="str">
        <f t="shared" si="146"/>
        <v/>
      </c>
      <c r="G1177" s="321"/>
      <c r="H1177" s="321"/>
      <c r="J1177" s="316" t="str">
        <f t="shared" si="147"/>
        <v/>
      </c>
    </row>
    <row r="1178" spans="1:11">
      <c r="A1178" s="321">
        <v>42</v>
      </c>
      <c r="B1178" s="295">
        <f t="shared" si="148"/>
        <v>30</v>
      </c>
      <c r="C1178" s="321">
        <v>3.5</v>
      </c>
      <c r="D1178" s="321" t="s">
        <v>115</v>
      </c>
      <c r="E1178" s="321"/>
      <c r="F1178" s="316" t="str">
        <f t="shared" si="146"/>
        <v/>
      </c>
      <c r="G1178" s="321"/>
      <c r="H1178" s="321"/>
      <c r="J1178" s="316" t="str">
        <f t="shared" si="147"/>
        <v/>
      </c>
    </row>
    <row r="1179" spans="1:11">
      <c r="A1179" s="321">
        <v>42</v>
      </c>
      <c r="B1179" s="295">
        <f t="shared" si="148"/>
        <v>30</v>
      </c>
      <c r="C1179" s="321">
        <v>4.0999999999999996</v>
      </c>
      <c r="D1179" s="321" t="s">
        <v>111</v>
      </c>
      <c r="E1179" s="321"/>
      <c r="F1179" s="316" t="str">
        <f t="shared" si="146"/>
        <v/>
      </c>
      <c r="G1179" s="321"/>
      <c r="H1179" s="321"/>
      <c r="J1179" s="316" t="str">
        <f t="shared" si="147"/>
        <v/>
      </c>
    </row>
    <row r="1180" spans="1:11">
      <c r="A1180" s="321">
        <v>42</v>
      </c>
      <c r="B1180" s="295">
        <f t="shared" si="148"/>
        <v>30</v>
      </c>
      <c r="C1180" s="321">
        <v>4.2</v>
      </c>
      <c r="D1180" s="321" t="s">
        <v>112</v>
      </c>
      <c r="E1180" s="321">
        <v>31</v>
      </c>
      <c r="F1180" s="316">
        <f t="shared" si="146"/>
        <v>1.0689655172413792</v>
      </c>
      <c r="G1180" s="321">
        <v>15.9</v>
      </c>
      <c r="H1180" s="321">
        <v>14</v>
      </c>
      <c r="I1180" s="315">
        <f t="shared" ref="I1180:I1181" si="152">G1180*(H1180^2)*0.5</f>
        <v>1558.2</v>
      </c>
      <c r="J1180" s="316">
        <f t="shared" si="147"/>
        <v>4.6815567933949858</v>
      </c>
    </row>
    <row r="1181" spans="1:11">
      <c r="A1181" s="321">
        <v>42</v>
      </c>
      <c r="B1181" s="295">
        <f t="shared" si="148"/>
        <v>30</v>
      </c>
      <c r="C1181" s="321">
        <v>4.3</v>
      </c>
      <c r="D1181" s="321" t="s">
        <v>113</v>
      </c>
      <c r="E1181" s="321">
        <v>28</v>
      </c>
      <c r="F1181" s="316">
        <f t="shared" si="146"/>
        <v>1.0769230769230769</v>
      </c>
      <c r="G1181" s="321">
        <v>9.5</v>
      </c>
      <c r="H1181" s="321">
        <v>9.1</v>
      </c>
      <c r="I1181" s="315">
        <f t="shared" si="152"/>
        <v>393.34749999999997</v>
      </c>
      <c r="J1181" s="316">
        <f t="shared" si="147"/>
        <v>2.8244736615349262</v>
      </c>
    </row>
    <row r="1182" spans="1:11">
      <c r="A1182" s="321">
        <v>42</v>
      </c>
      <c r="B1182" s="295">
        <f t="shared" si="148"/>
        <v>30</v>
      </c>
      <c r="C1182" s="321">
        <v>4.4000000000000004</v>
      </c>
      <c r="D1182" s="321" t="s">
        <v>112</v>
      </c>
      <c r="E1182" s="321"/>
      <c r="F1182" s="316" t="str">
        <f t="shared" si="146"/>
        <v/>
      </c>
      <c r="G1182" s="321"/>
      <c r="H1182" s="321"/>
      <c r="J1182" s="316" t="str">
        <f t="shared" si="147"/>
        <v/>
      </c>
    </row>
    <row r="1183" spans="1:11">
      <c r="A1183" s="321">
        <v>42</v>
      </c>
      <c r="B1183" s="295">
        <f t="shared" si="148"/>
        <v>30</v>
      </c>
      <c r="C1183" s="321">
        <v>4.5</v>
      </c>
      <c r="D1183" s="321" t="s">
        <v>112</v>
      </c>
      <c r="E1183" s="321"/>
      <c r="F1183" s="316" t="str">
        <f t="shared" si="146"/>
        <v/>
      </c>
      <c r="G1183" s="321"/>
      <c r="H1183" s="321"/>
      <c r="J1183" s="316" t="str">
        <f t="shared" si="147"/>
        <v/>
      </c>
    </row>
    <row r="1184" spans="1:11">
      <c r="A1184" s="321">
        <v>42</v>
      </c>
      <c r="B1184" s="295">
        <f t="shared" si="148"/>
        <v>30</v>
      </c>
      <c r="C1184" s="321">
        <v>5.0999999999999996</v>
      </c>
      <c r="D1184" s="321" t="s">
        <v>113</v>
      </c>
      <c r="E1184" s="321">
        <v>25</v>
      </c>
      <c r="F1184" s="316">
        <f t="shared" si="146"/>
        <v>1.0416666666666667</v>
      </c>
      <c r="G1184" s="321">
        <v>7</v>
      </c>
      <c r="H1184" s="321">
        <v>6.9</v>
      </c>
      <c r="I1184" s="315">
        <f t="shared" ref="I1184" si="153">G1184*(H1184^2)*0.5</f>
        <v>166.63500000000002</v>
      </c>
      <c r="J1184" s="316">
        <f t="shared" si="147"/>
        <v>1.0032632320446979</v>
      </c>
    </row>
    <row r="1185" spans="1:11">
      <c r="A1185" s="321">
        <v>42</v>
      </c>
      <c r="B1185" s="295">
        <f t="shared" si="148"/>
        <v>30</v>
      </c>
      <c r="C1185" s="321">
        <v>5.2</v>
      </c>
      <c r="D1185" s="321" t="s">
        <v>114</v>
      </c>
      <c r="E1185" s="321"/>
      <c r="F1185" s="316" t="str">
        <f t="shared" si="146"/>
        <v/>
      </c>
      <c r="G1185" s="321"/>
      <c r="H1185" s="321"/>
      <c r="J1185" s="316" t="str">
        <f t="shared" si="147"/>
        <v/>
      </c>
    </row>
    <row r="1186" spans="1:11">
      <c r="A1186" s="321">
        <v>42</v>
      </c>
      <c r="B1186" s="295">
        <f t="shared" si="148"/>
        <v>30</v>
      </c>
      <c r="C1186" s="321">
        <v>5.3</v>
      </c>
      <c r="D1186" s="321" t="s">
        <v>112</v>
      </c>
      <c r="E1186" s="321">
        <v>29</v>
      </c>
      <c r="F1186" s="316">
        <f t="shared" si="146"/>
        <v>1.0357142857142858</v>
      </c>
      <c r="G1186" s="321">
        <v>12.8</v>
      </c>
      <c r="H1186" s="321">
        <v>12.8</v>
      </c>
      <c r="I1186" s="315">
        <f t="shared" ref="I1186:I1189" si="154">G1186*(H1186^2)*0.5</f>
        <v>1048.5760000000002</v>
      </c>
      <c r="J1186" s="316">
        <f t="shared" si="147"/>
        <v>4.4192248689290121</v>
      </c>
    </row>
    <row r="1187" spans="1:11">
      <c r="A1187" s="321">
        <v>42</v>
      </c>
      <c r="B1187" s="295">
        <f t="shared" si="148"/>
        <v>30</v>
      </c>
      <c r="C1187" s="321">
        <v>5.4</v>
      </c>
      <c r="D1187" s="321" t="s">
        <v>113</v>
      </c>
      <c r="E1187" s="321">
        <v>26</v>
      </c>
      <c r="F1187" s="316">
        <f t="shared" si="146"/>
        <v>1</v>
      </c>
      <c r="G1187" s="321">
        <v>6.7</v>
      </c>
      <c r="H1187" s="321">
        <v>6.3</v>
      </c>
      <c r="I1187" s="315">
        <f t="shared" si="154"/>
        <v>132.9615</v>
      </c>
      <c r="J1187" s="316">
        <f t="shared" si="147"/>
        <v>0.74342465753424658</v>
      </c>
    </row>
    <row r="1188" spans="1:11">
      <c r="A1188" s="321">
        <v>42</v>
      </c>
      <c r="B1188" s="295">
        <f t="shared" si="148"/>
        <v>30</v>
      </c>
      <c r="C1188" s="321">
        <v>5.5</v>
      </c>
      <c r="D1188" s="321" t="s">
        <v>114</v>
      </c>
      <c r="E1188" s="321">
        <v>22</v>
      </c>
      <c r="F1188" s="316">
        <f t="shared" si="146"/>
        <v>1</v>
      </c>
      <c r="G1188" s="321">
        <v>8.1999999999999993</v>
      </c>
      <c r="H1188" s="321">
        <v>6</v>
      </c>
      <c r="I1188" s="315">
        <f t="shared" si="154"/>
        <v>147.6</v>
      </c>
      <c r="J1188" s="316">
        <f t="shared" si="147"/>
        <v>1.4671676507425297</v>
      </c>
      <c r="K1188" s="316" t="s">
        <v>158</v>
      </c>
    </row>
    <row r="1189" spans="1:11">
      <c r="A1189" s="321">
        <v>42</v>
      </c>
      <c r="B1189" s="295">
        <f t="shared" si="148"/>
        <v>30</v>
      </c>
      <c r="C1189" s="321">
        <v>6.1</v>
      </c>
      <c r="D1189" s="321" t="s">
        <v>115</v>
      </c>
      <c r="E1189" s="321">
        <v>29</v>
      </c>
      <c r="F1189" s="316">
        <f t="shared" si="146"/>
        <v>1.1599999999999999</v>
      </c>
      <c r="G1189" s="321">
        <v>5.4</v>
      </c>
      <c r="H1189" s="321">
        <v>5.2</v>
      </c>
      <c r="I1189" s="315">
        <f t="shared" si="154"/>
        <v>73.00800000000001</v>
      </c>
      <c r="J1189" s="316">
        <f t="shared" si="147"/>
        <v>0.5426490263118775</v>
      </c>
    </row>
    <row r="1190" spans="1:11">
      <c r="A1190" s="321">
        <v>42</v>
      </c>
      <c r="B1190" s="295">
        <f t="shared" si="148"/>
        <v>30</v>
      </c>
      <c r="C1190" s="321">
        <v>6.2</v>
      </c>
      <c r="D1190" s="321" t="s">
        <v>115</v>
      </c>
      <c r="E1190" s="321"/>
      <c r="F1190" s="316" t="str">
        <f t="shared" si="146"/>
        <v/>
      </c>
      <c r="G1190" s="321"/>
      <c r="H1190" s="321"/>
      <c r="J1190" s="316" t="str">
        <f t="shared" si="147"/>
        <v/>
      </c>
    </row>
    <row r="1191" spans="1:11">
      <c r="A1191" s="321">
        <v>42</v>
      </c>
      <c r="B1191" s="295">
        <f t="shared" si="148"/>
        <v>30</v>
      </c>
      <c r="C1191" s="321">
        <v>6.3</v>
      </c>
      <c r="D1191" s="321" t="s">
        <v>114</v>
      </c>
      <c r="E1191" s="321"/>
      <c r="F1191" s="316" t="str">
        <f t="shared" si="146"/>
        <v/>
      </c>
      <c r="G1191" s="321"/>
      <c r="H1191" s="321"/>
      <c r="J1191" s="316" t="str">
        <f t="shared" si="147"/>
        <v/>
      </c>
    </row>
    <row r="1192" spans="1:11">
      <c r="A1192" s="321">
        <v>42</v>
      </c>
      <c r="B1192" s="295">
        <f t="shared" si="148"/>
        <v>30</v>
      </c>
      <c r="C1192" s="321">
        <v>6.4</v>
      </c>
      <c r="D1192" s="321" t="s">
        <v>112</v>
      </c>
      <c r="E1192" s="321"/>
      <c r="F1192" s="316" t="str">
        <f t="shared" si="146"/>
        <v/>
      </c>
      <c r="G1192" s="321"/>
      <c r="H1192" s="321"/>
      <c r="J1192" s="316" t="str">
        <f t="shared" si="147"/>
        <v/>
      </c>
    </row>
    <row r="1193" spans="1:11">
      <c r="A1193" s="321">
        <v>42</v>
      </c>
      <c r="B1193" s="295">
        <f t="shared" si="148"/>
        <v>30</v>
      </c>
      <c r="C1193" s="321">
        <v>6.5</v>
      </c>
      <c r="D1193" s="321" t="s">
        <v>113</v>
      </c>
      <c r="E1193" s="321">
        <v>28</v>
      </c>
      <c r="F1193" s="316">
        <f t="shared" si="146"/>
        <v>1.1666666666666667</v>
      </c>
      <c r="G1193" s="321">
        <v>9.5</v>
      </c>
      <c r="H1193" s="321">
        <v>8.1</v>
      </c>
      <c r="I1193" s="315">
        <f t="shared" ref="I1193:I1196" si="155">G1193*(H1193^2)*0.5</f>
        <v>311.64749999999998</v>
      </c>
      <c r="J1193" s="316">
        <f t="shared" si="147"/>
        <v>6.1559999999999997</v>
      </c>
      <c r="K1193" s="316" t="s">
        <v>167</v>
      </c>
    </row>
    <row r="1194" spans="1:11">
      <c r="A1194" s="321">
        <v>42</v>
      </c>
      <c r="B1194" s="295">
        <f t="shared" si="148"/>
        <v>30</v>
      </c>
      <c r="C1194" s="321">
        <v>7.1</v>
      </c>
      <c r="D1194" s="321" t="s">
        <v>114</v>
      </c>
      <c r="E1194" s="321">
        <v>30</v>
      </c>
      <c r="F1194" s="316">
        <f t="shared" si="146"/>
        <v>1.1111111111111112</v>
      </c>
      <c r="G1194" s="321">
        <v>10.3</v>
      </c>
      <c r="H1194" s="321">
        <v>9.3000000000000007</v>
      </c>
      <c r="I1194" s="315">
        <f t="shared" si="155"/>
        <v>445.4235000000001</v>
      </c>
      <c r="J1194" s="316">
        <f t="shared" si="147"/>
        <v>3.2994333333333339</v>
      </c>
      <c r="K1194" s="316" t="s">
        <v>177</v>
      </c>
    </row>
    <row r="1195" spans="1:11">
      <c r="A1195" s="321">
        <v>42</v>
      </c>
      <c r="B1195" s="295">
        <f t="shared" si="148"/>
        <v>30</v>
      </c>
      <c r="C1195" s="321">
        <v>7.2</v>
      </c>
      <c r="D1195" s="321" t="s">
        <v>111</v>
      </c>
      <c r="E1195" s="321">
        <v>31</v>
      </c>
      <c r="F1195" s="316">
        <f t="shared" si="146"/>
        <v>1.0689655172413792</v>
      </c>
      <c r="G1195" s="321">
        <v>14.5</v>
      </c>
      <c r="H1195" s="321">
        <v>13.4</v>
      </c>
      <c r="I1195" s="315">
        <f t="shared" si="155"/>
        <v>1301.81</v>
      </c>
      <c r="J1195" s="316">
        <f t="shared" si="147"/>
        <v>85.996168582375475</v>
      </c>
    </row>
    <row r="1196" spans="1:11">
      <c r="A1196" s="321">
        <v>42</v>
      </c>
      <c r="B1196" s="295">
        <f t="shared" si="148"/>
        <v>30</v>
      </c>
      <c r="C1196" s="321">
        <v>7.3</v>
      </c>
      <c r="D1196" s="321" t="s">
        <v>113</v>
      </c>
      <c r="E1196" s="321">
        <v>29</v>
      </c>
      <c r="F1196" s="316">
        <f t="shared" si="146"/>
        <v>1.0740740740740742</v>
      </c>
      <c r="G1196" s="321">
        <v>4.5</v>
      </c>
      <c r="H1196" s="321">
        <v>3.5</v>
      </c>
      <c r="I1196" s="315">
        <f t="shared" si="155"/>
        <v>27.5625</v>
      </c>
      <c r="J1196" s="316">
        <f t="shared" si="147"/>
        <v>0.19290123456790126</v>
      </c>
      <c r="K1196" s="316" t="s">
        <v>135</v>
      </c>
    </row>
    <row r="1197" spans="1:11">
      <c r="A1197" s="321">
        <v>42</v>
      </c>
      <c r="B1197" s="295">
        <f t="shared" si="148"/>
        <v>30</v>
      </c>
      <c r="C1197" s="321">
        <v>7.4</v>
      </c>
      <c r="D1197" s="321" t="s">
        <v>115</v>
      </c>
      <c r="E1197" s="321"/>
      <c r="F1197" s="316" t="str">
        <f t="shared" si="146"/>
        <v/>
      </c>
      <c r="G1197" s="321"/>
      <c r="H1197" s="321"/>
      <c r="J1197" s="316" t="str">
        <f t="shared" si="147"/>
        <v/>
      </c>
    </row>
    <row r="1198" spans="1:11">
      <c r="A1198" s="321">
        <v>42</v>
      </c>
      <c r="B1198" s="295">
        <f t="shared" si="148"/>
        <v>30</v>
      </c>
      <c r="C1198" s="321">
        <v>7.5</v>
      </c>
      <c r="D1198" s="321" t="s">
        <v>111</v>
      </c>
      <c r="E1198" s="321"/>
      <c r="F1198" s="316" t="str">
        <f t="shared" si="146"/>
        <v/>
      </c>
      <c r="G1198" s="321"/>
      <c r="H1198" s="321"/>
      <c r="J1198" s="316" t="str">
        <f t="shared" si="147"/>
        <v/>
      </c>
    </row>
    <row r="1199" spans="1:11">
      <c r="A1199" s="321">
        <v>43</v>
      </c>
      <c r="B1199" s="295">
        <f t="shared" si="148"/>
        <v>31</v>
      </c>
      <c r="C1199" s="321">
        <v>1.1000000000000001</v>
      </c>
      <c r="D1199" s="321" t="s">
        <v>112</v>
      </c>
      <c r="E1199" s="321"/>
      <c r="F1199" s="316" t="str">
        <f t="shared" si="146"/>
        <v/>
      </c>
      <c r="G1199" s="321"/>
      <c r="H1199" s="321"/>
      <c r="J1199" s="316" t="str">
        <f t="shared" si="147"/>
        <v/>
      </c>
    </row>
    <row r="1200" spans="1:11">
      <c r="A1200" s="321">
        <v>43</v>
      </c>
      <c r="B1200" s="295">
        <f t="shared" si="148"/>
        <v>31</v>
      </c>
      <c r="C1200" s="321">
        <v>1.2</v>
      </c>
      <c r="D1200" s="321" t="s">
        <v>113</v>
      </c>
      <c r="E1200" s="321">
        <v>29</v>
      </c>
      <c r="F1200" s="316">
        <f t="shared" si="146"/>
        <v>1.0740740740740742</v>
      </c>
      <c r="G1200" s="321">
        <v>6.1</v>
      </c>
      <c r="H1200" s="321">
        <v>5</v>
      </c>
      <c r="I1200" s="315">
        <f t="shared" ref="I1200:I1201" si="156">G1200*(H1200^2)*0.5</f>
        <v>76.25</v>
      </c>
      <c r="J1200" s="316">
        <f t="shared" si="147"/>
        <v>0.36448113421748884</v>
      </c>
    </row>
    <row r="1201" spans="1:10">
      <c r="A1201" s="321">
        <v>43</v>
      </c>
      <c r="B1201" s="295">
        <f t="shared" si="148"/>
        <v>31</v>
      </c>
      <c r="C1201" s="321">
        <v>1.3</v>
      </c>
      <c r="D1201" s="321" t="s">
        <v>115</v>
      </c>
      <c r="E1201" s="321">
        <v>26</v>
      </c>
      <c r="F1201" s="316">
        <f t="shared" si="146"/>
        <v>1.0833333333333333</v>
      </c>
      <c r="G1201" s="321">
        <v>15</v>
      </c>
      <c r="H1201" s="321">
        <v>10.9</v>
      </c>
      <c r="I1201" s="315">
        <f t="shared" si="156"/>
        <v>891.07500000000005</v>
      </c>
      <c r="J1201" s="316">
        <f t="shared" si="147"/>
        <v>8.9876845800048422</v>
      </c>
    </row>
    <row r="1202" spans="1:10">
      <c r="A1202" s="321">
        <v>43</v>
      </c>
      <c r="B1202" s="295">
        <f t="shared" si="148"/>
        <v>31</v>
      </c>
      <c r="C1202" s="321">
        <v>1.4</v>
      </c>
      <c r="D1202" s="321" t="s">
        <v>115</v>
      </c>
      <c r="E1202" s="321"/>
      <c r="F1202" s="316" t="str">
        <f t="shared" si="146"/>
        <v/>
      </c>
      <c r="G1202" s="321"/>
      <c r="H1202" s="321"/>
      <c r="J1202" s="316" t="str">
        <f t="shared" si="147"/>
        <v/>
      </c>
    </row>
    <row r="1203" spans="1:10">
      <c r="A1203" s="321">
        <v>43</v>
      </c>
      <c r="B1203" s="295">
        <f t="shared" si="148"/>
        <v>31</v>
      </c>
      <c r="C1203" s="321">
        <v>1.5</v>
      </c>
      <c r="D1203" s="321" t="s">
        <v>112</v>
      </c>
      <c r="E1203" s="321">
        <v>29</v>
      </c>
      <c r="F1203" s="316">
        <f t="shared" si="146"/>
        <v>1.0357142857142858</v>
      </c>
      <c r="G1203" s="321">
        <v>11.7</v>
      </c>
      <c r="H1203" s="321">
        <v>11.4</v>
      </c>
      <c r="I1203" s="315">
        <f t="shared" ref="I1203:I1204" si="157">G1203*(H1203^2)*0.5</f>
        <v>760.26599999999996</v>
      </c>
      <c r="J1203" s="316">
        <f t="shared" si="147"/>
        <v>5.459171070772058</v>
      </c>
    </row>
    <row r="1204" spans="1:10" s="316" customFormat="1">
      <c r="A1204" s="321">
        <v>43</v>
      </c>
      <c r="B1204" s="295">
        <f t="shared" si="148"/>
        <v>31</v>
      </c>
      <c r="C1204" s="321">
        <v>2.1</v>
      </c>
      <c r="D1204" s="321" t="s">
        <v>114</v>
      </c>
      <c r="E1204" s="321">
        <v>30</v>
      </c>
      <c r="F1204" s="316">
        <f t="shared" si="146"/>
        <v>1.1538461538461537</v>
      </c>
      <c r="G1204" s="321">
        <v>10.4</v>
      </c>
      <c r="H1204" s="321">
        <v>10.199999999999999</v>
      </c>
      <c r="I1204" s="315">
        <f t="shared" si="157"/>
        <v>541.00799999999992</v>
      </c>
      <c r="J1204" s="316">
        <f t="shared" si="147"/>
        <v>2.8767916537053422</v>
      </c>
    </row>
    <row r="1205" spans="1:10" s="316" customFormat="1">
      <c r="A1205" s="321">
        <v>43</v>
      </c>
      <c r="B1205" s="295">
        <f t="shared" si="148"/>
        <v>31</v>
      </c>
      <c r="C1205" s="321">
        <v>2.2000000000000002</v>
      </c>
      <c r="D1205" s="321" t="s">
        <v>115</v>
      </c>
      <c r="E1205" s="321"/>
      <c r="F1205" s="316" t="str">
        <f t="shared" si="146"/>
        <v/>
      </c>
      <c r="G1205" s="321"/>
      <c r="H1205" s="321"/>
      <c r="I1205" s="315"/>
      <c r="J1205" s="316" t="str">
        <f t="shared" si="147"/>
        <v/>
      </c>
    </row>
    <row r="1206" spans="1:10" s="316" customFormat="1">
      <c r="A1206" s="321">
        <v>43</v>
      </c>
      <c r="B1206" s="295">
        <f t="shared" si="148"/>
        <v>31</v>
      </c>
      <c r="C1206" s="321">
        <v>2.2999999999999998</v>
      </c>
      <c r="D1206" s="321" t="s">
        <v>112</v>
      </c>
      <c r="E1206" s="321"/>
      <c r="F1206" s="316" t="str">
        <f t="shared" si="146"/>
        <v/>
      </c>
      <c r="G1206" s="321"/>
      <c r="H1206" s="321"/>
      <c r="I1206" s="315"/>
      <c r="J1206" s="316" t="str">
        <f t="shared" si="147"/>
        <v/>
      </c>
    </row>
    <row r="1207" spans="1:10" s="316" customFormat="1">
      <c r="A1207" s="321">
        <v>43</v>
      </c>
      <c r="B1207" s="295">
        <f t="shared" si="148"/>
        <v>31</v>
      </c>
      <c r="C1207" s="321">
        <v>2.4</v>
      </c>
      <c r="D1207" s="321" t="s">
        <v>114</v>
      </c>
      <c r="E1207" s="321">
        <v>28</v>
      </c>
      <c r="F1207" s="316">
        <f t="shared" si="146"/>
        <v>1.1200000000000001</v>
      </c>
      <c r="G1207" s="321">
        <v>8.1</v>
      </c>
      <c r="H1207" s="321">
        <v>7.7</v>
      </c>
      <c r="I1207" s="315">
        <f t="shared" ref="I1207:I1211" si="158">G1207*(H1207^2)*0.5</f>
        <v>240.12450000000001</v>
      </c>
      <c r="J1207" s="316">
        <f t="shared" si="147"/>
        <v>2.2337162790697676</v>
      </c>
    </row>
    <row r="1208" spans="1:10" s="316" customFormat="1">
      <c r="A1208" s="321">
        <v>43</v>
      </c>
      <c r="B1208" s="295">
        <f t="shared" si="148"/>
        <v>31</v>
      </c>
      <c r="C1208" s="321">
        <v>2.5</v>
      </c>
      <c r="D1208" s="321" t="s">
        <v>113</v>
      </c>
      <c r="E1208" s="321">
        <v>29</v>
      </c>
      <c r="F1208" s="316">
        <f t="shared" si="146"/>
        <v>1.0740740740740742</v>
      </c>
      <c r="G1208" s="321">
        <v>7.6</v>
      </c>
      <c r="H1208" s="321">
        <v>5.2</v>
      </c>
      <c r="I1208" s="315">
        <f t="shared" si="158"/>
        <v>102.75200000000001</v>
      </c>
      <c r="J1208" s="316">
        <f t="shared" si="147"/>
        <v>0.6023613276899088</v>
      </c>
    </row>
    <row r="1209" spans="1:10" s="316" customFormat="1">
      <c r="A1209" s="321">
        <v>43</v>
      </c>
      <c r="B1209" s="295">
        <f t="shared" si="148"/>
        <v>31</v>
      </c>
      <c r="C1209" s="321">
        <v>3.1</v>
      </c>
      <c r="D1209" s="321" t="s">
        <v>115</v>
      </c>
      <c r="E1209" s="321">
        <v>23</v>
      </c>
      <c r="F1209" s="316">
        <f t="shared" si="146"/>
        <v>0.95833333333333337</v>
      </c>
      <c r="G1209" s="321">
        <v>4.9000000000000004</v>
      </c>
      <c r="H1209" s="321">
        <v>4.5999999999999996</v>
      </c>
      <c r="I1209" s="315">
        <f t="shared" si="158"/>
        <v>51.841999999999999</v>
      </c>
      <c r="J1209" s="316">
        <f t="shared" si="147"/>
        <v>0.28535571762763179</v>
      </c>
    </row>
    <row r="1210" spans="1:10" s="316" customFormat="1">
      <c r="A1210" s="321">
        <v>43</v>
      </c>
      <c r="B1210" s="295">
        <f t="shared" si="148"/>
        <v>31</v>
      </c>
      <c r="C1210" s="321">
        <v>3.2</v>
      </c>
      <c r="D1210" s="321" t="s">
        <v>113</v>
      </c>
      <c r="E1210" s="321">
        <v>31</v>
      </c>
      <c r="F1210" s="316">
        <f t="shared" si="146"/>
        <v>1.0333333333333334</v>
      </c>
      <c r="G1210" s="321">
        <v>6.6</v>
      </c>
      <c r="H1210" s="321">
        <v>6.3</v>
      </c>
      <c r="I1210" s="315">
        <f t="shared" si="158"/>
        <v>130.97699999999998</v>
      </c>
      <c r="J1210" s="316">
        <f t="shared" si="147"/>
        <v>0.68254158502522189</v>
      </c>
    </row>
    <row r="1211" spans="1:10" s="316" customFormat="1">
      <c r="A1211" s="321">
        <v>43</v>
      </c>
      <c r="B1211" s="295">
        <f t="shared" si="148"/>
        <v>31</v>
      </c>
      <c r="C1211" s="321">
        <v>3.3</v>
      </c>
      <c r="D1211" s="321" t="s">
        <v>114</v>
      </c>
      <c r="E1211" s="321">
        <v>26</v>
      </c>
      <c r="F1211" s="316">
        <f t="shared" si="146"/>
        <v>1.04</v>
      </c>
      <c r="G1211" s="321">
        <v>12.8</v>
      </c>
      <c r="H1211" s="321">
        <v>11.1</v>
      </c>
      <c r="I1211" s="315">
        <f t="shared" si="158"/>
        <v>788.54399999999998</v>
      </c>
      <c r="J1211" s="316">
        <f t="shared" si="147"/>
        <v>3.8316034985422736</v>
      </c>
    </row>
    <row r="1212" spans="1:10" s="316" customFormat="1">
      <c r="A1212" s="321">
        <v>43</v>
      </c>
      <c r="B1212" s="295">
        <f t="shared" si="148"/>
        <v>31</v>
      </c>
      <c r="C1212" s="321">
        <v>3.4</v>
      </c>
      <c r="D1212" s="321" t="s">
        <v>114</v>
      </c>
      <c r="E1212" s="321"/>
      <c r="F1212" s="316" t="str">
        <f t="shared" si="146"/>
        <v/>
      </c>
      <c r="G1212" s="321"/>
      <c r="H1212" s="321"/>
      <c r="I1212" s="315"/>
      <c r="J1212" s="316" t="str">
        <f t="shared" si="147"/>
        <v/>
      </c>
    </row>
    <row r="1213" spans="1:10" s="316" customFormat="1">
      <c r="A1213" s="321">
        <v>43</v>
      </c>
      <c r="B1213" s="295">
        <f t="shared" si="148"/>
        <v>31</v>
      </c>
      <c r="C1213" s="321">
        <v>3.5</v>
      </c>
      <c r="D1213" s="321" t="s">
        <v>115</v>
      </c>
      <c r="E1213" s="321"/>
      <c r="F1213" s="316" t="str">
        <f t="shared" si="146"/>
        <v/>
      </c>
      <c r="G1213" s="321"/>
      <c r="H1213" s="321"/>
      <c r="I1213" s="315"/>
      <c r="J1213" s="316" t="str">
        <f t="shared" si="147"/>
        <v/>
      </c>
    </row>
    <row r="1214" spans="1:10" s="316" customFormat="1">
      <c r="A1214" s="321">
        <v>43</v>
      </c>
      <c r="B1214" s="295">
        <f t="shared" si="148"/>
        <v>31</v>
      </c>
      <c r="C1214" s="321">
        <v>4.0999999999999996</v>
      </c>
      <c r="D1214" s="321" t="s">
        <v>111</v>
      </c>
      <c r="E1214" s="321"/>
      <c r="F1214" s="316" t="str">
        <f t="shared" si="146"/>
        <v/>
      </c>
      <c r="G1214" s="321"/>
      <c r="H1214" s="321"/>
      <c r="I1214" s="315"/>
      <c r="J1214" s="316" t="str">
        <f t="shared" si="147"/>
        <v/>
      </c>
    </row>
    <row r="1215" spans="1:10" s="316" customFormat="1">
      <c r="A1215" s="321">
        <v>43</v>
      </c>
      <c r="B1215" s="295">
        <f t="shared" si="148"/>
        <v>31</v>
      </c>
      <c r="C1215" s="321">
        <v>4.2</v>
      </c>
      <c r="D1215" s="321" t="s">
        <v>112</v>
      </c>
      <c r="E1215" s="321">
        <v>32</v>
      </c>
      <c r="F1215" s="316">
        <f t="shared" si="146"/>
        <v>1.103448275862069</v>
      </c>
      <c r="G1215" s="321">
        <v>16.100000000000001</v>
      </c>
      <c r="H1215" s="321">
        <v>14.3</v>
      </c>
      <c r="I1215" s="315">
        <f t="shared" ref="I1215:I1216" si="159">G1215*(H1215^2)*0.5</f>
        <v>1646.1445000000001</v>
      </c>
      <c r="J1215" s="316">
        <f t="shared" si="147"/>
        <v>4.9457829334390917</v>
      </c>
    </row>
    <row r="1216" spans="1:10" s="316" customFormat="1">
      <c r="A1216" s="321">
        <v>43</v>
      </c>
      <c r="B1216" s="295">
        <f t="shared" si="148"/>
        <v>31</v>
      </c>
      <c r="C1216" s="321">
        <v>4.3</v>
      </c>
      <c r="D1216" s="321" t="s">
        <v>113</v>
      </c>
      <c r="E1216" s="321">
        <v>29</v>
      </c>
      <c r="F1216" s="316">
        <f t="shared" si="146"/>
        <v>1.1153846153846154</v>
      </c>
      <c r="G1216" s="321">
        <v>8.9</v>
      </c>
      <c r="H1216" s="321">
        <v>6.7</v>
      </c>
      <c r="I1216" s="315">
        <f t="shared" si="159"/>
        <v>199.76050000000001</v>
      </c>
      <c r="J1216" s="316">
        <f t="shared" si="147"/>
        <v>1.4344015682444853</v>
      </c>
    </row>
    <row r="1217" spans="1:11" s="316" customFormat="1">
      <c r="A1217" s="321">
        <v>43</v>
      </c>
      <c r="B1217" s="295">
        <f t="shared" si="148"/>
        <v>31</v>
      </c>
      <c r="C1217" s="321">
        <v>4.4000000000000004</v>
      </c>
      <c r="D1217" s="321" t="s">
        <v>112</v>
      </c>
      <c r="E1217" s="321"/>
      <c r="F1217" s="316" t="str">
        <f t="shared" si="146"/>
        <v/>
      </c>
      <c r="G1217" s="321"/>
      <c r="H1217" s="321"/>
      <c r="I1217" s="315"/>
      <c r="J1217" s="316" t="str">
        <f t="shared" si="147"/>
        <v/>
      </c>
    </row>
    <row r="1218" spans="1:11" s="316" customFormat="1">
      <c r="A1218" s="321">
        <v>43</v>
      </c>
      <c r="B1218" s="295">
        <f t="shared" si="148"/>
        <v>31</v>
      </c>
      <c r="C1218" s="321">
        <v>4.5</v>
      </c>
      <c r="D1218" s="321" t="s">
        <v>112</v>
      </c>
      <c r="E1218" s="321"/>
      <c r="F1218" s="316" t="str">
        <f t="shared" si="146"/>
        <v/>
      </c>
      <c r="G1218" s="321"/>
      <c r="H1218" s="321"/>
      <c r="I1218" s="315"/>
      <c r="J1218" s="316" t="str">
        <f t="shared" si="147"/>
        <v/>
      </c>
    </row>
    <row r="1219" spans="1:11" s="316" customFormat="1">
      <c r="A1219" s="321">
        <v>43</v>
      </c>
      <c r="B1219" s="295">
        <f t="shared" si="148"/>
        <v>31</v>
      </c>
      <c r="C1219" s="321">
        <v>5.0999999999999996</v>
      </c>
      <c r="D1219" s="321" t="s">
        <v>113</v>
      </c>
      <c r="E1219" s="321">
        <v>25</v>
      </c>
      <c r="F1219" s="316">
        <f t="shared" si="146"/>
        <v>1.0416666666666667</v>
      </c>
      <c r="G1219" s="321">
        <v>7.4</v>
      </c>
      <c r="H1219" s="321">
        <v>6.5</v>
      </c>
      <c r="I1219" s="315">
        <f t="shared" ref="I1219" si="160">G1219*(H1219^2)*0.5</f>
        <v>156.32500000000002</v>
      </c>
      <c r="J1219" s="316">
        <f t="shared" si="147"/>
        <v>0.94118957451548224</v>
      </c>
    </row>
    <row r="1220" spans="1:11">
      <c r="A1220" s="321">
        <v>43</v>
      </c>
      <c r="B1220" s="295">
        <f t="shared" si="148"/>
        <v>31</v>
      </c>
      <c r="C1220" s="321">
        <v>5.2</v>
      </c>
      <c r="D1220" s="321" t="s">
        <v>114</v>
      </c>
      <c r="E1220" s="321"/>
      <c r="F1220" s="316" t="str">
        <f t="shared" si="146"/>
        <v/>
      </c>
      <c r="G1220" s="321"/>
      <c r="H1220" s="321"/>
      <c r="J1220" s="316" t="str">
        <f t="shared" si="147"/>
        <v/>
      </c>
    </row>
    <row r="1221" spans="1:11">
      <c r="A1221" s="321">
        <v>43</v>
      </c>
      <c r="B1221" s="295">
        <f t="shared" si="148"/>
        <v>31</v>
      </c>
      <c r="C1221" s="321">
        <v>5.3</v>
      </c>
      <c r="D1221" s="321" t="s">
        <v>112</v>
      </c>
      <c r="E1221" s="321">
        <v>29</v>
      </c>
      <c r="F1221" s="316">
        <f t="shared" si="146"/>
        <v>1.0357142857142858</v>
      </c>
      <c r="G1221" s="321">
        <v>12.7</v>
      </c>
      <c r="H1221" s="321">
        <v>11.8</v>
      </c>
      <c r="I1221" s="315">
        <f t="shared" ref="I1221:I1224" si="161">G1221*(H1221^2)*0.5</f>
        <v>884.17399999999998</v>
      </c>
      <c r="J1221" s="316">
        <f t="shared" si="147"/>
        <v>3.7263524334530254</v>
      </c>
    </row>
    <row r="1222" spans="1:11">
      <c r="A1222" s="321">
        <v>43</v>
      </c>
      <c r="B1222" s="295">
        <f t="shared" si="148"/>
        <v>31</v>
      </c>
      <c r="C1222" s="321">
        <v>5.4</v>
      </c>
      <c r="D1222" s="321" t="s">
        <v>113</v>
      </c>
      <c r="E1222" s="321">
        <v>26</v>
      </c>
      <c r="F1222" s="316">
        <f t="shared" si="146"/>
        <v>1</v>
      </c>
      <c r="G1222" s="321">
        <v>7.2</v>
      </c>
      <c r="H1222" s="321">
        <v>5.7</v>
      </c>
      <c r="I1222" s="315">
        <f t="shared" si="161"/>
        <v>116.96400000000001</v>
      </c>
      <c r="J1222" s="316">
        <f t="shared" si="147"/>
        <v>0.65397819401733304</v>
      </c>
    </row>
    <row r="1223" spans="1:11">
      <c r="A1223" s="321">
        <v>43</v>
      </c>
      <c r="B1223" s="295">
        <f t="shared" si="148"/>
        <v>31</v>
      </c>
      <c r="C1223" s="321">
        <v>5.5</v>
      </c>
      <c r="D1223" s="321" t="s">
        <v>114</v>
      </c>
      <c r="E1223" s="321">
        <v>22</v>
      </c>
      <c r="F1223" s="316">
        <f t="shared" si="146"/>
        <v>1</v>
      </c>
      <c r="G1223" s="321">
        <v>6.6</v>
      </c>
      <c r="H1223" s="321">
        <v>5.7</v>
      </c>
      <c r="I1223" s="315">
        <f t="shared" si="161"/>
        <v>107.217</v>
      </c>
      <c r="J1223" s="316">
        <f t="shared" si="147"/>
        <v>1.0657541599570584</v>
      </c>
      <c r="K1223" s="316" t="s">
        <v>158</v>
      </c>
    </row>
    <row r="1224" spans="1:11">
      <c r="A1224" s="321">
        <v>43</v>
      </c>
      <c r="B1224" s="295">
        <f t="shared" si="148"/>
        <v>31</v>
      </c>
      <c r="C1224" s="321">
        <v>6.1</v>
      </c>
      <c r="D1224" s="321" t="s">
        <v>115</v>
      </c>
      <c r="E1224" s="321">
        <v>29</v>
      </c>
      <c r="F1224" s="316">
        <f t="shared" si="146"/>
        <v>1.1599999999999999</v>
      </c>
      <c r="G1224" s="321">
        <v>6.1</v>
      </c>
      <c r="H1224" s="321">
        <v>4.3</v>
      </c>
      <c r="I1224" s="315">
        <f t="shared" si="161"/>
        <v>56.394499999999994</v>
      </c>
      <c r="J1224" s="316">
        <f t="shared" si="147"/>
        <v>0.41916530399881063</v>
      </c>
    </row>
    <row r="1225" spans="1:11">
      <c r="A1225" s="321">
        <v>43</v>
      </c>
      <c r="B1225" s="295">
        <f t="shared" si="148"/>
        <v>31</v>
      </c>
      <c r="C1225" s="321">
        <v>6.2</v>
      </c>
      <c r="D1225" s="321" t="s">
        <v>115</v>
      </c>
      <c r="E1225" s="321"/>
      <c r="F1225" s="316" t="str">
        <f t="shared" ref="F1225:F1288" si="162">IF(ISBLANK(E1225),"",E1225/SUMIFS(E:E,C:C,C1225,B:B,"0"))</f>
        <v/>
      </c>
      <c r="G1225" s="321"/>
      <c r="H1225" s="321"/>
      <c r="J1225" s="316" t="str">
        <f t="shared" ref="J1225:J1288" si="163">IF(ISBLANK(I1225),"",I1225/SUMIFS(I:I,C:C,C1225,B:B,"0"))</f>
        <v/>
      </c>
    </row>
    <row r="1226" spans="1:11">
      <c r="A1226" s="321">
        <v>43</v>
      </c>
      <c r="B1226" s="295">
        <f t="shared" ref="B1226:B1289" si="164">A1226-12</f>
        <v>31</v>
      </c>
      <c r="C1226" s="321">
        <v>6.3</v>
      </c>
      <c r="D1226" s="321" t="s">
        <v>114</v>
      </c>
      <c r="E1226" s="321"/>
      <c r="F1226" s="316" t="str">
        <f t="shared" si="162"/>
        <v/>
      </c>
      <c r="G1226" s="321"/>
      <c r="H1226" s="321"/>
      <c r="J1226" s="316" t="str">
        <f t="shared" si="163"/>
        <v/>
      </c>
    </row>
    <row r="1227" spans="1:11">
      <c r="A1227" s="321">
        <v>43</v>
      </c>
      <c r="B1227" s="295">
        <f t="shared" si="164"/>
        <v>31</v>
      </c>
      <c r="C1227" s="321">
        <v>6.4</v>
      </c>
      <c r="D1227" s="321" t="s">
        <v>112</v>
      </c>
      <c r="E1227" s="321"/>
      <c r="F1227" s="316" t="str">
        <f t="shared" si="162"/>
        <v/>
      </c>
      <c r="G1227" s="321"/>
      <c r="H1227" s="321"/>
      <c r="J1227" s="316" t="str">
        <f t="shared" si="163"/>
        <v/>
      </c>
    </row>
    <row r="1228" spans="1:11">
      <c r="A1228" s="321">
        <v>43</v>
      </c>
      <c r="B1228" s="295">
        <f t="shared" si="164"/>
        <v>31</v>
      </c>
      <c r="C1228" s="321">
        <v>6.5</v>
      </c>
      <c r="D1228" s="321" t="s">
        <v>113</v>
      </c>
      <c r="E1228" s="321">
        <v>27</v>
      </c>
      <c r="F1228" s="316">
        <f t="shared" si="162"/>
        <v>1.125</v>
      </c>
      <c r="G1228" s="321">
        <v>11.1</v>
      </c>
      <c r="H1228" s="321">
        <v>10.6</v>
      </c>
      <c r="I1228" s="315">
        <f t="shared" ref="I1228:I1231" si="165">G1228*(H1228^2)*0.5</f>
        <v>623.59799999999996</v>
      </c>
      <c r="J1228" s="316">
        <f t="shared" si="163"/>
        <v>12.317985185185185</v>
      </c>
      <c r="K1228" s="316" t="s">
        <v>178</v>
      </c>
    </row>
    <row r="1229" spans="1:11">
      <c r="A1229" s="321">
        <v>43</v>
      </c>
      <c r="B1229" s="295">
        <f t="shared" si="164"/>
        <v>31</v>
      </c>
      <c r="C1229" s="321">
        <v>7.1</v>
      </c>
      <c r="D1229" s="321" t="s">
        <v>114</v>
      </c>
      <c r="E1229" s="321">
        <v>30</v>
      </c>
      <c r="F1229" s="316">
        <f t="shared" si="162"/>
        <v>1.1111111111111112</v>
      </c>
      <c r="G1229" s="321">
        <v>9.6999999999999993</v>
      </c>
      <c r="H1229" s="321">
        <v>9.6</v>
      </c>
      <c r="I1229" s="315">
        <f t="shared" si="165"/>
        <v>446.97599999999994</v>
      </c>
      <c r="J1229" s="316">
        <f t="shared" si="163"/>
        <v>3.3109333333333328</v>
      </c>
    </row>
    <row r="1230" spans="1:11">
      <c r="A1230" s="321">
        <v>43</v>
      </c>
      <c r="B1230" s="295">
        <f t="shared" si="164"/>
        <v>31</v>
      </c>
      <c r="C1230" s="321">
        <v>7.2</v>
      </c>
      <c r="D1230" s="321" t="s">
        <v>111</v>
      </c>
      <c r="E1230" s="321">
        <v>32</v>
      </c>
      <c r="F1230" s="316">
        <f t="shared" si="162"/>
        <v>1.103448275862069</v>
      </c>
      <c r="G1230" s="321">
        <v>15.4</v>
      </c>
      <c r="H1230" s="321">
        <v>13.8</v>
      </c>
      <c r="I1230" s="315">
        <f t="shared" si="165"/>
        <v>1466.3880000000001</v>
      </c>
      <c r="J1230" s="316">
        <f t="shared" si="163"/>
        <v>96.86801426872772</v>
      </c>
    </row>
    <row r="1231" spans="1:11">
      <c r="A1231" s="321">
        <v>43</v>
      </c>
      <c r="B1231" s="295">
        <f t="shared" si="164"/>
        <v>31</v>
      </c>
      <c r="C1231" s="321">
        <v>7.3</v>
      </c>
      <c r="D1231" s="321" t="s">
        <v>113</v>
      </c>
      <c r="E1231" s="321">
        <v>29</v>
      </c>
      <c r="F1231" s="316">
        <f t="shared" si="162"/>
        <v>1.0740740740740742</v>
      </c>
      <c r="G1231" s="321">
        <v>4.5999999999999996</v>
      </c>
      <c r="H1231" s="321">
        <v>4.0999999999999996</v>
      </c>
      <c r="I1231" s="315">
        <f t="shared" si="165"/>
        <v>38.662999999999997</v>
      </c>
      <c r="J1231" s="316">
        <f t="shared" si="163"/>
        <v>0.27059012905573754</v>
      </c>
      <c r="K1231" s="316" t="s">
        <v>135</v>
      </c>
    </row>
    <row r="1232" spans="1:11">
      <c r="A1232" s="321">
        <v>43</v>
      </c>
      <c r="B1232" s="295">
        <f t="shared" si="164"/>
        <v>31</v>
      </c>
      <c r="C1232" s="321">
        <v>7.4</v>
      </c>
      <c r="D1232" s="321" t="s">
        <v>115</v>
      </c>
      <c r="E1232" s="321"/>
      <c r="F1232" s="316" t="str">
        <f t="shared" si="162"/>
        <v/>
      </c>
      <c r="G1232" s="321"/>
      <c r="H1232" s="321"/>
      <c r="J1232" s="316" t="str">
        <f t="shared" si="163"/>
        <v/>
      </c>
    </row>
    <row r="1233" spans="1:11">
      <c r="A1233" s="321">
        <v>43</v>
      </c>
      <c r="B1233" s="295">
        <f t="shared" si="164"/>
        <v>31</v>
      </c>
      <c r="C1233" s="321">
        <v>7.5</v>
      </c>
      <c r="D1233" s="321" t="s">
        <v>111</v>
      </c>
      <c r="E1233" s="321"/>
      <c r="F1233" s="316" t="str">
        <f t="shared" si="162"/>
        <v/>
      </c>
      <c r="G1233" s="321"/>
      <c r="H1233" s="321"/>
      <c r="J1233" s="316" t="str">
        <f t="shared" si="163"/>
        <v/>
      </c>
    </row>
    <row r="1234" spans="1:11">
      <c r="A1234" s="321">
        <v>44</v>
      </c>
      <c r="B1234" s="295">
        <f t="shared" si="164"/>
        <v>32</v>
      </c>
      <c r="C1234" s="321">
        <v>1.1000000000000001</v>
      </c>
      <c r="D1234" s="321" t="s">
        <v>112</v>
      </c>
      <c r="E1234" s="321"/>
      <c r="F1234" s="316" t="str">
        <f t="shared" si="162"/>
        <v/>
      </c>
      <c r="G1234" s="321"/>
      <c r="H1234" s="321"/>
      <c r="J1234" s="316" t="str">
        <f t="shared" si="163"/>
        <v/>
      </c>
    </row>
    <row r="1235" spans="1:11">
      <c r="A1235" s="321">
        <v>44</v>
      </c>
      <c r="B1235" s="295">
        <f t="shared" si="164"/>
        <v>32</v>
      </c>
      <c r="C1235" s="321">
        <v>1.2</v>
      </c>
      <c r="D1235" s="321" t="s">
        <v>113</v>
      </c>
      <c r="E1235" s="321">
        <v>30</v>
      </c>
      <c r="F1235" s="316">
        <f t="shared" si="162"/>
        <v>1.1111111111111112</v>
      </c>
      <c r="G1235" s="321">
        <v>5.8</v>
      </c>
      <c r="H1235" s="321">
        <v>5.6</v>
      </c>
      <c r="I1235" s="315">
        <f t="shared" ref="I1235:I1236" si="166">G1235*(H1235^2)*0.5</f>
        <v>90.943999999999988</v>
      </c>
      <c r="J1235" s="316">
        <f t="shared" si="163"/>
        <v>0.43471963633147936</v>
      </c>
    </row>
    <row r="1236" spans="1:11">
      <c r="A1236" s="321">
        <v>44</v>
      </c>
      <c r="B1236" s="295">
        <f t="shared" si="164"/>
        <v>32</v>
      </c>
      <c r="C1236" s="321">
        <v>1.3</v>
      </c>
      <c r="D1236" s="321" t="s">
        <v>115</v>
      </c>
      <c r="E1236" s="321">
        <v>28</v>
      </c>
      <c r="F1236" s="316">
        <f t="shared" si="162"/>
        <v>1.1666666666666667</v>
      </c>
      <c r="G1236" s="321">
        <v>14.3</v>
      </c>
      <c r="H1236" s="321">
        <v>11.1</v>
      </c>
      <c r="I1236" s="315">
        <f t="shared" si="166"/>
        <v>880.95150000000001</v>
      </c>
      <c r="J1236" s="316">
        <f t="shared" si="163"/>
        <v>8.8855755265068979</v>
      </c>
    </row>
    <row r="1237" spans="1:11">
      <c r="A1237" s="321">
        <v>44</v>
      </c>
      <c r="B1237" s="295">
        <f t="shared" si="164"/>
        <v>32</v>
      </c>
      <c r="C1237" s="321">
        <v>1.4</v>
      </c>
      <c r="D1237" s="321" t="s">
        <v>115</v>
      </c>
      <c r="E1237" s="321"/>
      <c r="F1237" s="316" t="str">
        <f t="shared" si="162"/>
        <v/>
      </c>
      <c r="G1237" s="321"/>
      <c r="H1237" s="321"/>
      <c r="J1237" s="316" t="str">
        <f t="shared" si="163"/>
        <v/>
      </c>
    </row>
    <row r="1238" spans="1:11">
      <c r="A1238" s="321">
        <v>44</v>
      </c>
      <c r="B1238" s="295">
        <f t="shared" si="164"/>
        <v>32</v>
      </c>
      <c r="C1238" s="321">
        <v>1.5</v>
      </c>
      <c r="D1238" s="321" t="s">
        <v>112</v>
      </c>
      <c r="E1238" s="321">
        <v>29</v>
      </c>
      <c r="F1238" s="316">
        <f t="shared" si="162"/>
        <v>1.0357142857142858</v>
      </c>
      <c r="G1238" s="321">
        <v>11.9</v>
      </c>
      <c r="H1238" s="321">
        <v>10.1</v>
      </c>
      <c r="I1238" s="315">
        <f t="shared" ref="I1238:I1239" si="167">G1238*(H1238^2)*0.5</f>
        <v>606.95949999999993</v>
      </c>
      <c r="J1238" s="316">
        <f t="shared" si="163"/>
        <v>4.3583374023437491</v>
      </c>
    </row>
    <row r="1239" spans="1:11">
      <c r="A1239" s="321">
        <v>44</v>
      </c>
      <c r="B1239" s="295">
        <f t="shared" si="164"/>
        <v>32</v>
      </c>
      <c r="C1239" s="321">
        <v>2.1</v>
      </c>
      <c r="D1239" s="321" t="s">
        <v>114</v>
      </c>
      <c r="E1239" s="321">
        <v>31</v>
      </c>
      <c r="F1239" s="316">
        <f t="shared" si="162"/>
        <v>1.1923076923076923</v>
      </c>
      <c r="G1239" s="321">
        <v>10.5</v>
      </c>
      <c r="H1239" s="321">
        <v>10.4</v>
      </c>
      <c r="I1239" s="315">
        <f t="shared" si="167"/>
        <v>567.84</v>
      </c>
      <c r="J1239" s="316">
        <f t="shared" si="163"/>
        <v>3.0194699018129896</v>
      </c>
      <c r="K1239" s="316" t="s">
        <v>158</v>
      </c>
    </row>
    <row r="1240" spans="1:11">
      <c r="A1240" s="321">
        <v>44</v>
      </c>
      <c r="B1240" s="295">
        <f t="shared" si="164"/>
        <v>32</v>
      </c>
      <c r="C1240" s="321">
        <v>2.2000000000000002</v>
      </c>
      <c r="D1240" s="321" t="s">
        <v>115</v>
      </c>
      <c r="E1240" s="321"/>
      <c r="F1240" s="316" t="str">
        <f t="shared" si="162"/>
        <v/>
      </c>
      <c r="G1240" s="321"/>
      <c r="H1240" s="321"/>
      <c r="J1240" s="316" t="str">
        <f t="shared" si="163"/>
        <v/>
      </c>
    </row>
    <row r="1241" spans="1:11">
      <c r="A1241" s="321">
        <v>44</v>
      </c>
      <c r="B1241" s="295">
        <f t="shared" si="164"/>
        <v>32</v>
      </c>
      <c r="C1241" s="321">
        <v>2.2999999999999998</v>
      </c>
      <c r="D1241" s="321" t="s">
        <v>112</v>
      </c>
      <c r="E1241" s="321"/>
      <c r="F1241" s="316" t="str">
        <f t="shared" si="162"/>
        <v/>
      </c>
      <c r="G1241" s="321"/>
      <c r="H1241" s="321"/>
      <c r="J1241" s="316" t="str">
        <f t="shared" si="163"/>
        <v/>
      </c>
    </row>
    <row r="1242" spans="1:11">
      <c r="A1242" s="321">
        <v>44</v>
      </c>
      <c r="B1242" s="295">
        <f t="shared" si="164"/>
        <v>32</v>
      </c>
      <c r="C1242" s="321">
        <v>2.4</v>
      </c>
      <c r="D1242" s="321" t="s">
        <v>114</v>
      </c>
      <c r="E1242" s="321">
        <v>29</v>
      </c>
      <c r="F1242" s="316">
        <f t="shared" si="162"/>
        <v>1.1599999999999999</v>
      </c>
      <c r="G1242" s="321">
        <v>8.6999999999999993</v>
      </c>
      <c r="H1242" s="321">
        <v>7.6</v>
      </c>
      <c r="I1242" s="315">
        <f t="shared" ref="I1242:I1246" si="168">G1242*(H1242^2)*0.5</f>
        <v>251.25599999999997</v>
      </c>
      <c r="J1242" s="316">
        <f t="shared" si="163"/>
        <v>2.3372651162790694</v>
      </c>
    </row>
    <row r="1243" spans="1:11">
      <c r="A1243" s="321">
        <v>44</v>
      </c>
      <c r="B1243" s="295">
        <f t="shared" si="164"/>
        <v>32</v>
      </c>
      <c r="C1243" s="321">
        <v>2.5</v>
      </c>
      <c r="D1243" s="321" t="s">
        <v>113</v>
      </c>
      <c r="E1243" s="321">
        <v>30</v>
      </c>
      <c r="F1243" s="316">
        <f t="shared" si="162"/>
        <v>1.1111111111111112</v>
      </c>
      <c r="G1243" s="321">
        <v>6.9</v>
      </c>
      <c r="H1243" s="321">
        <v>5.9</v>
      </c>
      <c r="I1243" s="315">
        <f t="shared" si="168"/>
        <v>120.09450000000001</v>
      </c>
      <c r="J1243" s="316">
        <f t="shared" si="163"/>
        <v>0.70402797481563129</v>
      </c>
    </row>
    <row r="1244" spans="1:11">
      <c r="A1244" s="321">
        <v>44</v>
      </c>
      <c r="B1244" s="295">
        <f t="shared" si="164"/>
        <v>32</v>
      </c>
      <c r="C1244" s="321">
        <v>3.1</v>
      </c>
      <c r="D1244" s="321" t="s">
        <v>115</v>
      </c>
      <c r="E1244" s="321">
        <v>23</v>
      </c>
      <c r="F1244" s="316">
        <f t="shared" si="162"/>
        <v>0.95833333333333337</v>
      </c>
      <c r="G1244" s="321">
        <v>4.5999999999999996</v>
      </c>
      <c r="H1244" s="321">
        <v>4.5</v>
      </c>
      <c r="I1244" s="315">
        <f t="shared" si="168"/>
        <v>46.574999999999996</v>
      </c>
      <c r="J1244" s="316">
        <f t="shared" si="163"/>
        <v>0.25636438695472685</v>
      </c>
    </row>
    <row r="1245" spans="1:11">
      <c r="A1245" s="321">
        <v>44</v>
      </c>
      <c r="B1245" s="295">
        <f t="shared" si="164"/>
        <v>32</v>
      </c>
      <c r="C1245" s="321">
        <v>3.2</v>
      </c>
      <c r="D1245" s="321" t="s">
        <v>113</v>
      </c>
      <c r="E1245" s="321">
        <v>32</v>
      </c>
      <c r="F1245" s="316">
        <f t="shared" si="162"/>
        <v>1.0666666666666667</v>
      </c>
      <c r="G1245" s="321">
        <v>6</v>
      </c>
      <c r="H1245" s="321">
        <v>5.7</v>
      </c>
      <c r="I1245" s="315">
        <f t="shared" si="168"/>
        <v>97.47</v>
      </c>
      <c r="J1245" s="316">
        <f t="shared" si="163"/>
        <v>0.50793137949722766</v>
      </c>
    </row>
    <row r="1246" spans="1:11">
      <c r="A1246" s="321">
        <v>44</v>
      </c>
      <c r="B1246" s="295">
        <f t="shared" si="164"/>
        <v>32</v>
      </c>
      <c r="C1246" s="321">
        <v>3.3</v>
      </c>
      <c r="D1246" s="321" t="s">
        <v>114</v>
      </c>
      <c r="E1246" s="321">
        <v>28</v>
      </c>
      <c r="F1246" s="316">
        <f t="shared" si="162"/>
        <v>1.1200000000000001</v>
      </c>
      <c r="G1246" s="321">
        <v>11.8</v>
      </c>
      <c r="H1246" s="321">
        <v>10.199999999999999</v>
      </c>
      <c r="I1246" s="315">
        <f t="shared" si="168"/>
        <v>613.83600000000001</v>
      </c>
      <c r="J1246" s="316">
        <f t="shared" si="163"/>
        <v>2.9826822157434401</v>
      </c>
    </row>
    <row r="1247" spans="1:11">
      <c r="A1247" s="321">
        <v>44</v>
      </c>
      <c r="B1247" s="295">
        <f t="shared" si="164"/>
        <v>32</v>
      </c>
      <c r="C1247" s="321">
        <v>3.4</v>
      </c>
      <c r="D1247" s="321" t="s">
        <v>114</v>
      </c>
      <c r="E1247" s="321"/>
      <c r="F1247" s="316" t="str">
        <f t="shared" si="162"/>
        <v/>
      </c>
      <c r="G1247" s="321"/>
      <c r="H1247" s="321"/>
      <c r="J1247" s="316" t="str">
        <f t="shared" si="163"/>
        <v/>
      </c>
    </row>
    <row r="1248" spans="1:11">
      <c r="A1248" s="321">
        <v>44</v>
      </c>
      <c r="B1248" s="295">
        <f t="shared" si="164"/>
        <v>32</v>
      </c>
      <c r="C1248" s="321">
        <v>3.5</v>
      </c>
      <c r="D1248" s="321" t="s">
        <v>115</v>
      </c>
      <c r="E1248" s="321"/>
      <c r="F1248" s="316" t="str">
        <f t="shared" si="162"/>
        <v/>
      </c>
      <c r="G1248" s="321"/>
      <c r="H1248" s="321"/>
      <c r="J1248" s="316" t="str">
        <f t="shared" si="163"/>
        <v/>
      </c>
    </row>
    <row r="1249" spans="1:11">
      <c r="A1249" s="321">
        <v>44</v>
      </c>
      <c r="B1249" s="295">
        <f t="shared" si="164"/>
        <v>32</v>
      </c>
      <c r="C1249" s="321">
        <v>4.0999999999999996</v>
      </c>
      <c r="D1249" s="321" t="s">
        <v>111</v>
      </c>
      <c r="E1249" s="321"/>
      <c r="F1249" s="316" t="str">
        <f t="shared" si="162"/>
        <v/>
      </c>
      <c r="G1249" s="321"/>
      <c r="H1249" s="321"/>
      <c r="J1249" s="316" t="str">
        <f t="shared" si="163"/>
        <v/>
      </c>
    </row>
    <row r="1250" spans="1:11">
      <c r="A1250" s="321">
        <v>44</v>
      </c>
      <c r="B1250" s="295">
        <f t="shared" si="164"/>
        <v>32</v>
      </c>
      <c r="C1250" s="321">
        <v>4.2</v>
      </c>
      <c r="D1250" s="321" t="s">
        <v>112</v>
      </c>
      <c r="E1250" s="321">
        <v>33</v>
      </c>
      <c r="F1250" s="316">
        <f t="shared" si="162"/>
        <v>1.1379310344827587</v>
      </c>
      <c r="G1250" s="321">
        <v>16.100000000000001</v>
      </c>
      <c r="H1250" s="321">
        <v>14.7</v>
      </c>
      <c r="I1250" s="315">
        <f t="shared" ref="I1250:I1251" si="169">G1250*(H1250^2)*0.5</f>
        <v>1739.5245</v>
      </c>
      <c r="J1250" s="316">
        <f t="shared" si="163"/>
        <v>5.2263398410037318</v>
      </c>
      <c r="K1250" s="316" t="s">
        <v>172</v>
      </c>
    </row>
    <row r="1251" spans="1:11">
      <c r="A1251" s="321">
        <v>44</v>
      </c>
      <c r="B1251" s="295">
        <f t="shared" si="164"/>
        <v>32</v>
      </c>
      <c r="C1251" s="321">
        <v>4.3</v>
      </c>
      <c r="D1251" s="321" t="s">
        <v>113</v>
      </c>
      <c r="E1251" s="321">
        <v>29</v>
      </c>
      <c r="F1251" s="316">
        <f t="shared" si="162"/>
        <v>1.1153846153846154</v>
      </c>
      <c r="G1251" s="321">
        <v>8.4</v>
      </c>
      <c r="H1251" s="321">
        <v>7.3</v>
      </c>
      <c r="I1251" s="315">
        <f t="shared" si="169"/>
        <v>223.81800000000001</v>
      </c>
      <c r="J1251" s="316">
        <f t="shared" si="163"/>
        <v>1.6071490119485294</v>
      </c>
    </row>
    <row r="1252" spans="1:11">
      <c r="A1252" s="321">
        <v>44</v>
      </c>
      <c r="B1252" s="295">
        <f t="shared" si="164"/>
        <v>32</v>
      </c>
      <c r="C1252" s="321">
        <v>4.4000000000000004</v>
      </c>
      <c r="D1252" s="321" t="s">
        <v>112</v>
      </c>
      <c r="E1252" s="321"/>
      <c r="F1252" s="316" t="str">
        <f t="shared" si="162"/>
        <v/>
      </c>
      <c r="G1252" s="321"/>
      <c r="H1252" s="321"/>
      <c r="J1252" s="316" t="str">
        <f t="shared" si="163"/>
        <v/>
      </c>
    </row>
    <row r="1253" spans="1:11">
      <c r="A1253" s="321">
        <v>44</v>
      </c>
      <c r="B1253" s="295">
        <f t="shared" si="164"/>
        <v>32</v>
      </c>
      <c r="C1253" s="321">
        <v>4.5</v>
      </c>
      <c r="D1253" s="321" t="s">
        <v>112</v>
      </c>
      <c r="E1253" s="321"/>
      <c r="F1253" s="316" t="str">
        <f t="shared" si="162"/>
        <v/>
      </c>
      <c r="G1253" s="321"/>
      <c r="H1253" s="321"/>
      <c r="J1253" s="316" t="str">
        <f t="shared" si="163"/>
        <v/>
      </c>
    </row>
    <row r="1254" spans="1:11">
      <c r="A1254" s="321">
        <v>44</v>
      </c>
      <c r="B1254" s="295">
        <f t="shared" si="164"/>
        <v>32</v>
      </c>
      <c r="C1254" s="321">
        <v>5.0999999999999996</v>
      </c>
      <c r="D1254" s="321" t="s">
        <v>113</v>
      </c>
      <c r="E1254" s="321">
        <v>27</v>
      </c>
      <c r="F1254" s="316">
        <f t="shared" si="162"/>
        <v>1.125</v>
      </c>
      <c r="G1254" s="321">
        <v>7.5</v>
      </c>
      <c r="H1254" s="321">
        <v>6.3</v>
      </c>
      <c r="I1254" s="315">
        <f t="shared" ref="I1254" si="170">G1254*(H1254^2)*0.5</f>
        <v>148.83749999999998</v>
      </c>
      <c r="J1254" s="316">
        <f t="shared" si="163"/>
        <v>0.89610940858434707</v>
      </c>
    </row>
    <row r="1255" spans="1:11">
      <c r="A1255" s="321">
        <v>44</v>
      </c>
      <c r="B1255" s="295">
        <f t="shared" si="164"/>
        <v>32</v>
      </c>
      <c r="C1255" s="321">
        <v>5.2</v>
      </c>
      <c r="D1255" s="321" t="s">
        <v>114</v>
      </c>
      <c r="E1255" s="321"/>
      <c r="F1255" s="316" t="str">
        <f t="shared" si="162"/>
        <v/>
      </c>
      <c r="G1255" s="321"/>
      <c r="H1255" s="321"/>
      <c r="J1255" s="316" t="str">
        <f t="shared" si="163"/>
        <v/>
      </c>
    </row>
    <row r="1256" spans="1:11">
      <c r="A1256" s="321">
        <v>44</v>
      </c>
      <c r="B1256" s="295">
        <f t="shared" si="164"/>
        <v>32</v>
      </c>
      <c r="C1256" s="321">
        <v>5.3</v>
      </c>
      <c r="D1256" s="321" t="s">
        <v>112</v>
      </c>
      <c r="E1256" s="321">
        <v>28</v>
      </c>
      <c r="F1256" s="316">
        <f t="shared" si="162"/>
        <v>1</v>
      </c>
      <c r="G1256" s="321">
        <v>12.6</v>
      </c>
      <c r="H1256" s="321">
        <v>12.4</v>
      </c>
      <c r="I1256" s="315">
        <f t="shared" ref="I1256:I1259" si="171">G1256*(H1256^2)*0.5</f>
        <v>968.6880000000001</v>
      </c>
      <c r="J1256" s="316">
        <f t="shared" si="163"/>
        <v>4.082536792595965</v>
      </c>
    </row>
    <row r="1257" spans="1:11">
      <c r="A1257" s="321">
        <v>44</v>
      </c>
      <c r="B1257" s="295">
        <f t="shared" si="164"/>
        <v>32</v>
      </c>
      <c r="C1257" s="321">
        <v>5.4</v>
      </c>
      <c r="D1257" s="321" t="s">
        <v>113</v>
      </c>
      <c r="E1257" s="321">
        <v>27</v>
      </c>
      <c r="F1257" s="316">
        <f t="shared" si="162"/>
        <v>1.0384615384615385</v>
      </c>
      <c r="G1257" s="321">
        <v>7.4</v>
      </c>
      <c r="H1257" s="321">
        <v>5.9</v>
      </c>
      <c r="I1257" s="315">
        <f t="shared" si="171"/>
        <v>128.79700000000003</v>
      </c>
      <c r="J1257" s="316">
        <f t="shared" si="163"/>
        <v>0.72013978194017347</v>
      </c>
    </row>
    <row r="1258" spans="1:11">
      <c r="A1258" s="321">
        <v>44</v>
      </c>
      <c r="B1258" s="295">
        <f t="shared" si="164"/>
        <v>32</v>
      </c>
      <c r="C1258" s="321">
        <v>5.5</v>
      </c>
      <c r="D1258" s="321" t="s">
        <v>114</v>
      </c>
      <c r="E1258" s="321">
        <v>23</v>
      </c>
      <c r="F1258" s="316">
        <f t="shared" si="162"/>
        <v>1.0454545454545454</v>
      </c>
      <c r="G1258" s="321">
        <v>7.7</v>
      </c>
      <c r="H1258" s="321">
        <v>6.6</v>
      </c>
      <c r="I1258" s="315">
        <f t="shared" si="171"/>
        <v>167.70599999999999</v>
      </c>
      <c r="J1258" s="316">
        <f t="shared" si="163"/>
        <v>1.6670245124351399</v>
      </c>
      <c r="K1258" s="316" t="s">
        <v>167</v>
      </c>
    </row>
    <row r="1259" spans="1:11">
      <c r="A1259" s="321">
        <v>44</v>
      </c>
      <c r="B1259" s="295">
        <f t="shared" si="164"/>
        <v>32</v>
      </c>
      <c r="C1259" s="321">
        <v>6.1</v>
      </c>
      <c r="D1259" s="321" t="s">
        <v>115</v>
      </c>
      <c r="E1259" s="321">
        <v>30</v>
      </c>
      <c r="F1259" s="316">
        <f t="shared" si="162"/>
        <v>1.2</v>
      </c>
      <c r="G1259" s="321">
        <v>7.2</v>
      </c>
      <c r="H1259" s="321">
        <v>5.0999999999999996</v>
      </c>
      <c r="I1259" s="315">
        <f t="shared" si="171"/>
        <v>93.635999999999996</v>
      </c>
      <c r="J1259" s="316">
        <f t="shared" si="163"/>
        <v>0.69597145830236351</v>
      </c>
    </row>
    <row r="1260" spans="1:11">
      <c r="A1260" s="321">
        <v>44</v>
      </c>
      <c r="B1260" s="295">
        <f t="shared" si="164"/>
        <v>32</v>
      </c>
      <c r="C1260" s="321">
        <v>6.2</v>
      </c>
      <c r="D1260" s="321" t="s">
        <v>115</v>
      </c>
      <c r="E1260" s="321"/>
      <c r="F1260" s="316" t="str">
        <f t="shared" si="162"/>
        <v/>
      </c>
      <c r="G1260" s="321"/>
      <c r="H1260" s="321"/>
      <c r="J1260" s="316" t="str">
        <f t="shared" si="163"/>
        <v/>
      </c>
    </row>
    <row r="1261" spans="1:11">
      <c r="A1261" s="321">
        <v>44</v>
      </c>
      <c r="B1261" s="295">
        <f t="shared" si="164"/>
        <v>32</v>
      </c>
      <c r="C1261" s="321">
        <v>6.3</v>
      </c>
      <c r="D1261" s="321" t="s">
        <v>114</v>
      </c>
      <c r="E1261" s="321"/>
      <c r="F1261" s="316" t="str">
        <f t="shared" si="162"/>
        <v/>
      </c>
      <c r="G1261" s="321"/>
      <c r="H1261" s="321"/>
      <c r="J1261" s="316" t="str">
        <f t="shared" si="163"/>
        <v/>
      </c>
    </row>
    <row r="1262" spans="1:11">
      <c r="A1262" s="321">
        <v>44</v>
      </c>
      <c r="B1262" s="295">
        <f t="shared" si="164"/>
        <v>32</v>
      </c>
      <c r="C1262" s="321">
        <v>6.4</v>
      </c>
      <c r="D1262" s="321" t="s">
        <v>112</v>
      </c>
      <c r="E1262" s="321"/>
      <c r="F1262" s="316" t="str">
        <f t="shared" si="162"/>
        <v/>
      </c>
      <c r="G1262" s="321"/>
      <c r="H1262" s="321"/>
      <c r="J1262" s="316" t="str">
        <f t="shared" si="163"/>
        <v/>
      </c>
    </row>
    <row r="1263" spans="1:11">
      <c r="A1263" s="321">
        <v>44</v>
      </c>
      <c r="B1263" s="295">
        <f t="shared" si="164"/>
        <v>32</v>
      </c>
      <c r="C1263" s="321">
        <v>6.5</v>
      </c>
      <c r="D1263" s="321" t="s">
        <v>113</v>
      </c>
      <c r="E1263" s="321">
        <v>25</v>
      </c>
      <c r="F1263" s="316">
        <f t="shared" si="162"/>
        <v>1.0416666666666667</v>
      </c>
      <c r="G1263" s="321">
        <v>10.5</v>
      </c>
      <c r="H1263" s="321">
        <v>9.3000000000000007</v>
      </c>
      <c r="I1263" s="315">
        <f t="shared" ref="I1263:I1266" si="172">G1263*(H1263^2)*0.5</f>
        <v>454.07250000000005</v>
      </c>
      <c r="J1263" s="316">
        <f t="shared" si="163"/>
        <v>8.9693333333333349</v>
      </c>
      <c r="K1263" s="316" t="s">
        <v>179</v>
      </c>
    </row>
    <row r="1264" spans="1:11">
      <c r="A1264" s="321">
        <v>44</v>
      </c>
      <c r="B1264" s="295">
        <f t="shared" si="164"/>
        <v>32</v>
      </c>
      <c r="C1264" s="321">
        <v>7.1</v>
      </c>
      <c r="D1264" s="321" t="s">
        <v>114</v>
      </c>
      <c r="E1264" s="321">
        <v>31</v>
      </c>
      <c r="F1264" s="316">
        <f t="shared" si="162"/>
        <v>1.1481481481481481</v>
      </c>
      <c r="G1264" s="321">
        <v>10.6</v>
      </c>
      <c r="H1264" s="321">
        <v>10.1</v>
      </c>
      <c r="I1264" s="315">
        <f t="shared" si="172"/>
        <v>540.65299999999991</v>
      </c>
      <c r="J1264" s="316">
        <f t="shared" si="163"/>
        <v>4.0048370370370368</v>
      </c>
    </row>
    <row r="1265" spans="1:11">
      <c r="A1265" s="321">
        <v>44</v>
      </c>
      <c r="B1265" s="295">
        <f t="shared" si="164"/>
        <v>32</v>
      </c>
      <c r="C1265" s="321">
        <v>7.2</v>
      </c>
      <c r="D1265" s="321" t="s">
        <v>111</v>
      </c>
      <c r="E1265" s="321">
        <v>32</v>
      </c>
      <c r="F1265" s="316">
        <f t="shared" si="162"/>
        <v>1.103448275862069</v>
      </c>
      <c r="G1265" s="321">
        <v>15.6</v>
      </c>
      <c r="H1265" s="321">
        <v>14.8</v>
      </c>
      <c r="I1265" s="315">
        <f t="shared" si="172"/>
        <v>1708.5120000000002</v>
      </c>
      <c r="J1265" s="316">
        <f t="shared" si="163"/>
        <v>112.86246531906461</v>
      </c>
      <c r="K1265" s="316" t="s">
        <v>172</v>
      </c>
    </row>
    <row r="1266" spans="1:11">
      <c r="A1266" s="321">
        <v>44</v>
      </c>
      <c r="B1266" s="295">
        <f t="shared" si="164"/>
        <v>32</v>
      </c>
      <c r="C1266" s="321">
        <v>7.3</v>
      </c>
      <c r="D1266" s="321" t="s">
        <v>113</v>
      </c>
      <c r="E1266" s="321">
        <v>30</v>
      </c>
      <c r="F1266" s="316">
        <f t="shared" si="162"/>
        <v>1.1111111111111112</v>
      </c>
      <c r="G1266" s="321">
        <v>5.6</v>
      </c>
      <c r="H1266" s="321">
        <v>4</v>
      </c>
      <c r="I1266" s="315">
        <f t="shared" si="172"/>
        <v>44.8</v>
      </c>
      <c r="J1266" s="316">
        <f t="shared" si="163"/>
        <v>0.31354105428179502</v>
      </c>
      <c r="K1266" s="316" t="s">
        <v>141</v>
      </c>
    </row>
    <row r="1267" spans="1:11">
      <c r="A1267" s="321">
        <v>44</v>
      </c>
      <c r="B1267" s="295">
        <f t="shared" si="164"/>
        <v>32</v>
      </c>
      <c r="C1267" s="321">
        <v>7.4</v>
      </c>
      <c r="D1267" s="321" t="s">
        <v>115</v>
      </c>
      <c r="E1267" s="321"/>
      <c r="F1267" s="316" t="str">
        <f t="shared" si="162"/>
        <v/>
      </c>
      <c r="G1267" s="321"/>
      <c r="H1267" s="321"/>
      <c r="J1267" s="316" t="str">
        <f t="shared" si="163"/>
        <v/>
      </c>
    </row>
    <row r="1268" spans="1:11" s="316" customFormat="1">
      <c r="A1268" s="321">
        <v>44</v>
      </c>
      <c r="B1268" s="295">
        <f t="shared" si="164"/>
        <v>32</v>
      </c>
      <c r="C1268" s="321">
        <v>7.5</v>
      </c>
      <c r="D1268" s="321" t="s">
        <v>111</v>
      </c>
      <c r="E1268" s="321"/>
      <c r="F1268" s="316" t="str">
        <f t="shared" si="162"/>
        <v/>
      </c>
      <c r="G1268" s="321"/>
      <c r="H1268" s="321"/>
      <c r="I1268" s="315"/>
      <c r="J1268" s="316" t="str">
        <f t="shared" si="163"/>
        <v/>
      </c>
    </row>
    <row r="1269" spans="1:11" s="316" customFormat="1">
      <c r="A1269" s="321">
        <v>44</v>
      </c>
      <c r="B1269" s="295">
        <f t="shared" si="164"/>
        <v>32</v>
      </c>
      <c r="C1269" s="321">
        <v>1.1000000000000001</v>
      </c>
      <c r="D1269" s="321" t="s">
        <v>112</v>
      </c>
      <c r="E1269" s="321"/>
      <c r="F1269" s="316" t="str">
        <f t="shared" si="162"/>
        <v/>
      </c>
      <c r="G1269" s="321"/>
      <c r="H1269" s="321"/>
      <c r="I1269" s="315"/>
      <c r="J1269" s="316" t="str">
        <f t="shared" si="163"/>
        <v/>
      </c>
    </row>
    <row r="1270" spans="1:11" s="316" customFormat="1">
      <c r="A1270" s="321">
        <v>44</v>
      </c>
      <c r="B1270" s="295">
        <f t="shared" si="164"/>
        <v>32</v>
      </c>
      <c r="C1270" s="321">
        <v>1.2</v>
      </c>
      <c r="D1270" s="321" t="s">
        <v>113</v>
      </c>
      <c r="E1270" s="321">
        <v>30</v>
      </c>
      <c r="F1270" s="316">
        <f t="shared" si="162"/>
        <v>1.1111111111111112</v>
      </c>
      <c r="G1270" s="321">
        <v>5.8</v>
      </c>
      <c r="H1270" s="321">
        <v>5.6</v>
      </c>
      <c r="I1270" s="315">
        <f t="shared" ref="I1270:I1271" si="173">G1270*(H1270^2)*0.5</f>
        <v>90.943999999999988</v>
      </c>
      <c r="J1270" s="316">
        <f t="shared" si="163"/>
        <v>0.43471963633147936</v>
      </c>
    </row>
    <row r="1271" spans="1:11" s="316" customFormat="1">
      <c r="A1271" s="321">
        <v>44</v>
      </c>
      <c r="B1271" s="295">
        <f t="shared" si="164"/>
        <v>32</v>
      </c>
      <c r="C1271" s="321">
        <v>1.3</v>
      </c>
      <c r="D1271" s="321" t="s">
        <v>115</v>
      </c>
      <c r="E1271" s="321">
        <v>28</v>
      </c>
      <c r="F1271" s="316">
        <f t="shared" si="162"/>
        <v>1.1666666666666667</v>
      </c>
      <c r="G1271" s="321">
        <v>14.3</v>
      </c>
      <c r="H1271" s="321">
        <v>11.1</v>
      </c>
      <c r="I1271" s="315">
        <f t="shared" si="173"/>
        <v>880.95150000000001</v>
      </c>
      <c r="J1271" s="316">
        <f t="shared" si="163"/>
        <v>8.8855755265068979</v>
      </c>
    </row>
    <row r="1272" spans="1:11" s="316" customFormat="1">
      <c r="A1272" s="321">
        <v>44</v>
      </c>
      <c r="B1272" s="295">
        <f t="shared" si="164"/>
        <v>32</v>
      </c>
      <c r="C1272" s="321">
        <v>1.4</v>
      </c>
      <c r="D1272" s="321" t="s">
        <v>115</v>
      </c>
      <c r="E1272" s="321"/>
      <c r="F1272" s="316" t="str">
        <f t="shared" si="162"/>
        <v/>
      </c>
      <c r="G1272" s="321"/>
      <c r="H1272" s="321"/>
      <c r="I1272" s="315"/>
      <c r="J1272" s="316" t="str">
        <f t="shared" si="163"/>
        <v/>
      </c>
    </row>
    <row r="1273" spans="1:11" s="316" customFormat="1">
      <c r="A1273" s="321">
        <v>44</v>
      </c>
      <c r="B1273" s="295">
        <f t="shared" si="164"/>
        <v>32</v>
      </c>
      <c r="C1273" s="321">
        <v>1.5</v>
      </c>
      <c r="D1273" s="321" t="s">
        <v>112</v>
      </c>
      <c r="E1273" s="321">
        <v>29</v>
      </c>
      <c r="F1273" s="316">
        <f t="shared" si="162"/>
        <v>1.0357142857142858</v>
      </c>
      <c r="G1273" s="321">
        <v>11.9</v>
      </c>
      <c r="H1273" s="321">
        <v>10.1</v>
      </c>
      <c r="I1273" s="315">
        <f t="shared" ref="I1273:I1274" si="174">G1273*(H1273^2)*0.5</f>
        <v>606.95949999999993</v>
      </c>
      <c r="J1273" s="316">
        <f t="shared" si="163"/>
        <v>4.3583374023437491</v>
      </c>
    </row>
    <row r="1274" spans="1:11" s="316" customFormat="1">
      <c r="A1274" s="321">
        <v>44</v>
      </c>
      <c r="B1274" s="295">
        <f t="shared" si="164"/>
        <v>32</v>
      </c>
      <c r="C1274" s="321">
        <v>2.1</v>
      </c>
      <c r="D1274" s="321" t="s">
        <v>114</v>
      </c>
      <c r="E1274" s="321">
        <v>31</v>
      </c>
      <c r="F1274" s="316">
        <f t="shared" si="162"/>
        <v>1.1923076923076923</v>
      </c>
      <c r="G1274" s="321">
        <v>10.5</v>
      </c>
      <c r="H1274" s="321">
        <v>10.4</v>
      </c>
      <c r="I1274" s="315">
        <f t="shared" si="174"/>
        <v>567.84</v>
      </c>
      <c r="J1274" s="316">
        <f t="shared" si="163"/>
        <v>3.0194699018129896</v>
      </c>
    </row>
    <row r="1275" spans="1:11" s="316" customFormat="1">
      <c r="A1275" s="321">
        <v>44</v>
      </c>
      <c r="B1275" s="295">
        <f t="shared" si="164"/>
        <v>32</v>
      </c>
      <c r="C1275" s="321">
        <v>2.2000000000000002</v>
      </c>
      <c r="D1275" s="321" t="s">
        <v>115</v>
      </c>
      <c r="E1275" s="321"/>
      <c r="F1275" s="316" t="str">
        <f t="shared" si="162"/>
        <v/>
      </c>
      <c r="G1275" s="321"/>
      <c r="H1275" s="321"/>
      <c r="I1275" s="315"/>
      <c r="J1275" s="316" t="str">
        <f t="shared" si="163"/>
        <v/>
      </c>
    </row>
    <row r="1276" spans="1:11" s="316" customFormat="1">
      <c r="A1276" s="321">
        <v>44</v>
      </c>
      <c r="B1276" s="295">
        <f t="shared" si="164"/>
        <v>32</v>
      </c>
      <c r="C1276" s="321">
        <v>2.2999999999999998</v>
      </c>
      <c r="D1276" s="321" t="s">
        <v>112</v>
      </c>
      <c r="E1276" s="321"/>
      <c r="F1276" s="316" t="str">
        <f t="shared" si="162"/>
        <v/>
      </c>
      <c r="G1276" s="321"/>
      <c r="H1276" s="321"/>
      <c r="I1276" s="315"/>
      <c r="J1276" s="316" t="str">
        <f t="shared" si="163"/>
        <v/>
      </c>
    </row>
    <row r="1277" spans="1:11" s="316" customFormat="1">
      <c r="A1277" s="321">
        <v>44</v>
      </c>
      <c r="B1277" s="295">
        <f t="shared" si="164"/>
        <v>32</v>
      </c>
      <c r="C1277" s="321">
        <v>2.4</v>
      </c>
      <c r="D1277" s="321" t="s">
        <v>114</v>
      </c>
      <c r="E1277" s="321">
        <v>29</v>
      </c>
      <c r="F1277" s="316">
        <f t="shared" si="162"/>
        <v>1.1599999999999999</v>
      </c>
      <c r="G1277" s="321">
        <v>8.6999999999999993</v>
      </c>
      <c r="H1277" s="321">
        <v>7.6</v>
      </c>
      <c r="I1277" s="315">
        <f t="shared" ref="I1277:I1281" si="175">G1277*(H1277^2)*0.5</f>
        <v>251.25599999999997</v>
      </c>
      <c r="J1277" s="316">
        <f t="shared" si="163"/>
        <v>2.3372651162790694</v>
      </c>
    </row>
    <row r="1278" spans="1:11" s="316" customFormat="1">
      <c r="A1278" s="321">
        <v>44</v>
      </c>
      <c r="B1278" s="295">
        <f t="shared" si="164"/>
        <v>32</v>
      </c>
      <c r="C1278" s="321">
        <v>2.5</v>
      </c>
      <c r="D1278" s="321" t="s">
        <v>113</v>
      </c>
      <c r="E1278" s="321">
        <v>30</v>
      </c>
      <c r="F1278" s="316">
        <f t="shared" si="162"/>
        <v>1.1111111111111112</v>
      </c>
      <c r="G1278" s="321">
        <v>6.9</v>
      </c>
      <c r="H1278" s="321">
        <v>5.9</v>
      </c>
      <c r="I1278" s="315">
        <f t="shared" si="175"/>
        <v>120.09450000000001</v>
      </c>
      <c r="J1278" s="316">
        <f t="shared" si="163"/>
        <v>0.70402797481563129</v>
      </c>
    </row>
    <row r="1279" spans="1:11" s="316" customFormat="1">
      <c r="A1279" s="321">
        <v>44</v>
      </c>
      <c r="B1279" s="295">
        <f t="shared" si="164"/>
        <v>32</v>
      </c>
      <c r="C1279" s="321">
        <v>3.1</v>
      </c>
      <c r="D1279" s="321" t="s">
        <v>115</v>
      </c>
      <c r="E1279" s="321">
        <v>23</v>
      </c>
      <c r="F1279" s="316">
        <f t="shared" si="162"/>
        <v>0.95833333333333337</v>
      </c>
      <c r="G1279" s="321">
        <v>4.5999999999999996</v>
      </c>
      <c r="H1279" s="321">
        <v>4.5</v>
      </c>
      <c r="I1279" s="315">
        <f t="shared" si="175"/>
        <v>46.574999999999996</v>
      </c>
      <c r="J1279" s="316">
        <f t="shared" si="163"/>
        <v>0.25636438695472685</v>
      </c>
    </row>
    <row r="1280" spans="1:11" s="316" customFormat="1">
      <c r="A1280" s="321">
        <v>44</v>
      </c>
      <c r="B1280" s="295">
        <f t="shared" si="164"/>
        <v>32</v>
      </c>
      <c r="C1280" s="321">
        <v>3.2</v>
      </c>
      <c r="D1280" s="321" t="s">
        <v>113</v>
      </c>
      <c r="E1280" s="321">
        <v>32</v>
      </c>
      <c r="F1280" s="316">
        <f t="shared" si="162"/>
        <v>1.0666666666666667</v>
      </c>
      <c r="G1280" s="321">
        <v>6</v>
      </c>
      <c r="H1280" s="321">
        <v>5.7</v>
      </c>
      <c r="I1280" s="315">
        <f t="shared" si="175"/>
        <v>97.47</v>
      </c>
      <c r="J1280" s="316">
        <f t="shared" si="163"/>
        <v>0.50793137949722766</v>
      </c>
    </row>
    <row r="1281" spans="1:10" s="316" customFormat="1">
      <c r="A1281" s="321">
        <v>44</v>
      </c>
      <c r="B1281" s="295">
        <f t="shared" si="164"/>
        <v>32</v>
      </c>
      <c r="C1281" s="321">
        <v>3.3</v>
      </c>
      <c r="D1281" s="321" t="s">
        <v>114</v>
      </c>
      <c r="E1281" s="321">
        <v>28</v>
      </c>
      <c r="F1281" s="316">
        <f t="shared" si="162"/>
        <v>1.1200000000000001</v>
      </c>
      <c r="G1281" s="321">
        <v>11.8</v>
      </c>
      <c r="H1281" s="321">
        <v>10.199999999999999</v>
      </c>
      <c r="I1281" s="315">
        <f t="shared" si="175"/>
        <v>613.83600000000001</v>
      </c>
      <c r="J1281" s="316">
        <f t="shared" si="163"/>
        <v>2.9826822157434401</v>
      </c>
    </row>
    <row r="1282" spans="1:10" s="316" customFormat="1">
      <c r="A1282" s="321">
        <v>44</v>
      </c>
      <c r="B1282" s="295">
        <f t="shared" si="164"/>
        <v>32</v>
      </c>
      <c r="C1282" s="321">
        <v>3.4</v>
      </c>
      <c r="D1282" s="321" t="s">
        <v>114</v>
      </c>
      <c r="E1282" s="321"/>
      <c r="F1282" s="316" t="str">
        <f t="shared" si="162"/>
        <v/>
      </c>
      <c r="G1282" s="321"/>
      <c r="H1282" s="321"/>
      <c r="I1282" s="315"/>
      <c r="J1282" s="316" t="str">
        <f t="shared" si="163"/>
        <v/>
      </c>
    </row>
    <row r="1283" spans="1:10" s="316" customFormat="1">
      <c r="A1283" s="321">
        <v>44</v>
      </c>
      <c r="B1283" s="295">
        <f t="shared" si="164"/>
        <v>32</v>
      </c>
      <c r="C1283" s="321">
        <v>3.5</v>
      </c>
      <c r="D1283" s="321" t="s">
        <v>115</v>
      </c>
      <c r="E1283" s="321"/>
      <c r="F1283" s="316" t="str">
        <f t="shared" si="162"/>
        <v/>
      </c>
      <c r="G1283" s="321"/>
      <c r="H1283" s="321"/>
      <c r="I1283" s="315"/>
      <c r="J1283" s="316" t="str">
        <f t="shared" si="163"/>
        <v/>
      </c>
    </row>
    <row r="1284" spans="1:10" s="316" customFormat="1">
      <c r="A1284" s="321">
        <v>44</v>
      </c>
      <c r="B1284" s="295">
        <f t="shared" si="164"/>
        <v>32</v>
      </c>
      <c r="C1284" s="321">
        <v>4.0999999999999996</v>
      </c>
      <c r="D1284" s="321" t="s">
        <v>111</v>
      </c>
      <c r="E1284" s="321"/>
      <c r="F1284" s="316" t="str">
        <f t="shared" si="162"/>
        <v/>
      </c>
      <c r="G1284" s="321"/>
      <c r="H1284" s="321"/>
      <c r="I1284" s="315"/>
      <c r="J1284" s="316" t="str">
        <f t="shared" si="163"/>
        <v/>
      </c>
    </row>
    <row r="1285" spans="1:10" s="316" customFormat="1">
      <c r="A1285" s="321">
        <v>44</v>
      </c>
      <c r="B1285" s="295">
        <f t="shared" si="164"/>
        <v>32</v>
      </c>
      <c r="C1285" s="321">
        <v>4.2</v>
      </c>
      <c r="D1285" s="321" t="s">
        <v>112</v>
      </c>
      <c r="E1285" s="321">
        <v>33</v>
      </c>
      <c r="F1285" s="316">
        <f t="shared" si="162"/>
        <v>1.1379310344827587</v>
      </c>
      <c r="G1285" s="321">
        <v>16.100000000000001</v>
      </c>
      <c r="H1285" s="321">
        <v>14.7</v>
      </c>
      <c r="I1285" s="315">
        <f t="shared" ref="I1285:I1286" si="176">G1285*(H1285^2)*0.5</f>
        <v>1739.5245</v>
      </c>
      <c r="J1285" s="316">
        <f t="shared" si="163"/>
        <v>5.2263398410037318</v>
      </c>
    </row>
    <row r="1286" spans="1:10" s="316" customFormat="1">
      <c r="A1286" s="321">
        <v>44</v>
      </c>
      <c r="B1286" s="295">
        <f t="shared" si="164"/>
        <v>32</v>
      </c>
      <c r="C1286" s="321">
        <v>4.3</v>
      </c>
      <c r="D1286" s="321" t="s">
        <v>113</v>
      </c>
      <c r="E1286" s="321">
        <v>29</v>
      </c>
      <c r="F1286" s="316">
        <f t="shared" si="162"/>
        <v>1.1153846153846154</v>
      </c>
      <c r="G1286" s="321">
        <v>8.4</v>
      </c>
      <c r="H1286" s="321">
        <v>7.3</v>
      </c>
      <c r="I1286" s="315">
        <f t="shared" si="176"/>
        <v>223.81800000000001</v>
      </c>
      <c r="J1286" s="316">
        <f t="shared" si="163"/>
        <v>1.6071490119485294</v>
      </c>
    </row>
    <row r="1287" spans="1:10" s="316" customFormat="1">
      <c r="A1287" s="321">
        <v>44</v>
      </c>
      <c r="B1287" s="295">
        <f t="shared" si="164"/>
        <v>32</v>
      </c>
      <c r="C1287" s="321">
        <v>4.4000000000000004</v>
      </c>
      <c r="D1287" s="321" t="s">
        <v>112</v>
      </c>
      <c r="E1287" s="321"/>
      <c r="F1287" s="316" t="str">
        <f t="shared" si="162"/>
        <v/>
      </c>
      <c r="G1287" s="321"/>
      <c r="H1287" s="321"/>
      <c r="I1287" s="315"/>
      <c r="J1287" s="316" t="str">
        <f t="shared" si="163"/>
        <v/>
      </c>
    </row>
    <row r="1288" spans="1:10" s="316" customFormat="1">
      <c r="A1288" s="321">
        <v>44</v>
      </c>
      <c r="B1288" s="295">
        <f t="shared" si="164"/>
        <v>32</v>
      </c>
      <c r="C1288" s="321">
        <v>4.5</v>
      </c>
      <c r="D1288" s="321" t="s">
        <v>112</v>
      </c>
      <c r="E1288" s="321"/>
      <c r="F1288" s="316" t="str">
        <f t="shared" si="162"/>
        <v/>
      </c>
      <c r="G1288" s="321"/>
      <c r="H1288" s="321"/>
      <c r="I1288" s="315"/>
      <c r="J1288" s="316" t="str">
        <f t="shared" si="163"/>
        <v/>
      </c>
    </row>
    <row r="1289" spans="1:10" s="316" customFormat="1">
      <c r="A1289" s="321">
        <v>44</v>
      </c>
      <c r="B1289" s="295">
        <f t="shared" si="164"/>
        <v>32</v>
      </c>
      <c r="C1289" s="321">
        <v>5.0999999999999996</v>
      </c>
      <c r="D1289" s="321" t="s">
        <v>113</v>
      </c>
      <c r="E1289" s="321">
        <v>27</v>
      </c>
      <c r="F1289" s="316">
        <f t="shared" ref="F1289:F1352" si="177">IF(ISBLANK(E1289),"",E1289/SUMIFS(E:E,C:C,C1289,B:B,"0"))</f>
        <v>1.125</v>
      </c>
      <c r="G1289" s="321">
        <v>7.5</v>
      </c>
      <c r="H1289" s="321">
        <v>6.3</v>
      </c>
      <c r="I1289" s="315">
        <f t="shared" ref="I1289" si="178">G1289*(H1289^2)*0.5</f>
        <v>148.83749999999998</v>
      </c>
      <c r="J1289" s="316">
        <f t="shared" ref="J1289:J1352" si="179">IF(ISBLANK(I1289),"",I1289/SUMIFS(I:I,C:C,C1289,B:B,"0"))</f>
        <v>0.89610940858434707</v>
      </c>
    </row>
    <row r="1290" spans="1:10" s="316" customFormat="1">
      <c r="A1290" s="321">
        <v>44</v>
      </c>
      <c r="B1290" s="295">
        <f t="shared" ref="B1290:B1353" si="180">A1290-12</f>
        <v>32</v>
      </c>
      <c r="C1290" s="321">
        <v>5.2</v>
      </c>
      <c r="D1290" s="321" t="s">
        <v>114</v>
      </c>
      <c r="E1290" s="321"/>
      <c r="F1290" s="316" t="str">
        <f t="shared" si="177"/>
        <v/>
      </c>
      <c r="G1290" s="321"/>
      <c r="H1290" s="321"/>
      <c r="I1290" s="315"/>
      <c r="J1290" s="316" t="str">
        <f t="shared" si="179"/>
        <v/>
      </c>
    </row>
    <row r="1291" spans="1:10" s="316" customFormat="1">
      <c r="A1291" s="321">
        <v>44</v>
      </c>
      <c r="B1291" s="295">
        <f t="shared" si="180"/>
        <v>32</v>
      </c>
      <c r="C1291" s="321">
        <v>5.3</v>
      </c>
      <c r="D1291" s="321" t="s">
        <v>112</v>
      </c>
      <c r="E1291" s="321">
        <v>28</v>
      </c>
      <c r="F1291" s="316">
        <f t="shared" si="177"/>
        <v>1</v>
      </c>
      <c r="G1291" s="321">
        <v>12.6</v>
      </c>
      <c r="H1291" s="321">
        <v>12.4</v>
      </c>
      <c r="I1291" s="315">
        <f t="shared" ref="I1291:I1294" si="181">G1291*(H1291^2)*0.5</f>
        <v>968.6880000000001</v>
      </c>
      <c r="J1291" s="316">
        <f t="shared" si="179"/>
        <v>4.082536792595965</v>
      </c>
    </row>
    <row r="1292" spans="1:10" s="316" customFormat="1">
      <c r="A1292" s="321">
        <v>44</v>
      </c>
      <c r="B1292" s="295">
        <f t="shared" si="180"/>
        <v>32</v>
      </c>
      <c r="C1292" s="321">
        <v>5.4</v>
      </c>
      <c r="D1292" s="321" t="s">
        <v>113</v>
      </c>
      <c r="E1292" s="321">
        <v>27</v>
      </c>
      <c r="F1292" s="316">
        <f t="shared" si="177"/>
        <v>1.0384615384615385</v>
      </c>
      <c r="G1292" s="321">
        <v>7.4</v>
      </c>
      <c r="H1292" s="321">
        <v>5.9</v>
      </c>
      <c r="I1292" s="315">
        <f t="shared" si="181"/>
        <v>128.79700000000003</v>
      </c>
      <c r="J1292" s="316">
        <f t="shared" si="179"/>
        <v>0.72013978194017347</v>
      </c>
    </row>
    <row r="1293" spans="1:10" s="316" customFormat="1">
      <c r="A1293" s="321">
        <v>44</v>
      </c>
      <c r="B1293" s="295">
        <f t="shared" si="180"/>
        <v>32</v>
      </c>
      <c r="C1293" s="321">
        <v>5.5</v>
      </c>
      <c r="D1293" s="321" t="s">
        <v>114</v>
      </c>
      <c r="E1293" s="321">
        <v>23</v>
      </c>
      <c r="F1293" s="316">
        <f t="shared" si="177"/>
        <v>1.0454545454545454</v>
      </c>
      <c r="G1293" s="321">
        <v>7.7</v>
      </c>
      <c r="H1293" s="321">
        <v>6.6</v>
      </c>
      <c r="I1293" s="315">
        <f t="shared" si="181"/>
        <v>167.70599999999999</v>
      </c>
      <c r="J1293" s="316">
        <f t="shared" si="179"/>
        <v>1.6670245124351399</v>
      </c>
    </row>
    <row r="1294" spans="1:10" s="316" customFormat="1">
      <c r="A1294" s="321">
        <v>44</v>
      </c>
      <c r="B1294" s="295">
        <f t="shared" si="180"/>
        <v>32</v>
      </c>
      <c r="C1294" s="321">
        <v>6.1</v>
      </c>
      <c r="D1294" s="321" t="s">
        <v>115</v>
      </c>
      <c r="E1294" s="321">
        <v>30</v>
      </c>
      <c r="F1294" s="316">
        <f t="shared" si="177"/>
        <v>1.2</v>
      </c>
      <c r="G1294" s="321">
        <v>7.2</v>
      </c>
      <c r="H1294" s="321">
        <v>5.0999999999999996</v>
      </c>
      <c r="I1294" s="315">
        <f t="shared" si="181"/>
        <v>93.635999999999996</v>
      </c>
      <c r="J1294" s="316">
        <f t="shared" si="179"/>
        <v>0.69597145830236351</v>
      </c>
    </row>
    <row r="1295" spans="1:10" s="316" customFormat="1">
      <c r="A1295" s="321">
        <v>44</v>
      </c>
      <c r="B1295" s="295">
        <f t="shared" si="180"/>
        <v>32</v>
      </c>
      <c r="C1295" s="321">
        <v>6.2</v>
      </c>
      <c r="D1295" s="321" t="s">
        <v>115</v>
      </c>
      <c r="E1295" s="321"/>
      <c r="F1295" s="316" t="str">
        <f t="shared" si="177"/>
        <v/>
      </c>
      <c r="G1295" s="321"/>
      <c r="H1295" s="321"/>
      <c r="I1295" s="315"/>
      <c r="J1295" s="316" t="str">
        <f t="shared" si="179"/>
        <v/>
      </c>
    </row>
    <row r="1296" spans="1:10" s="316" customFormat="1">
      <c r="A1296" s="321">
        <v>44</v>
      </c>
      <c r="B1296" s="295">
        <f t="shared" si="180"/>
        <v>32</v>
      </c>
      <c r="C1296" s="321">
        <v>6.3</v>
      </c>
      <c r="D1296" s="321" t="s">
        <v>114</v>
      </c>
      <c r="E1296" s="321"/>
      <c r="F1296" s="316" t="str">
        <f t="shared" si="177"/>
        <v/>
      </c>
      <c r="G1296" s="321"/>
      <c r="H1296" s="321"/>
      <c r="I1296" s="315"/>
      <c r="J1296" s="316" t="str">
        <f t="shared" si="179"/>
        <v/>
      </c>
    </row>
    <row r="1297" spans="1:10" s="316" customFormat="1">
      <c r="A1297" s="321">
        <v>44</v>
      </c>
      <c r="B1297" s="295">
        <f t="shared" si="180"/>
        <v>32</v>
      </c>
      <c r="C1297" s="321">
        <v>6.4</v>
      </c>
      <c r="D1297" s="321" t="s">
        <v>112</v>
      </c>
      <c r="E1297" s="321"/>
      <c r="F1297" s="316" t="str">
        <f t="shared" si="177"/>
        <v/>
      </c>
      <c r="G1297" s="321"/>
      <c r="H1297" s="321"/>
      <c r="I1297" s="315"/>
      <c r="J1297" s="316" t="str">
        <f t="shared" si="179"/>
        <v/>
      </c>
    </row>
    <row r="1298" spans="1:10" s="316" customFormat="1">
      <c r="A1298" s="321">
        <v>44</v>
      </c>
      <c r="B1298" s="295">
        <f t="shared" si="180"/>
        <v>32</v>
      </c>
      <c r="C1298" s="321">
        <v>6.5</v>
      </c>
      <c r="D1298" s="321" t="s">
        <v>113</v>
      </c>
      <c r="E1298" s="321">
        <v>25</v>
      </c>
      <c r="F1298" s="316">
        <f t="shared" si="177"/>
        <v>1.0416666666666667</v>
      </c>
      <c r="G1298" s="321">
        <v>10.5</v>
      </c>
      <c r="H1298" s="321">
        <v>9.3000000000000007</v>
      </c>
      <c r="I1298" s="315">
        <f t="shared" ref="I1298:I1301" si="182">G1298*(H1298^2)*0.5</f>
        <v>454.07250000000005</v>
      </c>
      <c r="J1298" s="316">
        <f t="shared" si="179"/>
        <v>8.9693333333333349</v>
      </c>
    </row>
    <row r="1299" spans="1:10" s="316" customFormat="1">
      <c r="A1299" s="321">
        <v>44</v>
      </c>
      <c r="B1299" s="295">
        <f t="shared" si="180"/>
        <v>32</v>
      </c>
      <c r="C1299" s="321">
        <v>7.1</v>
      </c>
      <c r="D1299" s="321" t="s">
        <v>114</v>
      </c>
      <c r="E1299" s="321">
        <v>31</v>
      </c>
      <c r="F1299" s="316">
        <f t="shared" si="177"/>
        <v>1.1481481481481481</v>
      </c>
      <c r="G1299" s="321">
        <v>10.6</v>
      </c>
      <c r="H1299" s="321">
        <v>10.1</v>
      </c>
      <c r="I1299" s="315">
        <f t="shared" si="182"/>
        <v>540.65299999999991</v>
      </c>
      <c r="J1299" s="316">
        <f t="shared" si="179"/>
        <v>4.0048370370370368</v>
      </c>
    </row>
    <row r="1300" spans="1:10" s="316" customFormat="1">
      <c r="A1300" s="321">
        <v>44</v>
      </c>
      <c r="B1300" s="295">
        <f t="shared" si="180"/>
        <v>32</v>
      </c>
      <c r="C1300" s="321">
        <v>7.2</v>
      </c>
      <c r="D1300" s="321" t="s">
        <v>111</v>
      </c>
      <c r="E1300" s="321">
        <v>32</v>
      </c>
      <c r="F1300" s="316">
        <f t="shared" si="177"/>
        <v>1.103448275862069</v>
      </c>
      <c r="G1300" s="321">
        <v>15.6</v>
      </c>
      <c r="H1300" s="321">
        <v>14.8</v>
      </c>
      <c r="I1300" s="315">
        <f t="shared" si="182"/>
        <v>1708.5120000000002</v>
      </c>
      <c r="J1300" s="316">
        <f t="shared" si="179"/>
        <v>112.86246531906461</v>
      </c>
    </row>
    <row r="1301" spans="1:10" s="316" customFormat="1">
      <c r="A1301" s="321">
        <v>44</v>
      </c>
      <c r="B1301" s="295">
        <f t="shared" si="180"/>
        <v>32</v>
      </c>
      <c r="C1301" s="321">
        <v>7.3</v>
      </c>
      <c r="D1301" s="321" t="s">
        <v>113</v>
      </c>
      <c r="E1301" s="321">
        <v>30</v>
      </c>
      <c r="F1301" s="316">
        <f t="shared" si="177"/>
        <v>1.1111111111111112</v>
      </c>
      <c r="G1301" s="321">
        <v>5.6</v>
      </c>
      <c r="H1301" s="321">
        <v>4</v>
      </c>
      <c r="I1301" s="315">
        <f t="shared" si="182"/>
        <v>44.8</v>
      </c>
      <c r="J1301" s="316">
        <f t="shared" si="179"/>
        <v>0.31354105428179502</v>
      </c>
    </row>
    <row r="1302" spans="1:10" s="316" customFormat="1">
      <c r="A1302" s="321">
        <v>44</v>
      </c>
      <c r="B1302" s="295">
        <f t="shared" si="180"/>
        <v>32</v>
      </c>
      <c r="C1302" s="321">
        <v>7.4</v>
      </c>
      <c r="D1302" s="321" t="s">
        <v>115</v>
      </c>
      <c r="E1302" s="321"/>
      <c r="F1302" s="316" t="str">
        <f t="shared" si="177"/>
        <v/>
      </c>
      <c r="G1302" s="321"/>
      <c r="H1302" s="321"/>
      <c r="I1302" s="315"/>
      <c r="J1302" s="316" t="str">
        <f t="shared" si="179"/>
        <v/>
      </c>
    </row>
    <row r="1303" spans="1:10" s="316" customFormat="1">
      <c r="A1303" s="321">
        <v>44</v>
      </c>
      <c r="B1303" s="295">
        <f t="shared" si="180"/>
        <v>32</v>
      </c>
      <c r="C1303" s="321">
        <v>7.5</v>
      </c>
      <c r="D1303" s="321" t="s">
        <v>111</v>
      </c>
      <c r="E1303" s="321"/>
      <c r="F1303" s="316" t="str">
        <f t="shared" si="177"/>
        <v/>
      </c>
      <c r="G1303" s="321"/>
      <c r="H1303" s="321"/>
      <c r="I1303" s="315"/>
      <c r="J1303" s="316" t="str">
        <f t="shared" si="179"/>
        <v/>
      </c>
    </row>
    <row r="1304" spans="1:10" s="316" customFormat="1">
      <c r="A1304" s="321">
        <v>46</v>
      </c>
      <c r="B1304" s="295">
        <f t="shared" si="180"/>
        <v>34</v>
      </c>
      <c r="C1304" s="321">
        <v>1.1000000000000001</v>
      </c>
      <c r="D1304" s="321" t="s">
        <v>112</v>
      </c>
      <c r="E1304" s="321"/>
      <c r="F1304" s="316" t="str">
        <f t="shared" si="177"/>
        <v/>
      </c>
      <c r="G1304" s="321"/>
      <c r="H1304" s="321"/>
      <c r="I1304" s="315"/>
      <c r="J1304" s="316" t="str">
        <f t="shared" si="179"/>
        <v/>
      </c>
    </row>
    <row r="1305" spans="1:10" s="316" customFormat="1">
      <c r="A1305" s="321">
        <v>46</v>
      </c>
      <c r="B1305" s="295">
        <f t="shared" si="180"/>
        <v>34</v>
      </c>
      <c r="C1305" s="321">
        <v>1.2</v>
      </c>
      <c r="D1305" s="321" t="s">
        <v>113</v>
      </c>
      <c r="E1305" s="321">
        <v>30</v>
      </c>
      <c r="F1305" s="316">
        <f t="shared" si="177"/>
        <v>1.1111111111111112</v>
      </c>
      <c r="G1305" s="321">
        <v>6.4</v>
      </c>
      <c r="H1305" s="321">
        <v>5.6</v>
      </c>
      <c r="I1305" s="315">
        <f t="shared" ref="I1305:I1306" si="183">G1305*(H1305^2)*0.5</f>
        <v>100.35199999999999</v>
      </c>
      <c r="J1305" s="316">
        <f t="shared" si="179"/>
        <v>0.47969063319335659</v>
      </c>
    </row>
    <row r="1306" spans="1:10" s="316" customFormat="1">
      <c r="A1306" s="321">
        <v>46</v>
      </c>
      <c r="B1306" s="295">
        <f t="shared" si="180"/>
        <v>34</v>
      </c>
      <c r="C1306" s="321">
        <v>1.3</v>
      </c>
      <c r="D1306" s="321" t="s">
        <v>115</v>
      </c>
      <c r="E1306" s="321">
        <v>28</v>
      </c>
      <c r="F1306" s="316">
        <f t="shared" si="177"/>
        <v>1.1666666666666667</v>
      </c>
      <c r="G1306" s="321">
        <v>14.4</v>
      </c>
      <c r="H1306" s="321">
        <v>12</v>
      </c>
      <c r="I1306" s="315">
        <f t="shared" si="183"/>
        <v>1036.8</v>
      </c>
      <c r="J1306" s="316">
        <f t="shared" si="179"/>
        <v>10.457516339869279</v>
      </c>
    </row>
    <row r="1307" spans="1:10" s="316" customFormat="1">
      <c r="A1307" s="321">
        <v>46</v>
      </c>
      <c r="B1307" s="295">
        <f t="shared" si="180"/>
        <v>34</v>
      </c>
      <c r="C1307" s="321">
        <v>1.4</v>
      </c>
      <c r="D1307" s="321" t="s">
        <v>115</v>
      </c>
      <c r="E1307" s="321"/>
      <c r="F1307" s="316" t="str">
        <f t="shared" si="177"/>
        <v/>
      </c>
      <c r="G1307" s="321"/>
      <c r="H1307" s="321"/>
      <c r="I1307" s="315"/>
      <c r="J1307" s="316" t="str">
        <f t="shared" si="179"/>
        <v/>
      </c>
    </row>
    <row r="1308" spans="1:10" s="316" customFormat="1">
      <c r="A1308" s="321">
        <v>46</v>
      </c>
      <c r="B1308" s="295">
        <f t="shared" si="180"/>
        <v>34</v>
      </c>
      <c r="C1308" s="321">
        <v>1.5</v>
      </c>
      <c r="D1308" s="321" t="s">
        <v>112</v>
      </c>
      <c r="E1308" s="321">
        <v>30</v>
      </c>
      <c r="F1308" s="316">
        <f t="shared" si="177"/>
        <v>1.0714285714285714</v>
      </c>
      <c r="G1308" s="321">
        <v>12</v>
      </c>
      <c r="H1308" s="321">
        <v>10.3</v>
      </c>
      <c r="I1308" s="315">
        <f t="shared" ref="I1308:I1309" si="184">G1308*(H1308^2)*0.5</f>
        <v>636.54000000000008</v>
      </c>
      <c r="J1308" s="316">
        <f t="shared" si="179"/>
        <v>4.5707433363970589</v>
      </c>
    </row>
    <row r="1309" spans="1:10" s="316" customFormat="1">
      <c r="A1309" s="321">
        <v>46</v>
      </c>
      <c r="B1309" s="295">
        <f t="shared" si="180"/>
        <v>34</v>
      </c>
      <c r="C1309" s="321">
        <v>2.1</v>
      </c>
      <c r="D1309" s="321" t="s">
        <v>114</v>
      </c>
      <c r="E1309" s="321">
        <v>31</v>
      </c>
      <c r="F1309" s="316">
        <f t="shared" si="177"/>
        <v>1.1923076923076923</v>
      </c>
      <c r="G1309" s="321">
        <v>12.2</v>
      </c>
      <c r="H1309" s="321">
        <v>11.4</v>
      </c>
      <c r="I1309" s="315">
        <f t="shared" si="184"/>
        <v>792.75599999999997</v>
      </c>
      <c r="J1309" s="316">
        <f t="shared" si="179"/>
        <v>4.2154530879854502</v>
      </c>
    </row>
    <row r="1310" spans="1:10" s="316" customFormat="1">
      <c r="A1310" s="321">
        <v>46</v>
      </c>
      <c r="B1310" s="295">
        <f t="shared" si="180"/>
        <v>34</v>
      </c>
      <c r="C1310" s="321">
        <v>2.2000000000000002</v>
      </c>
      <c r="D1310" s="321" t="s">
        <v>115</v>
      </c>
      <c r="E1310" s="321"/>
      <c r="F1310" s="316" t="str">
        <f t="shared" si="177"/>
        <v/>
      </c>
      <c r="G1310" s="321"/>
      <c r="H1310" s="321"/>
      <c r="I1310" s="315"/>
      <c r="J1310" s="316" t="str">
        <f t="shared" si="179"/>
        <v/>
      </c>
    </row>
    <row r="1311" spans="1:10" s="316" customFormat="1">
      <c r="A1311" s="321">
        <v>46</v>
      </c>
      <c r="B1311" s="295">
        <f t="shared" si="180"/>
        <v>34</v>
      </c>
      <c r="C1311" s="321">
        <v>2.2999999999999998</v>
      </c>
      <c r="D1311" s="321" t="s">
        <v>112</v>
      </c>
      <c r="E1311" s="321"/>
      <c r="F1311" s="316" t="str">
        <f t="shared" si="177"/>
        <v/>
      </c>
      <c r="G1311" s="321"/>
      <c r="H1311" s="321"/>
      <c r="I1311" s="315"/>
      <c r="J1311" s="316" t="str">
        <f t="shared" si="179"/>
        <v/>
      </c>
    </row>
    <row r="1312" spans="1:10" s="316" customFormat="1">
      <c r="A1312" s="321">
        <v>46</v>
      </c>
      <c r="B1312" s="295">
        <f t="shared" si="180"/>
        <v>34</v>
      </c>
      <c r="C1312" s="321">
        <v>2.4</v>
      </c>
      <c r="D1312" s="321" t="s">
        <v>114</v>
      </c>
      <c r="E1312" s="321">
        <v>29</v>
      </c>
      <c r="F1312" s="316">
        <f t="shared" si="177"/>
        <v>1.1599999999999999</v>
      </c>
      <c r="G1312" s="321">
        <v>8.3000000000000007</v>
      </c>
      <c r="H1312" s="321">
        <v>7.9</v>
      </c>
      <c r="I1312" s="315">
        <f t="shared" ref="I1312:I1316" si="185">G1312*(H1312^2)*0.5</f>
        <v>259.00150000000002</v>
      </c>
      <c r="J1312" s="316">
        <f t="shared" si="179"/>
        <v>2.4093162790697678</v>
      </c>
    </row>
    <row r="1313" spans="1:11" s="316" customFormat="1">
      <c r="A1313" s="321">
        <v>46</v>
      </c>
      <c r="B1313" s="295">
        <f t="shared" si="180"/>
        <v>34</v>
      </c>
      <c r="C1313" s="321">
        <v>2.5</v>
      </c>
      <c r="D1313" s="321" t="s">
        <v>113</v>
      </c>
      <c r="E1313" s="321">
        <v>31</v>
      </c>
      <c r="F1313" s="316">
        <f t="shared" si="177"/>
        <v>1.1481481481481481</v>
      </c>
      <c r="G1313" s="321">
        <v>6.4</v>
      </c>
      <c r="H1313" s="321">
        <v>5.4</v>
      </c>
      <c r="I1313" s="315">
        <f t="shared" si="185"/>
        <v>93.312000000000012</v>
      </c>
      <c r="J1313" s="316">
        <f t="shared" si="179"/>
        <v>0.54702137388470073</v>
      </c>
    </row>
    <row r="1314" spans="1:11" s="316" customFormat="1">
      <c r="A1314" s="321">
        <v>46</v>
      </c>
      <c r="B1314" s="295">
        <f t="shared" si="180"/>
        <v>34</v>
      </c>
      <c r="C1314" s="321">
        <v>3.1</v>
      </c>
      <c r="D1314" s="321" t="s">
        <v>115</v>
      </c>
      <c r="E1314" s="321">
        <v>23</v>
      </c>
      <c r="F1314" s="316">
        <f t="shared" si="177"/>
        <v>0.95833333333333337</v>
      </c>
      <c r="G1314" s="321">
        <v>6</v>
      </c>
      <c r="H1314" s="321">
        <v>4.5999999999999996</v>
      </c>
      <c r="I1314" s="315">
        <f t="shared" si="185"/>
        <v>63.47999999999999</v>
      </c>
      <c r="J1314" s="316">
        <f t="shared" si="179"/>
        <v>0.34941516444199805</v>
      </c>
    </row>
    <row r="1315" spans="1:11" s="316" customFormat="1">
      <c r="A1315" s="321">
        <v>46</v>
      </c>
      <c r="B1315" s="295">
        <f t="shared" si="180"/>
        <v>34</v>
      </c>
      <c r="C1315" s="321">
        <v>3.2</v>
      </c>
      <c r="D1315" s="321" t="s">
        <v>113</v>
      </c>
      <c r="E1315" s="321">
        <v>34</v>
      </c>
      <c r="F1315" s="316">
        <f t="shared" si="177"/>
        <v>1.1333333333333333</v>
      </c>
      <c r="G1315" s="321">
        <v>5.7</v>
      </c>
      <c r="H1315" s="321">
        <v>5.3</v>
      </c>
      <c r="I1315" s="315">
        <f t="shared" si="185"/>
        <v>80.0565</v>
      </c>
      <c r="J1315" s="316">
        <f t="shared" si="179"/>
        <v>0.41718691374494521</v>
      </c>
    </row>
    <row r="1316" spans="1:11">
      <c r="A1316" s="321">
        <v>46</v>
      </c>
      <c r="B1316" s="295">
        <f t="shared" si="180"/>
        <v>34</v>
      </c>
      <c r="C1316" s="321">
        <v>3.3</v>
      </c>
      <c r="D1316" s="321" t="s">
        <v>114</v>
      </c>
      <c r="E1316" s="321">
        <v>29</v>
      </c>
      <c r="F1316" s="316">
        <f t="shared" si="177"/>
        <v>1.1599999999999999</v>
      </c>
      <c r="G1316" s="321">
        <v>13</v>
      </c>
      <c r="H1316" s="321">
        <v>10.6</v>
      </c>
      <c r="I1316" s="315">
        <f t="shared" si="185"/>
        <v>730.34</v>
      </c>
      <c r="J1316" s="316">
        <f t="shared" si="179"/>
        <v>3.5487852283770649</v>
      </c>
    </row>
    <row r="1317" spans="1:11">
      <c r="A1317" s="321">
        <v>46</v>
      </c>
      <c r="B1317" s="295">
        <f t="shared" si="180"/>
        <v>34</v>
      </c>
      <c r="C1317" s="321">
        <v>3.4</v>
      </c>
      <c r="D1317" s="321" t="s">
        <v>114</v>
      </c>
      <c r="E1317" s="321"/>
      <c r="F1317" s="316" t="str">
        <f t="shared" si="177"/>
        <v/>
      </c>
      <c r="G1317" s="321"/>
      <c r="H1317" s="321"/>
      <c r="J1317" s="316" t="str">
        <f t="shared" si="179"/>
        <v/>
      </c>
    </row>
    <row r="1318" spans="1:11">
      <c r="A1318" s="321">
        <v>46</v>
      </c>
      <c r="B1318" s="295">
        <f t="shared" si="180"/>
        <v>34</v>
      </c>
      <c r="C1318" s="321">
        <v>3.5</v>
      </c>
      <c r="D1318" s="321" t="s">
        <v>115</v>
      </c>
      <c r="E1318" s="321"/>
      <c r="F1318" s="316" t="str">
        <f t="shared" si="177"/>
        <v/>
      </c>
      <c r="G1318" s="321"/>
      <c r="H1318" s="321"/>
      <c r="J1318" s="316" t="str">
        <f t="shared" si="179"/>
        <v/>
      </c>
    </row>
    <row r="1319" spans="1:11">
      <c r="A1319" s="321">
        <v>46</v>
      </c>
      <c r="B1319" s="295">
        <f t="shared" si="180"/>
        <v>34</v>
      </c>
      <c r="C1319" s="321">
        <v>4.0999999999999996</v>
      </c>
      <c r="D1319" s="321" t="s">
        <v>111</v>
      </c>
      <c r="E1319" s="321"/>
      <c r="F1319" s="316" t="str">
        <f t="shared" si="177"/>
        <v/>
      </c>
      <c r="G1319" s="321"/>
      <c r="H1319" s="321"/>
      <c r="J1319" s="316" t="str">
        <f t="shared" si="179"/>
        <v/>
      </c>
    </row>
    <row r="1320" spans="1:11">
      <c r="A1320" s="321">
        <v>46</v>
      </c>
      <c r="B1320" s="295">
        <f t="shared" si="180"/>
        <v>34</v>
      </c>
      <c r="C1320" s="321">
        <v>4.2</v>
      </c>
      <c r="D1320" s="321" t="s">
        <v>112</v>
      </c>
      <c r="E1320" s="321"/>
      <c r="F1320" s="316" t="str">
        <f t="shared" si="177"/>
        <v/>
      </c>
      <c r="G1320" s="321"/>
      <c r="H1320" s="321"/>
      <c r="J1320" s="316" t="str">
        <f t="shared" si="179"/>
        <v/>
      </c>
    </row>
    <row r="1321" spans="1:11">
      <c r="A1321" s="321">
        <v>46</v>
      </c>
      <c r="B1321" s="295">
        <f t="shared" si="180"/>
        <v>34</v>
      </c>
      <c r="C1321" s="321">
        <v>4.3</v>
      </c>
      <c r="D1321" s="321" t="s">
        <v>113</v>
      </c>
      <c r="E1321" s="321">
        <v>29</v>
      </c>
      <c r="F1321" s="316">
        <f t="shared" si="177"/>
        <v>1.1153846153846154</v>
      </c>
      <c r="G1321" s="321">
        <v>7.9</v>
      </c>
      <c r="H1321" s="321">
        <v>7.6</v>
      </c>
      <c r="I1321" s="315">
        <f t="shared" ref="I1321" si="186">G1321*(H1321^2)*0.5</f>
        <v>228.15200000000002</v>
      </c>
      <c r="J1321" s="316">
        <f t="shared" si="179"/>
        <v>1.6382697610294117</v>
      </c>
    </row>
    <row r="1322" spans="1:11">
      <c r="A1322" s="321">
        <v>46</v>
      </c>
      <c r="B1322" s="295">
        <f t="shared" si="180"/>
        <v>34</v>
      </c>
      <c r="C1322" s="321">
        <v>4.4000000000000004</v>
      </c>
      <c r="D1322" s="321" t="s">
        <v>112</v>
      </c>
      <c r="E1322" s="321"/>
      <c r="F1322" s="316" t="str">
        <f t="shared" si="177"/>
        <v/>
      </c>
      <c r="G1322" s="321"/>
      <c r="H1322" s="321"/>
      <c r="J1322" s="316" t="str">
        <f t="shared" si="179"/>
        <v/>
      </c>
    </row>
    <row r="1323" spans="1:11">
      <c r="A1323" s="321">
        <v>46</v>
      </c>
      <c r="B1323" s="295">
        <f t="shared" si="180"/>
        <v>34</v>
      </c>
      <c r="C1323" s="321">
        <v>4.5</v>
      </c>
      <c r="D1323" s="321" t="s">
        <v>112</v>
      </c>
      <c r="E1323" s="321"/>
      <c r="F1323" s="316" t="str">
        <f t="shared" si="177"/>
        <v/>
      </c>
      <c r="G1323" s="321"/>
      <c r="H1323" s="321"/>
      <c r="J1323" s="316" t="str">
        <f t="shared" si="179"/>
        <v/>
      </c>
    </row>
    <row r="1324" spans="1:11">
      <c r="A1324" s="321">
        <v>46</v>
      </c>
      <c r="B1324" s="295">
        <f t="shared" si="180"/>
        <v>34</v>
      </c>
      <c r="C1324" s="321">
        <v>5.0999999999999996</v>
      </c>
      <c r="D1324" s="321" t="s">
        <v>113</v>
      </c>
      <c r="E1324" s="321">
        <v>28</v>
      </c>
      <c r="F1324" s="316">
        <f t="shared" si="177"/>
        <v>1.1666666666666667</v>
      </c>
      <c r="G1324" s="321">
        <v>6.7</v>
      </c>
      <c r="H1324" s="321">
        <v>6.6</v>
      </c>
      <c r="I1324" s="315">
        <f t="shared" ref="I1324" si="187">G1324*(H1324^2)*0.5</f>
        <v>145.92599999999999</v>
      </c>
      <c r="J1324" s="316">
        <f t="shared" si="179"/>
        <v>0.87858007260992321</v>
      </c>
    </row>
    <row r="1325" spans="1:11">
      <c r="A1325" s="321">
        <v>46</v>
      </c>
      <c r="B1325" s="295">
        <f t="shared" si="180"/>
        <v>34</v>
      </c>
      <c r="C1325" s="321">
        <v>5.2</v>
      </c>
      <c r="D1325" s="321" t="s">
        <v>114</v>
      </c>
      <c r="E1325" s="321"/>
      <c r="F1325" s="316" t="str">
        <f t="shared" si="177"/>
        <v/>
      </c>
      <c r="G1325" s="321"/>
      <c r="H1325" s="321"/>
      <c r="J1325" s="316" t="str">
        <f t="shared" si="179"/>
        <v/>
      </c>
    </row>
    <row r="1326" spans="1:11">
      <c r="A1326" s="321">
        <v>46</v>
      </c>
      <c r="B1326" s="295">
        <f t="shared" si="180"/>
        <v>34</v>
      </c>
      <c r="C1326" s="321">
        <v>5.3</v>
      </c>
      <c r="D1326" s="321" t="s">
        <v>112</v>
      </c>
      <c r="E1326" s="321">
        <v>28</v>
      </c>
      <c r="F1326" s="316">
        <f t="shared" si="177"/>
        <v>1</v>
      </c>
      <c r="G1326" s="321">
        <v>14.1</v>
      </c>
      <c r="H1326" s="321">
        <v>13.9</v>
      </c>
      <c r="I1326" s="315">
        <f t="shared" ref="I1326:I1329" si="188">G1326*(H1326^2)*0.5</f>
        <v>1362.1305</v>
      </c>
      <c r="J1326" s="316">
        <f t="shared" si="179"/>
        <v>5.7407007029788097</v>
      </c>
    </row>
    <row r="1327" spans="1:11">
      <c r="A1327" s="321">
        <v>46</v>
      </c>
      <c r="B1327" s="295">
        <f t="shared" si="180"/>
        <v>34</v>
      </c>
      <c r="C1327" s="321">
        <v>5.4</v>
      </c>
      <c r="D1327" s="321" t="s">
        <v>113</v>
      </c>
      <c r="E1327" s="321">
        <v>27</v>
      </c>
      <c r="F1327" s="316">
        <f t="shared" si="177"/>
        <v>1.0384615384615385</v>
      </c>
      <c r="G1327" s="321">
        <v>5.3</v>
      </c>
      <c r="H1327" s="321">
        <v>5</v>
      </c>
      <c r="I1327" s="315">
        <f t="shared" si="188"/>
        <v>66.25</v>
      </c>
      <c r="J1327" s="316">
        <f t="shared" si="179"/>
        <v>0.37042214145932345</v>
      </c>
    </row>
    <row r="1328" spans="1:11">
      <c r="A1328" s="321">
        <v>46</v>
      </c>
      <c r="B1328" s="295">
        <f t="shared" si="180"/>
        <v>34</v>
      </c>
      <c r="C1328" s="321">
        <v>5.5</v>
      </c>
      <c r="D1328" s="321" t="s">
        <v>114</v>
      </c>
      <c r="E1328" s="321">
        <v>23</v>
      </c>
      <c r="F1328" s="316">
        <f t="shared" si="177"/>
        <v>1.0454545454545454</v>
      </c>
      <c r="G1328" s="321">
        <v>7.3</v>
      </c>
      <c r="H1328" s="321">
        <v>6.5</v>
      </c>
      <c r="I1328" s="315">
        <f t="shared" si="188"/>
        <v>154.21250000000001</v>
      </c>
      <c r="J1328" s="316">
        <f t="shared" si="179"/>
        <v>1.5328969602989999</v>
      </c>
      <c r="K1328" s="316" t="s">
        <v>167</v>
      </c>
    </row>
    <row r="1329" spans="1:11">
      <c r="A1329" s="321">
        <v>46</v>
      </c>
      <c r="B1329" s="295">
        <f t="shared" si="180"/>
        <v>34</v>
      </c>
      <c r="C1329" s="321">
        <v>6.1</v>
      </c>
      <c r="D1329" s="321" t="s">
        <v>115</v>
      </c>
      <c r="E1329" s="321">
        <v>30</v>
      </c>
      <c r="F1329" s="316">
        <f t="shared" si="177"/>
        <v>1.2</v>
      </c>
      <c r="G1329" s="321">
        <v>8.4</v>
      </c>
      <c r="H1329" s="321">
        <v>5.7</v>
      </c>
      <c r="I1329" s="315">
        <f t="shared" si="188"/>
        <v>136.45800000000003</v>
      </c>
      <c r="J1329" s="316">
        <f t="shared" si="179"/>
        <v>1.0142559833506763</v>
      </c>
    </row>
    <row r="1330" spans="1:11">
      <c r="A1330" s="321">
        <v>46</v>
      </c>
      <c r="B1330" s="295">
        <f t="shared" si="180"/>
        <v>34</v>
      </c>
      <c r="C1330" s="321">
        <v>6.2</v>
      </c>
      <c r="D1330" s="321" t="s">
        <v>115</v>
      </c>
      <c r="E1330" s="321"/>
      <c r="F1330" s="316" t="str">
        <f t="shared" si="177"/>
        <v/>
      </c>
      <c r="G1330" s="321"/>
      <c r="H1330" s="321"/>
      <c r="J1330" s="316" t="str">
        <f t="shared" si="179"/>
        <v/>
      </c>
    </row>
    <row r="1331" spans="1:11">
      <c r="A1331" s="321">
        <v>46</v>
      </c>
      <c r="B1331" s="295">
        <f t="shared" si="180"/>
        <v>34</v>
      </c>
      <c r="C1331" s="321">
        <v>6.3</v>
      </c>
      <c r="D1331" s="321" t="s">
        <v>114</v>
      </c>
      <c r="E1331" s="321"/>
      <c r="F1331" s="316" t="str">
        <f t="shared" si="177"/>
        <v/>
      </c>
      <c r="G1331" s="321"/>
      <c r="H1331" s="321"/>
      <c r="J1331" s="316" t="str">
        <f t="shared" si="179"/>
        <v/>
      </c>
    </row>
    <row r="1332" spans="1:11">
      <c r="A1332" s="321">
        <v>46</v>
      </c>
      <c r="B1332" s="295">
        <f t="shared" si="180"/>
        <v>34</v>
      </c>
      <c r="C1332" s="321">
        <v>6.4</v>
      </c>
      <c r="D1332" s="321" t="s">
        <v>112</v>
      </c>
      <c r="E1332" s="321"/>
      <c r="F1332" s="316" t="str">
        <f t="shared" si="177"/>
        <v/>
      </c>
      <c r="G1332" s="321"/>
      <c r="H1332" s="321"/>
      <c r="J1332" s="316" t="str">
        <f t="shared" si="179"/>
        <v/>
      </c>
    </row>
    <row r="1333" spans="1:11">
      <c r="A1333" s="321">
        <v>46</v>
      </c>
      <c r="B1333" s="295">
        <f t="shared" si="180"/>
        <v>34</v>
      </c>
      <c r="C1333" s="321">
        <v>6.5</v>
      </c>
      <c r="D1333" s="321" t="s">
        <v>113</v>
      </c>
      <c r="E1333" s="321">
        <v>28</v>
      </c>
      <c r="F1333" s="316">
        <f t="shared" si="177"/>
        <v>1.1666666666666667</v>
      </c>
      <c r="G1333" s="321">
        <v>8.4</v>
      </c>
      <c r="H1333" s="321">
        <v>8</v>
      </c>
      <c r="I1333" s="315">
        <f t="shared" ref="I1333:I1336" si="189">G1333*(H1333^2)*0.5</f>
        <v>268.8</v>
      </c>
      <c r="J1333" s="316">
        <f t="shared" si="179"/>
        <v>5.3096296296296295</v>
      </c>
      <c r="K1333" s="316" t="s">
        <v>167</v>
      </c>
    </row>
    <row r="1334" spans="1:11">
      <c r="A1334" s="321">
        <v>46</v>
      </c>
      <c r="B1334" s="295">
        <f t="shared" si="180"/>
        <v>34</v>
      </c>
      <c r="C1334" s="321">
        <v>7.1</v>
      </c>
      <c r="D1334" s="321" t="s">
        <v>114</v>
      </c>
      <c r="E1334" s="321">
        <v>31</v>
      </c>
      <c r="F1334" s="316">
        <f t="shared" si="177"/>
        <v>1.1481481481481481</v>
      </c>
      <c r="G1334" s="321">
        <v>9.9</v>
      </c>
      <c r="H1334" s="321">
        <v>9.9</v>
      </c>
      <c r="I1334" s="315">
        <f t="shared" si="189"/>
        <v>485.14950000000005</v>
      </c>
      <c r="J1334" s="316">
        <f t="shared" si="179"/>
        <v>3.5937000000000006</v>
      </c>
    </row>
    <row r="1335" spans="1:11">
      <c r="A1335" s="321">
        <v>46</v>
      </c>
      <c r="B1335" s="295">
        <f t="shared" si="180"/>
        <v>34</v>
      </c>
      <c r="C1335" s="321">
        <v>7.2</v>
      </c>
      <c r="D1335" s="321" t="s">
        <v>111</v>
      </c>
      <c r="E1335" s="321"/>
      <c r="F1335" s="316" t="str">
        <f t="shared" si="177"/>
        <v/>
      </c>
      <c r="G1335" s="321"/>
      <c r="H1335" s="321"/>
      <c r="J1335" s="316" t="str">
        <f t="shared" si="179"/>
        <v/>
      </c>
    </row>
    <row r="1336" spans="1:11">
      <c r="A1336" s="321">
        <v>46</v>
      </c>
      <c r="B1336" s="295">
        <f t="shared" si="180"/>
        <v>34</v>
      </c>
      <c r="C1336" s="321">
        <v>7.3</v>
      </c>
      <c r="D1336" s="321" t="s">
        <v>113</v>
      </c>
      <c r="E1336" s="321">
        <v>30</v>
      </c>
      <c r="F1336" s="316">
        <f t="shared" si="177"/>
        <v>1.1111111111111112</v>
      </c>
      <c r="G1336" s="321">
        <v>5</v>
      </c>
      <c r="H1336" s="321">
        <v>4.5</v>
      </c>
      <c r="I1336" s="315">
        <f t="shared" si="189"/>
        <v>50.625</v>
      </c>
      <c r="J1336" s="316">
        <f t="shared" si="179"/>
        <v>0.35430839002267578</v>
      </c>
      <c r="K1336" s="316" t="s">
        <v>180</v>
      </c>
    </row>
    <row r="1337" spans="1:11">
      <c r="A1337" s="321">
        <v>46</v>
      </c>
      <c r="B1337" s="295">
        <f t="shared" si="180"/>
        <v>34</v>
      </c>
      <c r="C1337" s="321">
        <v>7.4</v>
      </c>
      <c r="D1337" s="321" t="s">
        <v>115</v>
      </c>
      <c r="E1337" s="321"/>
      <c r="F1337" s="316" t="str">
        <f t="shared" si="177"/>
        <v/>
      </c>
      <c r="G1337" s="321"/>
      <c r="H1337" s="321"/>
      <c r="J1337" s="316" t="str">
        <f t="shared" si="179"/>
        <v/>
      </c>
    </row>
    <row r="1338" spans="1:11">
      <c r="A1338" s="321">
        <v>46</v>
      </c>
      <c r="B1338" s="295">
        <f t="shared" si="180"/>
        <v>34</v>
      </c>
      <c r="C1338" s="321">
        <v>7.5</v>
      </c>
      <c r="D1338" s="321" t="s">
        <v>111</v>
      </c>
      <c r="E1338" s="321"/>
      <c r="F1338" s="316" t="str">
        <f t="shared" si="177"/>
        <v/>
      </c>
      <c r="G1338" s="321"/>
      <c r="H1338" s="321"/>
      <c r="J1338" s="316" t="str">
        <f t="shared" si="179"/>
        <v/>
      </c>
    </row>
    <row r="1339" spans="1:11">
      <c r="A1339" s="321">
        <v>47</v>
      </c>
      <c r="B1339" s="295">
        <f t="shared" si="180"/>
        <v>35</v>
      </c>
      <c r="C1339" s="321">
        <v>1.1000000000000001</v>
      </c>
      <c r="D1339" s="321" t="s">
        <v>112</v>
      </c>
      <c r="E1339" s="321"/>
      <c r="F1339" s="316" t="str">
        <f t="shared" si="177"/>
        <v/>
      </c>
      <c r="G1339" s="321"/>
      <c r="H1339" s="321"/>
      <c r="J1339" s="316" t="str">
        <f t="shared" si="179"/>
        <v/>
      </c>
    </row>
    <row r="1340" spans="1:11">
      <c r="A1340" s="321">
        <v>47</v>
      </c>
      <c r="B1340" s="295">
        <f t="shared" si="180"/>
        <v>35</v>
      </c>
      <c r="C1340" s="321">
        <v>1.2</v>
      </c>
      <c r="D1340" s="321" t="s">
        <v>113</v>
      </c>
      <c r="E1340" s="321">
        <v>30</v>
      </c>
      <c r="F1340" s="316">
        <f t="shared" si="177"/>
        <v>1.1111111111111112</v>
      </c>
      <c r="G1340" s="321">
        <v>6</v>
      </c>
      <c r="H1340" s="321">
        <v>5.2</v>
      </c>
      <c r="I1340" s="315">
        <f t="shared" ref="I1340:I1341" si="190">G1340*(H1340^2)*0.5</f>
        <v>81.12</v>
      </c>
      <c r="J1340" s="316">
        <f t="shared" si="179"/>
        <v>0.38776012600292065</v>
      </c>
    </row>
    <row r="1341" spans="1:11">
      <c r="A1341" s="321">
        <v>47</v>
      </c>
      <c r="B1341" s="295">
        <f t="shared" si="180"/>
        <v>35</v>
      </c>
      <c r="C1341" s="321">
        <v>1.3</v>
      </c>
      <c r="D1341" s="321" t="s">
        <v>115</v>
      </c>
      <c r="E1341" s="321">
        <v>28</v>
      </c>
      <c r="F1341" s="316">
        <f t="shared" si="177"/>
        <v>1.1666666666666667</v>
      </c>
      <c r="G1341" s="321">
        <v>15</v>
      </c>
      <c r="H1341" s="321">
        <v>12.6</v>
      </c>
      <c r="I1341" s="315">
        <f t="shared" si="190"/>
        <v>1190.6999999999998</v>
      </c>
      <c r="J1341" s="316">
        <f t="shared" si="179"/>
        <v>12.009803921568626</v>
      </c>
    </row>
    <row r="1342" spans="1:11">
      <c r="A1342" s="321">
        <v>47</v>
      </c>
      <c r="B1342" s="295">
        <f t="shared" si="180"/>
        <v>35</v>
      </c>
      <c r="C1342" s="321">
        <v>1.4</v>
      </c>
      <c r="D1342" s="321" t="s">
        <v>115</v>
      </c>
      <c r="E1342" s="321"/>
      <c r="F1342" s="316" t="str">
        <f t="shared" si="177"/>
        <v/>
      </c>
      <c r="G1342" s="321"/>
      <c r="H1342" s="321"/>
      <c r="J1342" s="316" t="str">
        <f t="shared" si="179"/>
        <v/>
      </c>
    </row>
    <row r="1343" spans="1:11">
      <c r="A1343" s="321">
        <v>47</v>
      </c>
      <c r="B1343" s="295">
        <f t="shared" si="180"/>
        <v>35</v>
      </c>
      <c r="C1343" s="321">
        <v>1.5</v>
      </c>
      <c r="D1343" s="321" t="s">
        <v>112</v>
      </c>
      <c r="E1343" s="321">
        <v>30</v>
      </c>
      <c r="F1343" s="316">
        <f t="shared" si="177"/>
        <v>1.0714285714285714</v>
      </c>
      <c r="G1343" s="321">
        <v>11.4</v>
      </c>
      <c r="H1343" s="321">
        <v>10.5</v>
      </c>
      <c r="I1343" s="315">
        <f t="shared" ref="I1343:I1344" si="191">G1343*(H1343^2)*0.5</f>
        <v>628.42500000000007</v>
      </c>
      <c r="J1343" s="316">
        <f t="shared" si="179"/>
        <v>4.5124727136948533</v>
      </c>
    </row>
    <row r="1344" spans="1:11">
      <c r="A1344" s="321">
        <v>47</v>
      </c>
      <c r="B1344" s="295">
        <f t="shared" si="180"/>
        <v>35</v>
      </c>
      <c r="C1344" s="321">
        <v>2.1</v>
      </c>
      <c r="D1344" s="321" t="s">
        <v>114</v>
      </c>
      <c r="E1344" s="321">
        <v>31</v>
      </c>
      <c r="F1344" s="316">
        <f t="shared" si="177"/>
        <v>1.1923076923076923</v>
      </c>
      <c r="G1344" s="321">
        <v>11</v>
      </c>
      <c r="H1344" s="321">
        <v>9.8000000000000007</v>
      </c>
      <c r="I1344" s="315">
        <f t="shared" si="191"/>
        <v>528.22000000000014</v>
      </c>
      <c r="J1344" s="316">
        <f t="shared" si="179"/>
        <v>2.8087918983087801</v>
      </c>
    </row>
    <row r="1345" spans="1:10">
      <c r="A1345" s="321">
        <v>47</v>
      </c>
      <c r="B1345" s="295">
        <f t="shared" si="180"/>
        <v>35</v>
      </c>
      <c r="C1345" s="321">
        <v>2.2000000000000002</v>
      </c>
      <c r="D1345" s="321" t="s">
        <v>115</v>
      </c>
      <c r="E1345" s="321"/>
      <c r="F1345" s="316" t="str">
        <f t="shared" si="177"/>
        <v/>
      </c>
      <c r="G1345" s="321"/>
      <c r="H1345" s="321"/>
      <c r="J1345" s="316" t="str">
        <f t="shared" si="179"/>
        <v/>
      </c>
    </row>
    <row r="1346" spans="1:10">
      <c r="A1346" s="321">
        <v>47</v>
      </c>
      <c r="B1346" s="295">
        <f t="shared" si="180"/>
        <v>35</v>
      </c>
      <c r="C1346" s="321">
        <v>2.2999999999999998</v>
      </c>
      <c r="D1346" s="321" t="s">
        <v>112</v>
      </c>
      <c r="E1346" s="321"/>
      <c r="F1346" s="316" t="str">
        <f t="shared" si="177"/>
        <v/>
      </c>
      <c r="G1346" s="321"/>
      <c r="H1346" s="321"/>
      <c r="J1346" s="316" t="str">
        <f t="shared" si="179"/>
        <v/>
      </c>
    </row>
    <row r="1347" spans="1:10">
      <c r="A1347" s="321">
        <v>47</v>
      </c>
      <c r="B1347" s="295">
        <f t="shared" si="180"/>
        <v>35</v>
      </c>
      <c r="C1347" s="321">
        <v>2.4</v>
      </c>
      <c r="D1347" s="321" t="s">
        <v>114</v>
      </c>
      <c r="E1347" s="321">
        <v>29</v>
      </c>
      <c r="F1347" s="316">
        <f t="shared" si="177"/>
        <v>1.1599999999999999</v>
      </c>
      <c r="G1347" s="321">
        <v>8.9</v>
      </c>
      <c r="H1347" s="321">
        <v>7.9</v>
      </c>
      <c r="I1347" s="315">
        <f t="shared" ref="I1347:I1351" si="192">G1347*(H1347^2)*0.5</f>
        <v>277.72450000000003</v>
      </c>
      <c r="J1347" s="316">
        <f t="shared" si="179"/>
        <v>2.583483720930233</v>
      </c>
    </row>
    <row r="1348" spans="1:10">
      <c r="A1348" s="321">
        <v>47</v>
      </c>
      <c r="B1348" s="295">
        <f t="shared" si="180"/>
        <v>35</v>
      </c>
      <c r="C1348" s="321">
        <v>2.5</v>
      </c>
      <c r="D1348" s="321" t="s">
        <v>113</v>
      </c>
      <c r="E1348" s="321">
        <v>30</v>
      </c>
      <c r="F1348" s="316">
        <f t="shared" si="177"/>
        <v>1.1111111111111112</v>
      </c>
      <c r="G1348" s="321">
        <v>5.3</v>
      </c>
      <c r="H1348" s="321">
        <v>5.2</v>
      </c>
      <c r="I1348" s="315">
        <f t="shared" si="192"/>
        <v>71.656000000000006</v>
      </c>
      <c r="J1348" s="316">
        <f t="shared" si="179"/>
        <v>0.42006776799427847</v>
      </c>
    </row>
    <row r="1349" spans="1:10">
      <c r="A1349" s="321">
        <v>47</v>
      </c>
      <c r="B1349" s="295">
        <f t="shared" si="180"/>
        <v>35</v>
      </c>
      <c r="C1349" s="321">
        <v>3.1</v>
      </c>
      <c r="D1349" s="321" t="s">
        <v>115</v>
      </c>
      <c r="E1349" s="321">
        <v>23</v>
      </c>
      <c r="F1349" s="316">
        <f t="shared" si="177"/>
        <v>0.95833333333333337</v>
      </c>
      <c r="G1349" s="321">
        <v>5</v>
      </c>
      <c r="H1349" s="321">
        <v>4.3</v>
      </c>
      <c r="I1349" s="315">
        <f t="shared" si="192"/>
        <v>46.224999999999994</v>
      </c>
      <c r="J1349" s="316">
        <f t="shared" si="179"/>
        <v>0.25443786982248517</v>
      </c>
    </row>
    <row r="1350" spans="1:10">
      <c r="A1350" s="321">
        <v>47</v>
      </c>
      <c r="B1350" s="295">
        <f t="shared" si="180"/>
        <v>35</v>
      </c>
      <c r="C1350" s="321">
        <v>3.2</v>
      </c>
      <c r="D1350" s="321" t="s">
        <v>113</v>
      </c>
      <c r="E1350" s="321">
        <v>33</v>
      </c>
      <c r="F1350" s="316">
        <f t="shared" si="177"/>
        <v>1.1000000000000001</v>
      </c>
      <c r="G1350" s="321">
        <v>6</v>
      </c>
      <c r="H1350" s="321">
        <v>5.0999999999999996</v>
      </c>
      <c r="I1350" s="315">
        <f t="shared" si="192"/>
        <v>78.03</v>
      </c>
      <c r="J1350" s="316">
        <f t="shared" si="179"/>
        <v>0.40662650602409645</v>
      </c>
    </row>
    <row r="1351" spans="1:10">
      <c r="A1351" s="321">
        <v>47</v>
      </c>
      <c r="B1351" s="295">
        <f t="shared" si="180"/>
        <v>35</v>
      </c>
      <c r="C1351" s="321">
        <v>3.3</v>
      </c>
      <c r="D1351" s="321" t="s">
        <v>114</v>
      </c>
      <c r="E1351" s="321">
        <v>29</v>
      </c>
      <c r="F1351" s="316">
        <f t="shared" si="177"/>
        <v>1.1599999999999999</v>
      </c>
      <c r="G1351" s="321">
        <v>12.1</v>
      </c>
      <c r="H1351" s="321">
        <v>11.3</v>
      </c>
      <c r="I1351" s="315">
        <f t="shared" si="192"/>
        <v>772.5245000000001</v>
      </c>
      <c r="J1351" s="316">
        <f t="shared" si="179"/>
        <v>3.7537633624878524</v>
      </c>
    </row>
    <row r="1352" spans="1:10">
      <c r="A1352" s="321">
        <v>47</v>
      </c>
      <c r="B1352" s="295">
        <f t="shared" si="180"/>
        <v>35</v>
      </c>
      <c r="C1352" s="321">
        <v>3.4</v>
      </c>
      <c r="D1352" s="321" t="s">
        <v>114</v>
      </c>
      <c r="E1352" s="321"/>
      <c r="F1352" s="316" t="str">
        <f t="shared" si="177"/>
        <v/>
      </c>
      <c r="G1352" s="321"/>
      <c r="H1352" s="321"/>
      <c r="J1352" s="316" t="str">
        <f t="shared" si="179"/>
        <v/>
      </c>
    </row>
    <row r="1353" spans="1:10">
      <c r="A1353" s="321">
        <v>47</v>
      </c>
      <c r="B1353" s="295">
        <f t="shared" si="180"/>
        <v>35</v>
      </c>
      <c r="C1353" s="321">
        <v>3.5</v>
      </c>
      <c r="D1353" s="321" t="s">
        <v>115</v>
      </c>
      <c r="E1353" s="321"/>
      <c r="F1353" s="316" t="str">
        <f t="shared" ref="F1353:F1416" si="193">IF(ISBLANK(E1353),"",E1353/SUMIFS(E:E,C:C,C1353,B:B,"0"))</f>
        <v/>
      </c>
      <c r="G1353" s="321"/>
      <c r="H1353" s="321"/>
      <c r="J1353" s="316" t="str">
        <f t="shared" ref="J1353:J1416" si="194">IF(ISBLANK(I1353),"",I1353/SUMIFS(I:I,C:C,C1353,B:B,"0"))</f>
        <v/>
      </c>
    </row>
    <row r="1354" spans="1:10">
      <c r="A1354" s="321">
        <v>47</v>
      </c>
      <c r="B1354" s="295">
        <f t="shared" ref="B1354:B1417" si="195">A1354-12</f>
        <v>35</v>
      </c>
      <c r="C1354" s="321">
        <v>4.0999999999999996</v>
      </c>
      <c r="D1354" s="321" t="s">
        <v>111</v>
      </c>
      <c r="E1354" s="321"/>
      <c r="F1354" s="316" t="str">
        <f t="shared" si="193"/>
        <v/>
      </c>
      <c r="G1354" s="321"/>
      <c r="H1354" s="321"/>
      <c r="J1354" s="316" t="str">
        <f t="shared" si="194"/>
        <v/>
      </c>
    </row>
    <row r="1355" spans="1:10">
      <c r="A1355" s="321">
        <v>47</v>
      </c>
      <c r="B1355" s="295">
        <f t="shared" si="195"/>
        <v>35</v>
      </c>
      <c r="C1355" s="321">
        <v>4.2</v>
      </c>
      <c r="D1355" s="321" t="s">
        <v>112</v>
      </c>
      <c r="E1355" s="321"/>
      <c r="F1355" s="316" t="str">
        <f t="shared" si="193"/>
        <v/>
      </c>
      <c r="G1355" s="321"/>
      <c r="H1355" s="321"/>
      <c r="J1355" s="316" t="str">
        <f t="shared" si="194"/>
        <v/>
      </c>
    </row>
    <row r="1356" spans="1:10">
      <c r="A1356" s="321">
        <v>47</v>
      </c>
      <c r="B1356" s="295">
        <f t="shared" si="195"/>
        <v>35</v>
      </c>
      <c r="C1356" s="321">
        <v>4.3</v>
      </c>
      <c r="D1356" s="321" t="s">
        <v>113</v>
      </c>
      <c r="E1356" s="321">
        <v>29</v>
      </c>
      <c r="F1356" s="316">
        <f t="shared" si="193"/>
        <v>1.1153846153846154</v>
      </c>
      <c r="G1356" s="321">
        <v>7.5</v>
      </c>
      <c r="H1356" s="321">
        <v>6.2</v>
      </c>
      <c r="I1356" s="315">
        <f t="shared" ref="I1356" si="196">G1356*(H1356^2)*0.5</f>
        <v>144.15</v>
      </c>
      <c r="J1356" s="316">
        <f t="shared" si="194"/>
        <v>1.0350844439338236</v>
      </c>
    </row>
    <row r="1357" spans="1:10">
      <c r="A1357" s="321">
        <v>47</v>
      </c>
      <c r="B1357" s="295">
        <f t="shared" si="195"/>
        <v>35</v>
      </c>
      <c r="C1357" s="321">
        <v>4.4000000000000004</v>
      </c>
      <c r="D1357" s="321" t="s">
        <v>112</v>
      </c>
      <c r="E1357" s="321"/>
      <c r="F1357" s="316" t="str">
        <f t="shared" si="193"/>
        <v/>
      </c>
      <c r="G1357" s="321"/>
      <c r="H1357" s="321"/>
      <c r="J1357" s="316" t="str">
        <f t="shared" si="194"/>
        <v/>
      </c>
    </row>
    <row r="1358" spans="1:10">
      <c r="A1358" s="321">
        <v>47</v>
      </c>
      <c r="B1358" s="295">
        <f t="shared" si="195"/>
        <v>35</v>
      </c>
      <c r="C1358" s="321">
        <v>4.5</v>
      </c>
      <c r="D1358" s="321" t="s">
        <v>112</v>
      </c>
      <c r="E1358" s="321"/>
      <c r="F1358" s="316" t="str">
        <f t="shared" si="193"/>
        <v/>
      </c>
      <c r="G1358" s="321"/>
      <c r="H1358" s="321"/>
      <c r="J1358" s="316" t="str">
        <f t="shared" si="194"/>
        <v/>
      </c>
    </row>
    <row r="1359" spans="1:10">
      <c r="A1359" s="321">
        <v>47</v>
      </c>
      <c r="B1359" s="295">
        <f t="shared" si="195"/>
        <v>35</v>
      </c>
      <c r="C1359" s="321">
        <v>5.0999999999999996</v>
      </c>
      <c r="D1359" s="321" t="s">
        <v>113</v>
      </c>
      <c r="E1359" s="321">
        <v>27</v>
      </c>
      <c r="F1359" s="316">
        <f t="shared" si="193"/>
        <v>1.125</v>
      </c>
      <c r="G1359" s="321">
        <v>6.4</v>
      </c>
      <c r="H1359" s="321">
        <v>5.5</v>
      </c>
      <c r="I1359" s="315">
        <f t="shared" ref="I1359" si="197">G1359*(H1359^2)*0.5</f>
        <v>96.800000000000011</v>
      </c>
      <c r="J1359" s="316">
        <f t="shared" si="194"/>
        <v>0.58280601831504042</v>
      </c>
    </row>
    <row r="1360" spans="1:10">
      <c r="A1360" s="321">
        <v>47</v>
      </c>
      <c r="B1360" s="295">
        <f t="shared" si="195"/>
        <v>35</v>
      </c>
      <c r="C1360" s="321">
        <v>5.2</v>
      </c>
      <c r="D1360" s="321" t="s">
        <v>114</v>
      </c>
      <c r="E1360" s="321"/>
      <c r="F1360" s="316" t="str">
        <f t="shared" si="193"/>
        <v/>
      </c>
      <c r="G1360" s="321"/>
      <c r="H1360" s="321"/>
      <c r="J1360" s="316" t="str">
        <f t="shared" si="194"/>
        <v/>
      </c>
    </row>
    <row r="1361" spans="1:11">
      <c r="A1361" s="321">
        <v>47</v>
      </c>
      <c r="B1361" s="295">
        <f t="shared" si="195"/>
        <v>35</v>
      </c>
      <c r="C1361" s="321">
        <v>5.3</v>
      </c>
      <c r="D1361" s="321" t="s">
        <v>112</v>
      </c>
      <c r="E1361" s="321">
        <v>27</v>
      </c>
      <c r="F1361" s="316">
        <f t="shared" si="193"/>
        <v>0.9642857142857143</v>
      </c>
      <c r="G1361" s="321">
        <v>13.2</v>
      </c>
      <c r="H1361" s="321">
        <v>11.4</v>
      </c>
      <c r="I1361" s="315">
        <f t="shared" ref="I1361:I1364" si="198">G1361*(H1361^2)*0.5</f>
        <v>857.73599999999999</v>
      </c>
      <c r="J1361" s="316">
        <f t="shared" si="194"/>
        <v>3.6149294492489763</v>
      </c>
      <c r="K1361" s="316" t="s">
        <v>181</v>
      </c>
    </row>
    <row r="1362" spans="1:11">
      <c r="A1362" s="321">
        <v>47</v>
      </c>
      <c r="B1362" s="295">
        <f t="shared" si="195"/>
        <v>35</v>
      </c>
      <c r="C1362" s="321">
        <v>5.4</v>
      </c>
      <c r="D1362" s="321" t="s">
        <v>113</v>
      </c>
      <c r="E1362" s="321">
        <v>26</v>
      </c>
      <c r="F1362" s="316">
        <f t="shared" si="193"/>
        <v>1</v>
      </c>
      <c r="G1362" s="321">
        <v>7.5</v>
      </c>
      <c r="H1362" s="321">
        <v>5.6</v>
      </c>
      <c r="I1362" s="315">
        <f t="shared" si="198"/>
        <v>117.59999999999998</v>
      </c>
      <c r="J1362" s="316">
        <f t="shared" si="194"/>
        <v>0.65753424657534243</v>
      </c>
    </row>
    <row r="1363" spans="1:11">
      <c r="A1363" s="321">
        <v>47</v>
      </c>
      <c r="B1363" s="295">
        <f t="shared" si="195"/>
        <v>35</v>
      </c>
      <c r="C1363" s="321">
        <v>5.5</v>
      </c>
      <c r="D1363" s="321" t="s">
        <v>114</v>
      </c>
      <c r="E1363" s="321">
        <v>24</v>
      </c>
      <c r="F1363" s="316">
        <f t="shared" si="193"/>
        <v>1.0909090909090908</v>
      </c>
      <c r="G1363" s="321">
        <v>6.4</v>
      </c>
      <c r="H1363" s="321">
        <v>6.5</v>
      </c>
      <c r="I1363" s="315">
        <f t="shared" si="198"/>
        <v>135.20000000000002</v>
      </c>
      <c r="J1363" s="316">
        <f t="shared" si="194"/>
        <v>1.3439096638237809</v>
      </c>
      <c r="K1363" s="316" t="s">
        <v>182</v>
      </c>
    </row>
    <row r="1364" spans="1:11">
      <c r="A1364" s="321">
        <v>47</v>
      </c>
      <c r="B1364" s="295">
        <f t="shared" si="195"/>
        <v>35</v>
      </c>
      <c r="C1364" s="321">
        <v>6.1</v>
      </c>
      <c r="D1364" s="321" t="s">
        <v>115</v>
      </c>
      <c r="E1364" s="321">
        <v>30</v>
      </c>
      <c r="F1364" s="316">
        <f t="shared" si="193"/>
        <v>1.2</v>
      </c>
      <c r="G1364" s="321">
        <v>7.4</v>
      </c>
      <c r="H1364" s="321">
        <v>6</v>
      </c>
      <c r="I1364" s="315">
        <f t="shared" si="198"/>
        <v>133.20000000000002</v>
      </c>
      <c r="J1364" s="316">
        <f t="shared" si="194"/>
        <v>0.99004013676230118</v>
      </c>
    </row>
    <row r="1365" spans="1:11">
      <c r="A1365" s="321">
        <v>47</v>
      </c>
      <c r="B1365" s="295">
        <f t="shared" si="195"/>
        <v>35</v>
      </c>
      <c r="C1365" s="321">
        <v>6.2</v>
      </c>
      <c r="D1365" s="321" t="s">
        <v>115</v>
      </c>
      <c r="E1365" s="321"/>
      <c r="F1365" s="316" t="str">
        <f t="shared" si="193"/>
        <v/>
      </c>
      <c r="G1365" s="321"/>
      <c r="H1365" s="321"/>
      <c r="J1365" s="316" t="str">
        <f t="shared" si="194"/>
        <v/>
      </c>
    </row>
    <row r="1366" spans="1:11">
      <c r="A1366" s="321">
        <v>47</v>
      </c>
      <c r="B1366" s="295">
        <f t="shared" si="195"/>
        <v>35</v>
      </c>
      <c r="C1366" s="321">
        <v>6.3</v>
      </c>
      <c r="D1366" s="321" t="s">
        <v>114</v>
      </c>
      <c r="E1366" s="321"/>
      <c r="F1366" s="316" t="str">
        <f t="shared" si="193"/>
        <v/>
      </c>
      <c r="G1366" s="321"/>
      <c r="H1366" s="321"/>
      <c r="J1366" s="316" t="str">
        <f t="shared" si="194"/>
        <v/>
      </c>
    </row>
    <row r="1367" spans="1:11">
      <c r="A1367" s="321">
        <v>47</v>
      </c>
      <c r="B1367" s="295">
        <f t="shared" si="195"/>
        <v>35</v>
      </c>
      <c r="C1367" s="321">
        <v>6.4</v>
      </c>
      <c r="D1367" s="321" t="s">
        <v>112</v>
      </c>
      <c r="E1367" s="321"/>
      <c r="F1367" s="316" t="str">
        <f t="shared" si="193"/>
        <v/>
      </c>
      <c r="G1367" s="321"/>
      <c r="H1367" s="321"/>
      <c r="J1367" s="316" t="str">
        <f t="shared" si="194"/>
        <v/>
      </c>
    </row>
    <row r="1368" spans="1:11">
      <c r="A1368" s="321">
        <v>47</v>
      </c>
      <c r="B1368" s="295">
        <f t="shared" si="195"/>
        <v>35</v>
      </c>
      <c r="C1368" s="321">
        <v>6.5</v>
      </c>
      <c r="D1368" s="321" t="s">
        <v>113</v>
      </c>
      <c r="E1368" s="321">
        <v>28</v>
      </c>
      <c r="F1368" s="316">
        <f t="shared" si="193"/>
        <v>1.1666666666666667</v>
      </c>
      <c r="G1368" s="321">
        <v>8.4</v>
      </c>
      <c r="H1368" s="321">
        <v>8.3000000000000007</v>
      </c>
      <c r="I1368" s="315">
        <f t="shared" ref="I1368:I1369" si="199">G1368*(H1368^2)*0.5</f>
        <v>289.33800000000008</v>
      </c>
      <c r="J1368" s="316">
        <f t="shared" si="194"/>
        <v>5.7153185185185205</v>
      </c>
      <c r="K1368" s="316" t="s">
        <v>163</v>
      </c>
    </row>
    <row r="1369" spans="1:11">
      <c r="A1369" s="321">
        <v>47</v>
      </c>
      <c r="B1369" s="295">
        <f t="shared" si="195"/>
        <v>35</v>
      </c>
      <c r="C1369" s="321">
        <v>7.1</v>
      </c>
      <c r="D1369" s="321" t="s">
        <v>114</v>
      </c>
      <c r="E1369" s="321">
        <v>32</v>
      </c>
      <c r="F1369" s="316">
        <f t="shared" si="193"/>
        <v>1.1851851851851851</v>
      </c>
      <c r="G1369" s="321">
        <v>11.5</v>
      </c>
      <c r="H1369" s="321">
        <v>10.3</v>
      </c>
      <c r="I1369" s="315">
        <f t="shared" si="199"/>
        <v>610.01750000000015</v>
      </c>
      <c r="J1369" s="316">
        <f t="shared" si="194"/>
        <v>4.5186481481481495</v>
      </c>
    </row>
    <row r="1370" spans="1:11">
      <c r="A1370" s="321">
        <v>47</v>
      </c>
      <c r="B1370" s="295">
        <f t="shared" si="195"/>
        <v>35</v>
      </c>
      <c r="C1370" s="321">
        <v>7.2</v>
      </c>
      <c r="D1370" s="321" t="s">
        <v>111</v>
      </c>
      <c r="E1370" s="321"/>
      <c r="F1370" s="316" t="str">
        <f t="shared" si="193"/>
        <v/>
      </c>
      <c r="G1370" s="321"/>
      <c r="H1370" s="321"/>
      <c r="J1370" s="316" t="str">
        <f t="shared" si="194"/>
        <v/>
      </c>
    </row>
    <row r="1371" spans="1:11">
      <c r="A1371" s="321">
        <v>47</v>
      </c>
      <c r="B1371" s="295">
        <f t="shared" si="195"/>
        <v>35</v>
      </c>
      <c r="C1371" s="321">
        <v>7.3</v>
      </c>
      <c r="D1371" s="321" t="s">
        <v>113</v>
      </c>
      <c r="E1371" s="321">
        <v>30</v>
      </c>
      <c r="F1371" s="316">
        <f t="shared" si="193"/>
        <v>1.1111111111111112</v>
      </c>
      <c r="G1371" s="321">
        <v>5</v>
      </c>
      <c r="H1371" s="321">
        <v>4.9000000000000004</v>
      </c>
      <c r="I1371" s="315">
        <f t="shared" ref="I1371" si="200">G1371*(H1371^2)*0.5</f>
        <v>60.025000000000013</v>
      </c>
      <c r="J1371" s="316">
        <f t="shared" si="194"/>
        <v>0.42009602194787393</v>
      </c>
      <c r="K1371" s="316" t="s">
        <v>135</v>
      </c>
    </row>
    <row r="1372" spans="1:11">
      <c r="A1372" s="321">
        <v>47</v>
      </c>
      <c r="B1372" s="295">
        <f t="shared" si="195"/>
        <v>35</v>
      </c>
      <c r="C1372" s="321">
        <v>7.4</v>
      </c>
      <c r="D1372" s="321" t="s">
        <v>115</v>
      </c>
      <c r="E1372" s="321"/>
      <c r="F1372" s="316" t="str">
        <f t="shared" si="193"/>
        <v/>
      </c>
      <c r="G1372" s="321"/>
      <c r="H1372" s="321"/>
      <c r="J1372" s="316" t="str">
        <f t="shared" si="194"/>
        <v/>
      </c>
    </row>
    <row r="1373" spans="1:11">
      <c r="A1373" s="321">
        <v>47</v>
      </c>
      <c r="B1373" s="295">
        <f t="shared" si="195"/>
        <v>35</v>
      </c>
      <c r="C1373" s="321">
        <v>7.5</v>
      </c>
      <c r="D1373" s="321" t="s">
        <v>111</v>
      </c>
      <c r="E1373" s="321"/>
      <c r="F1373" s="316" t="str">
        <f t="shared" si="193"/>
        <v/>
      </c>
      <c r="G1373" s="321"/>
      <c r="H1373" s="321"/>
      <c r="J1373" s="316" t="str">
        <f t="shared" si="194"/>
        <v/>
      </c>
    </row>
    <row r="1374" spans="1:11">
      <c r="A1374" s="321">
        <v>49</v>
      </c>
      <c r="B1374" s="295">
        <f t="shared" si="195"/>
        <v>37</v>
      </c>
      <c r="C1374" s="321">
        <v>1.1000000000000001</v>
      </c>
      <c r="D1374" s="321" t="s">
        <v>112</v>
      </c>
      <c r="E1374" s="321"/>
      <c r="F1374" s="316" t="str">
        <f t="shared" si="193"/>
        <v/>
      </c>
      <c r="G1374" s="321"/>
      <c r="H1374" s="321"/>
      <c r="J1374" s="316" t="str">
        <f t="shared" si="194"/>
        <v/>
      </c>
    </row>
    <row r="1375" spans="1:11">
      <c r="A1375" s="321">
        <v>49</v>
      </c>
      <c r="B1375" s="295">
        <f t="shared" si="195"/>
        <v>37</v>
      </c>
      <c r="C1375" s="321">
        <v>1.2</v>
      </c>
      <c r="D1375" s="321" t="s">
        <v>113</v>
      </c>
      <c r="E1375" s="321">
        <v>31</v>
      </c>
      <c r="F1375" s="316">
        <f t="shared" si="193"/>
        <v>1.1481481481481481</v>
      </c>
      <c r="G1375" s="321">
        <v>5.8</v>
      </c>
      <c r="H1375" s="321">
        <v>4.8</v>
      </c>
      <c r="I1375" s="315">
        <f t="shared" ref="I1375:I1376" si="201">G1375*(H1375^2)*0.5</f>
        <v>66.816000000000003</v>
      </c>
      <c r="J1375" s="316">
        <f t="shared" si="194"/>
        <v>0.31938585526394409</v>
      </c>
    </row>
    <row r="1376" spans="1:11">
      <c r="A1376" s="321">
        <v>49</v>
      </c>
      <c r="B1376" s="295">
        <f t="shared" si="195"/>
        <v>37</v>
      </c>
      <c r="C1376" s="321">
        <v>1.3</v>
      </c>
      <c r="D1376" s="321" t="s">
        <v>115</v>
      </c>
      <c r="E1376" s="321">
        <v>28</v>
      </c>
      <c r="F1376" s="316">
        <f t="shared" si="193"/>
        <v>1.1666666666666667</v>
      </c>
      <c r="G1376" s="321">
        <v>15.7</v>
      </c>
      <c r="H1376" s="321">
        <v>13.3</v>
      </c>
      <c r="I1376" s="315">
        <f t="shared" si="201"/>
        <v>1388.5865000000001</v>
      </c>
      <c r="J1376" s="316">
        <f t="shared" si="194"/>
        <v>14.005754256435084</v>
      </c>
    </row>
    <row r="1377" spans="1:10">
      <c r="A1377" s="321">
        <v>49</v>
      </c>
      <c r="B1377" s="295">
        <f t="shared" si="195"/>
        <v>37</v>
      </c>
      <c r="C1377" s="321">
        <v>1.4</v>
      </c>
      <c r="D1377" s="321" t="s">
        <v>115</v>
      </c>
      <c r="E1377" s="321"/>
      <c r="F1377" s="316" t="str">
        <f t="shared" si="193"/>
        <v/>
      </c>
      <c r="G1377" s="321"/>
      <c r="H1377" s="321"/>
      <c r="J1377" s="316" t="str">
        <f t="shared" si="194"/>
        <v/>
      </c>
    </row>
    <row r="1378" spans="1:10">
      <c r="A1378" s="321">
        <v>49</v>
      </c>
      <c r="B1378" s="295">
        <f t="shared" si="195"/>
        <v>37</v>
      </c>
      <c r="C1378" s="321">
        <v>1.5</v>
      </c>
      <c r="D1378" s="321" t="s">
        <v>112</v>
      </c>
      <c r="E1378" s="321">
        <v>31</v>
      </c>
      <c r="F1378" s="316">
        <f t="shared" si="193"/>
        <v>1.1071428571428572</v>
      </c>
      <c r="G1378" s="321">
        <v>11.8</v>
      </c>
      <c r="H1378" s="321">
        <v>10.9</v>
      </c>
      <c r="I1378" s="315">
        <f t="shared" ref="I1378:I1379" si="202">G1378*(H1378^2)*0.5</f>
        <v>700.97900000000004</v>
      </c>
      <c r="J1378" s="316">
        <f t="shared" si="194"/>
        <v>5.0334544462316178</v>
      </c>
    </row>
    <row r="1379" spans="1:10">
      <c r="A1379" s="321">
        <v>49</v>
      </c>
      <c r="B1379" s="295">
        <f t="shared" si="195"/>
        <v>37</v>
      </c>
      <c r="C1379" s="321">
        <v>2.1</v>
      </c>
      <c r="D1379" s="321" t="s">
        <v>114</v>
      </c>
      <c r="E1379" s="321">
        <v>31</v>
      </c>
      <c r="F1379" s="316">
        <f t="shared" si="193"/>
        <v>1.1923076923076923</v>
      </c>
      <c r="G1379" s="321">
        <v>12.4</v>
      </c>
      <c r="H1379" s="321">
        <v>11.7</v>
      </c>
      <c r="I1379" s="315">
        <f t="shared" si="202"/>
        <v>848.71799999999996</v>
      </c>
      <c r="J1379" s="316">
        <f t="shared" si="194"/>
        <v>4.5130291211026288</v>
      </c>
    </row>
    <row r="1380" spans="1:10" s="316" customFormat="1">
      <c r="A1380" s="321">
        <v>49</v>
      </c>
      <c r="B1380" s="295">
        <f t="shared" si="195"/>
        <v>37</v>
      </c>
      <c r="C1380" s="321">
        <v>2.2000000000000002</v>
      </c>
      <c r="D1380" s="321" t="s">
        <v>115</v>
      </c>
      <c r="E1380" s="321"/>
      <c r="F1380" s="316" t="str">
        <f t="shared" si="193"/>
        <v/>
      </c>
      <c r="G1380" s="321"/>
      <c r="H1380" s="321"/>
      <c r="I1380" s="315"/>
      <c r="J1380" s="316" t="str">
        <f t="shared" si="194"/>
        <v/>
      </c>
    </row>
    <row r="1381" spans="1:10" s="316" customFormat="1">
      <c r="A1381" s="321">
        <v>49</v>
      </c>
      <c r="B1381" s="295">
        <f t="shared" si="195"/>
        <v>37</v>
      </c>
      <c r="C1381" s="321">
        <v>2.2999999999999998</v>
      </c>
      <c r="D1381" s="321" t="s">
        <v>112</v>
      </c>
      <c r="E1381" s="321"/>
      <c r="F1381" s="316" t="str">
        <f t="shared" si="193"/>
        <v/>
      </c>
      <c r="G1381" s="321"/>
      <c r="H1381" s="321"/>
      <c r="I1381" s="315"/>
      <c r="J1381" s="316" t="str">
        <f t="shared" si="194"/>
        <v/>
      </c>
    </row>
    <row r="1382" spans="1:10" s="316" customFormat="1">
      <c r="A1382" s="321">
        <v>49</v>
      </c>
      <c r="B1382" s="295">
        <f t="shared" si="195"/>
        <v>37</v>
      </c>
      <c r="C1382" s="321">
        <v>2.4</v>
      </c>
      <c r="D1382" s="321" t="s">
        <v>114</v>
      </c>
      <c r="E1382" s="321">
        <v>29</v>
      </c>
      <c r="F1382" s="316">
        <f t="shared" si="193"/>
        <v>1.1599999999999999</v>
      </c>
      <c r="G1382" s="321">
        <v>10.4</v>
      </c>
      <c r="H1382" s="321">
        <v>8.1</v>
      </c>
      <c r="I1382" s="315">
        <f t="shared" ref="I1382:I1386" si="203">G1382*(H1382^2)*0.5</f>
        <v>341.17200000000003</v>
      </c>
      <c r="J1382" s="316">
        <f t="shared" si="194"/>
        <v>3.1736930232558143</v>
      </c>
    </row>
    <row r="1383" spans="1:10" s="316" customFormat="1">
      <c r="A1383" s="321">
        <v>49</v>
      </c>
      <c r="B1383" s="295">
        <f t="shared" si="195"/>
        <v>37</v>
      </c>
      <c r="C1383" s="321">
        <v>2.5</v>
      </c>
      <c r="D1383" s="321" t="s">
        <v>113</v>
      </c>
      <c r="E1383" s="321">
        <v>31</v>
      </c>
      <c r="F1383" s="316">
        <f t="shared" si="193"/>
        <v>1.1481481481481481</v>
      </c>
      <c r="G1383" s="321">
        <v>5.7</v>
      </c>
      <c r="H1383" s="321">
        <v>5.4</v>
      </c>
      <c r="I1383" s="315">
        <f t="shared" si="203"/>
        <v>83.106000000000009</v>
      </c>
      <c r="J1383" s="316">
        <f t="shared" si="194"/>
        <v>0.48719091111606155</v>
      </c>
    </row>
    <row r="1384" spans="1:10" s="316" customFormat="1">
      <c r="A1384" s="321">
        <v>49</v>
      </c>
      <c r="B1384" s="295">
        <f t="shared" si="195"/>
        <v>37</v>
      </c>
      <c r="C1384" s="321">
        <v>3.1</v>
      </c>
      <c r="D1384" s="321" t="s">
        <v>115</v>
      </c>
      <c r="E1384" s="321">
        <v>24</v>
      </c>
      <c r="F1384" s="316">
        <f t="shared" si="193"/>
        <v>1</v>
      </c>
      <c r="G1384" s="321">
        <v>5.4</v>
      </c>
      <c r="H1384" s="321">
        <v>4</v>
      </c>
      <c r="I1384" s="315">
        <f t="shared" si="203"/>
        <v>43.2</v>
      </c>
      <c r="J1384" s="316">
        <f t="shared" si="194"/>
        <v>0.23778725746525392</v>
      </c>
    </row>
    <row r="1385" spans="1:10" s="316" customFormat="1">
      <c r="A1385" s="321">
        <v>49</v>
      </c>
      <c r="B1385" s="295">
        <f t="shared" si="195"/>
        <v>37</v>
      </c>
      <c r="C1385" s="321">
        <v>3.2</v>
      </c>
      <c r="D1385" s="321" t="s">
        <v>113</v>
      </c>
      <c r="E1385" s="321">
        <v>34</v>
      </c>
      <c r="F1385" s="316">
        <f t="shared" si="193"/>
        <v>1.1333333333333333</v>
      </c>
      <c r="G1385" s="321">
        <v>6.5</v>
      </c>
      <c r="H1385" s="321">
        <v>5.7</v>
      </c>
      <c r="I1385" s="315">
        <f t="shared" si="203"/>
        <v>105.5925</v>
      </c>
      <c r="J1385" s="316">
        <f t="shared" si="194"/>
        <v>0.55025899445533</v>
      </c>
    </row>
    <row r="1386" spans="1:10" s="316" customFormat="1">
      <c r="A1386" s="321">
        <v>49</v>
      </c>
      <c r="B1386" s="295">
        <f t="shared" si="195"/>
        <v>37</v>
      </c>
      <c r="C1386" s="321">
        <v>3.3</v>
      </c>
      <c r="D1386" s="321" t="s">
        <v>114</v>
      </c>
      <c r="E1386" s="321">
        <v>29</v>
      </c>
      <c r="F1386" s="316">
        <f t="shared" si="193"/>
        <v>1.1599999999999999</v>
      </c>
      <c r="G1386" s="321">
        <v>11.8</v>
      </c>
      <c r="H1386" s="321">
        <v>10.9</v>
      </c>
      <c r="I1386" s="315">
        <f t="shared" si="203"/>
        <v>700.97900000000004</v>
      </c>
      <c r="J1386" s="316">
        <f t="shared" si="194"/>
        <v>3.4061175898931002</v>
      </c>
    </row>
    <row r="1387" spans="1:10" s="316" customFormat="1">
      <c r="A1387" s="321">
        <v>49</v>
      </c>
      <c r="B1387" s="295">
        <f t="shared" si="195"/>
        <v>37</v>
      </c>
      <c r="C1387" s="321">
        <v>3.4</v>
      </c>
      <c r="D1387" s="321" t="s">
        <v>114</v>
      </c>
      <c r="E1387" s="321"/>
      <c r="F1387" s="316" t="str">
        <f t="shared" si="193"/>
        <v/>
      </c>
      <c r="G1387" s="321"/>
      <c r="H1387" s="321"/>
      <c r="I1387" s="315"/>
      <c r="J1387" s="316" t="str">
        <f t="shared" si="194"/>
        <v/>
      </c>
    </row>
    <row r="1388" spans="1:10" s="316" customFormat="1">
      <c r="A1388" s="321">
        <v>49</v>
      </c>
      <c r="B1388" s="295">
        <f t="shared" si="195"/>
        <v>37</v>
      </c>
      <c r="C1388" s="321">
        <v>3.5</v>
      </c>
      <c r="D1388" s="321" t="s">
        <v>115</v>
      </c>
      <c r="E1388" s="321"/>
      <c r="F1388" s="316" t="str">
        <f t="shared" si="193"/>
        <v/>
      </c>
      <c r="G1388" s="321"/>
      <c r="H1388" s="321"/>
      <c r="I1388" s="315"/>
      <c r="J1388" s="316" t="str">
        <f t="shared" si="194"/>
        <v/>
      </c>
    </row>
    <row r="1389" spans="1:10" s="316" customFormat="1">
      <c r="A1389" s="321">
        <v>49</v>
      </c>
      <c r="B1389" s="295">
        <f t="shared" si="195"/>
        <v>37</v>
      </c>
      <c r="C1389" s="321">
        <v>4.0999999999999996</v>
      </c>
      <c r="D1389" s="321" t="s">
        <v>111</v>
      </c>
      <c r="E1389" s="321"/>
      <c r="F1389" s="316" t="str">
        <f t="shared" si="193"/>
        <v/>
      </c>
      <c r="G1389" s="321"/>
      <c r="H1389" s="321"/>
      <c r="I1389" s="315"/>
      <c r="J1389" s="316" t="str">
        <f t="shared" si="194"/>
        <v/>
      </c>
    </row>
    <row r="1390" spans="1:10" s="316" customFormat="1">
      <c r="A1390" s="321">
        <v>49</v>
      </c>
      <c r="B1390" s="295">
        <f t="shared" si="195"/>
        <v>37</v>
      </c>
      <c r="C1390" s="321">
        <v>4.2</v>
      </c>
      <c r="D1390" s="321" t="s">
        <v>112</v>
      </c>
      <c r="E1390" s="321"/>
      <c r="F1390" s="316" t="str">
        <f t="shared" si="193"/>
        <v/>
      </c>
      <c r="G1390" s="321"/>
      <c r="H1390" s="321"/>
      <c r="I1390" s="315"/>
      <c r="J1390" s="316" t="str">
        <f t="shared" si="194"/>
        <v/>
      </c>
    </row>
    <row r="1391" spans="1:10" s="316" customFormat="1">
      <c r="A1391" s="321">
        <v>49</v>
      </c>
      <c r="B1391" s="295">
        <f t="shared" si="195"/>
        <v>37</v>
      </c>
      <c r="C1391" s="321">
        <v>4.3</v>
      </c>
      <c r="D1391" s="321" t="s">
        <v>113</v>
      </c>
      <c r="E1391" s="321">
        <v>29</v>
      </c>
      <c r="F1391" s="316">
        <f t="shared" si="193"/>
        <v>1.1153846153846154</v>
      </c>
      <c r="G1391" s="321">
        <v>8.4</v>
      </c>
      <c r="H1391" s="321">
        <v>7.9</v>
      </c>
      <c r="I1391" s="315">
        <f t="shared" ref="I1391" si="204">G1391*(H1391^2)*0.5</f>
        <v>262.12200000000001</v>
      </c>
      <c r="J1391" s="316">
        <f t="shared" si="194"/>
        <v>1.8821949678308822</v>
      </c>
    </row>
    <row r="1392" spans="1:10" s="316" customFormat="1">
      <c r="A1392" s="321">
        <v>49</v>
      </c>
      <c r="B1392" s="295">
        <f t="shared" si="195"/>
        <v>37</v>
      </c>
      <c r="C1392" s="321">
        <v>4.4000000000000004</v>
      </c>
      <c r="D1392" s="321" t="s">
        <v>112</v>
      </c>
      <c r="E1392" s="321"/>
      <c r="F1392" s="316" t="str">
        <f t="shared" si="193"/>
        <v/>
      </c>
      <c r="G1392" s="321"/>
      <c r="H1392" s="321"/>
      <c r="I1392" s="315"/>
      <c r="J1392" s="316" t="str">
        <f t="shared" si="194"/>
        <v/>
      </c>
    </row>
    <row r="1393" spans="1:11" s="316" customFormat="1">
      <c r="A1393" s="321">
        <v>49</v>
      </c>
      <c r="B1393" s="295">
        <f t="shared" si="195"/>
        <v>37</v>
      </c>
      <c r="C1393" s="321">
        <v>4.5</v>
      </c>
      <c r="D1393" s="321" t="s">
        <v>112</v>
      </c>
      <c r="E1393" s="321"/>
      <c r="F1393" s="316" t="str">
        <f t="shared" si="193"/>
        <v/>
      </c>
      <c r="G1393" s="321"/>
      <c r="H1393" s="321"/>
      <c r="I1393" s="315"/>
      <c r="J1393" s="316" t="str">
        <f t="shared" si="194"/>
        <v/>
      </c>
    </row>
    <row r="1394" spans="1:11" s="316" customFormat="1">
      <c r="A1394" s="321">
        <v>49</v>
      </c>
      <c r="B1394" s="295">
        <f t="shared" si="195"/>
        <v>37</v>
      </c>
      <c r="C1394" s="321">
        <v>5.0999999999999996</v>
      </c>
      <c r="D1394" s="321" t="s">
        <v>113</v>
      </c>
      <c r="E1394" s="321">
        <v>27</v>
      </c>
      <c r="F1394" s="316">
        <f t="shared" si="193"/>
        <v>1.125</v>
      </c>
      <c r="G1394" s="321">
        <v>6.5</v>
      </c>
      <c r="H1394" s="321">
        <v>5.8</v>
      </c>
      <c r="I1394" s="315">
        <f t="shared" ref="I1394" si="205">G1394*(H1394^2)*0.5</f>
        <v>109.33</v>
      </c>
      <c r="J1394" s="316">
        <f t="shared" si="194"/>
        <v>0.65824568163619168</v>
      </c>
    </row>
    <row r="1395" spans="1:11" s="316" customFormat="1">
      <c r="A1395" s="321">
        <v>49</v>
      </c>
      <c r="B1395" s="295">
        <f t="shared" si="195"/>
        <v>37</v>
      </c>
      <c r="C1395" s="321">
        <v>5.2</v>
      </c>
      <c r="D1395" s="321" t="s">
        <v>114</v>
      </c>
      <c r="E1395" s="321"/>
      <c r="F1395" s="316" t="str">
        <f t="shared" si="193"/>
        <v/>
      </c>
      <c r="G1395" s="321"/>
      <c r="H1395" s="321"/>
      <c r="I1395" s="315"/>
      <c r="J1395" s="316" t="str">
        <f t="shared" si="194"/>
        <v/>
      </c>
    </row>
    <row r="1396" spans="1:11">
      <c r="A1396" s="321">
        <v>49</v>
      </c>
      <c r="B1396" s="295">
        <f t="shared" si="195"/>
        <v>37</v>
      </c>
      <c r="C1396" s="321">
        <v>5.3</v>
      </c>
      <c r="D1396" s="321" t="s">
        <v>112</v>
      </c>
      <c r="E1396" s="321">
        <v>26</v>
      </c>
      <c r="F1396" s="316">
        <f t="shared" si="193"/>
        <v>0.9285714285714286</v>
      </c>
      <c r="G1396" s="321"/>
      <c r="H1396" s="321"/>
      <c r="J1396" s="316" t="str">
        <f t="shared" si="194"/>
        <v/>
      </c>
    </row>
    <row r="1397" spans="1:11">
      <c r="A1397" s="321">
        <v>49</v>
      </c>
      <c r="B1397" s="295">
        <f t="shared" si="195"/>
        <v>37</v>
      </c>
      <c r="C1397" s="321">
        <v>5.4</v>
      </c>
      <c r="D1397" s="321" t="s">
        <v>113</v>
      </c>
      <c r="E1397" s="321"/>
      <c r="F1397" s="316" t="str">
        <f t="shared" si="193"/>
        <v/>
      </c>
      <c r="G1397" s="321"/>
      <c r="H1397" s="321"/>
      <c r="J1397" s="316" t="str">
        <f t="shared" si="194"/>
        <v/>
      </c>
    </row>
    <row r="1398" spans="1:11">
      <c r="A1398" s="321">
        <v>49</v>
      </c>
      <c r="B1398" s="295">
        <f t="shared" si="195"/>
        <v>37</v>
      </c>
      <c r="C1398" s="321">
        <v>5.5</v>
      </c>
      <c r="D1398" s="321" t="s">
        <v>114</v>
      </c>
      <c r="E1398" s="321"/>
      <c r="F1398" s="316" t="str">
        <f t="shared" si="193"/>
        <v/>
      </c>
      <c r="G1398" s="321"/>
      <c r="H1398" s="321"/>
      <c r="J1398" s="316" t="str">
        <f t="shared" si="194"/>
        <v/>
      </c>
    </row>
    <row r="1399" spans="1:11">
      <c r="A1399" s="321">
        <v>49</v>
      </c>
      <c r="B1399" s="295">
        <f t="shared" si="195"/>
        <v>37</v>
      </c>
      <c r="C1399" s="321">
        <v>6.1</v>
      </c>
      <c r="D1399" s="321" t="s">
        <v>115</v>
      </c>
      <c r="E1399" s="321">
        <v>30</v>
      </c>
      <c r="F1399" s="316">
        <f t="shared" si="193"/>
        <v>1.2</v>
      </c>
      <c r="G1399" s="321">
        <v>7.4</v>
      </c>
      <c r="H1399" s="321">
        <v>6</v>
      </c>
      <c r="I1399" s="315">
        <f t="shared" ref="I1399" si="206">G1399*(H1399^2)*0.5</f>
        <v>133.20000000000002</v>
      </c>
      <c r="J1399" s="316">
        <f t="shared" si="194"/>
        <v>0.99004013676230118</v>
      </c>
    </row>
    <row r="1400" spans="1:11">
      <c r="A1400" s="321">
        <v>49</v>
      </c>
      <c r="B1400" s="295">
        <f t="shared" si="195"/>
        <v>37</v>
      </c>
      <c r="C1400" s="321">
        <v>6.2</v>
      </c>
      <c r="D1400" s="321" t="s">
        <v>115</v>
      </c>
      <c r="E1400" s="321"/>
      <c r="F1400" s="316" t="str">
        <f t="shared" si="193"/>
        <v/>
      </c>
      <c r="G1400" s="321"/>
      <c r="H1400" s="321"/>
      <c r="J1400" s="316" t="str">
        <f t="shared" si="194"/>
        <v/>
      </c>
    </row>
    <row r="1401" spans="1:11">
      <c r="A1401" s="321">
        <v>49</v>
      </c>
      <c r="B1401" s="295">
        <f t="shared" si="195"/>
        <v>37</v>
      </c>
      <c r="C1401" s="321">
        <v>6.3</v>
      </c>
      <c r="D1401" s="321" t="s">
        <v>114</v>
      </c>
      <c r="E1401" s="321"/>
      <c r="F1401" s="316" t="str">
        <f t="shared" si="193"/>
        <v/>
      </c>
      <c r="G1401" s="321"/>
      <c r="H1401" s="321"/>
      <c r="J1401" s="316" t="str">
        <f t="shared" si="194"/>
        <v/>
      </c>
    </row>
    <row r="1402" spans="1:11">
      <c r="A1402" s="321">
        <v>49</v>
      </c>
      <c r="B1402" s="295">
        <f t="shared" si="195"/>
        <v>37</v>
      </c>
      <c r="C1402" s="321">
        <v>6.4</v>
      </c>
      <c r="D1402" s="321" t="s">
        <v>112</v>
      </c>
      <c r="E1402" s="321"/>
      <c r="F1402" s="316" t="str">
        <f t="shared" si="193"/>
        <v/>
      </c>
      <c r="G1402" s="321"/>
      <c r="H1402" s="321"/>
      <c r="J1402" s="316" t="str">
        <f t="shared" si="194"/>
        <v/>
      </c>
    </row>
    <row r="1403" spans="1:11">
      <c r="A1403" s="321">
        <v>49</v>
      </c>
      <c r="B1403" s="295">
        <f t="shared" si="195"/>
        <v>37</v>
      </c>
      <c r="C1403" s="321">
        <v>6.5</v>
      </c>
      <c r="D1403" s="321" t="s">
        <v>113</v>
      </c>
      <c r="E1403" s="321">
        <v>29</v>
      </c>
      <c r="F1403" s="316">
        <f t="shared" si="193"/>
        <v>1.2083333333333333</v>
      </c>
      <c r="G1403" s="321">
        <v>11.1</v>
      </c>
      <c r="H1403" s="321">
        <v>8.4</v>
      </c>
      <c r="I1403" s="315">
        <f t="shared" ref="I1403:I1404" si="207">G1403*(H1403^2)*0.5</f>
        <v>391.608</v>
      </c>
      <c r="J1403" s="316">
        <f t="shared" si="194"/>
        <v>7.7354666666666665</v>
      </c>
      <c r="K1403" s="316" t="s">
        <v>163</v>
      </c>
    </row>
    <row r="1404" spans="1:11">
      <c r="A1404" s="321">
        <v>49</v>
      </c>
      <c r="B1404" s="295">
        <f t="shared" si="195"/>
        <v>37</v>
      </c>
      <c r="C1404" s="321">
        <v>7.1</v>
      </c>
      <c r="D1404" s="321" t="s">
        <v>114</v>
      </c>
      <c r="E1404" s="321">
        <v>31</v>
      </c>
      <c r="F1404" s="316">
        <f t="shared" si="193"/>
        <v>1.1481481481481481</v>
      </c>
      <c r="G1404" s="321">
        <v>11.9</v>
      </c>
      <c r="H1404" s="321">
        <v>11</v>
      </c>
      <c r="I1404" s="315">
        <f t="shared" si="207"/>
        <v>719.95</v>
      </c>
      <c r="J1404" s="316">
        <f t="shared" si="194"/>
        <v>5.3329629629629629</v>
      </c>
    </row>
    <row r="1405" spans="1:11">
      <c r="A1405" s="321">
        <v>49</v>
      </c>
      <c r="B1405" s="295">
        <f t="shared" si="195"/>
        <v>37</v>
      </c>
      <c r="C1405" s="321">
        <v>7.2</v>
      </c>
      <c r="D1405" s="321" t="s">
        <v>111</v>
      </c>
      <c r="E1405" s="321"/>
      <c r="F1405" s="316" t="str">
        <f t="shared" si="193"/>
        <v/>
      </c>
      <c r="G1405" s="321"/>
      <c r="H1405" s="321"/>
      <c r="J1405" s="316" t="str">
        <f t="shared" si="194"/>
        <v/>
      </c>
    </row>
    <row r="1406" spans="1:11">
      <c r="A1406" s="321">
        <v>49</v>
      </c>
      <c r="B1406" s="295">
        <f t="shared" si="195"/>
        <v>37</v>
      </c>
      <c r="C1406" s="321">
        <v>7.3</v>
      </c>
      <c r="D1406" s="321" t="s">
        <v>113</v>
      </c>
      <c r="E1406" s="321">
        <v>29</v>
      </c>
      <c r="F1406" s="316">
        <f t="shared" si="193"/>
        <v>1.0740740740740742</v>
      </c>
      <c r="G1406" s="321">
        <v>4.8</v>
      </c>
      <c r="H1406" s="321">
        <v>4.3</v>
      </c>
      <c r="I1406" s="315">
        <f t="shared" ref="I1406" si="208">G1406*(H1406^2)*0.5</f>
        <v>44.375999999999998</v>
      </c>
      <c r="J1406" s="316">
        <f t="shared" si="194"/>
        <v>0.31057361216091378</v>
      </c>
    </row>
    <row r="1407" spans="1:11">
      <c r="A1407" s="321">
        <v>49</v>
      </c>
      <c r="B1407" s="295">
        <f t="shared" si="195"/>
        <v>37</v>
      </c>
      <c r="C1407" s="321">
        <v>7.4</v>
      </c>
      <c r="D1407" s="321" t="s">
        <v>115</v>
      </c>
      <c r="E1407" s="321"/>
      <c r="F1407" s="316" t="str">
        <f t="shared" si="193"/>
        <v/>
      </c>
      <c r="G1407" s="321"/>
      <c r="H1407" s="321"/>
      <c r="J1407" s="316" t="str">
        <f t="shared" si="194"/>
        <v/>
      </c>
    </row>
    <row r="1408" spans="1:11">
      <c r="A1408" s="321">
        <v>49</v>
      </c>
      <c r="B1408" s="295">
        <f t="shared" si="195"/>
        <v>37</v>
      </c>
      <c r="C1408" s="321">
        <v>7.5</v>
      </c>
      <c r="D1408" s="321" t="s">
        <v>111</v>
      </c>
      <c r="E1408" s="321"/>
      <c r="F1408" s="316" t="str">
        <f t="shared" si="193"/>
        <v/>
      </c>
      <c r="G1408" s="321"/>
      <c r="H1408" s="321"/>
      <c r="J1408" s="316" t="str">
        <f t="shared" si="194"/>
        <v/>
      </c>
    </row>
    <row r="1409" spans="1:11">
      <c r="A1409" s="321">
        <v>51</v>
      </c>
      <c r="B1409" s="295">
        <f t="shared" si="195"/>
        <v>39</v>
      </c>
      <c r="C1409" s="321">
        <v>1.1000000000000001</v>
      </c>
      <c r="D1409" s="321" t="s">
        <v>112</v>
      </c>
      <c r="E1409" s="321"/>
      <c r="F1409" s="316" t="str">
        <f t="shared" si="193"/>
        <v/>
      </c>
      <c r="G1409" s="321"/>
      <c r="H1409" s="321"/>
      <c r="J1409" s="316" t="str">
        <f t="shared" si="194"/>
        <v/>
      </c>
    </row>
    <row r="1410" spans="1:11">
      <c r="A1410" s="321">
        <v>51</v>
      </c>
      <c r="B1410" s="295">
        <f t="shared" si="195"/>
        <v>39</v>
      </c>
      <c r="C1410" s="321">
        <v>1.2</v>
      </c>
      <c r="D1410" s="321" t="s">
        <v>113</v>
      </c>
      <c r="E1410" s="321">
        <v>30</v>
      </c>
      <c r="F1410" s="316">
        <f t="shared" si="193"/>
        <v>1.1111111111111112</v>
      </c>
      <c r="G1410" s="321">
        <v>6.1</v>
      </c>
      <c r="H1410" s="321">
        <v>5.8</v>
      </c>
      <c r="I1410" s="315">
        <f t="shared" ref="I1410:I1411" si="209">G1410*(H1410^2)*0.5</f>
        <v>102.60199999999999</v>
      </c>
      <c r="J1410" s="316">
        <f t="shared" si="194"/>
        <v>0.49044581420305294</v>
      </c>
    </row>
    <row r="1411" spans="1:11">
      <c r="A1411" s="321">
        <v>51</v>
      </c>
      <c r="B1411" s="295">
        <f t="shared" si="195"/>
        <v>39</v>
      </c>
      <c r="C1411" s="321">
        <v>1.3</v>
      </c>
      <c r="D1411" s="321" t="s">
        <v>115</v>
      </c>
      <c r="E1411" s="321">
        <v>28</v>
      </c>
      <c r="F1411" s="316">
        <f t="shared" si="193"/>
        <v>1.1666666666666667</v>
      </c>
      <c r="G1411" s="321">
        <v>16.600000000000001</v>
      </c>
      <c r="H1411" s="321">
        <v>14.5</v>
      </c>
      <c r="I1411" s="315">
        <f t="shared" si="209"/>
        <v>1745.075</v>
      </c>
      <c r="J1411" s="316">
        <f t="shared" si="194"/>
        <v>17.60141813927217</v>
      </c>
      <c r="K1411" s="316" t="s">
        <v>172</v>
      </c>
    </row>
    <row r="1412" spans="1:11" s="316" customFormat="1">
      <c r="A1412" s="321">
        <v>51</v>
      </c>
      <c r="B1412" s="295">
        <f t="shared" si="195"/>
        <v>39</v>
      </c>
      <c r="C1412" s="321">
        <v>1.4</v>
      </c>
      <c r="D1412" s="321" t="s">
        <v>115</v>
      </c>
      <c r="E1412" s="321"/>
      <c r="F1412" s="316" t="str">
        <f t="shared" si="193"/>
        <v/>
      </c>
      <c r="G1412" s="321"/>
      <c r="H1412" s="321"/>
      <c r="I1412" s="315"/>
      <c r="J1412" s="316" t="str">
        <f t="shared" si="194"/>
        <v/>
      </c>
    </row>
    <row r="1413" spans="1:11" s="316" customFormat="1">
      <c r="A1413" s="321">
        <v>51</v>
      </c>
      <c r="B1413" s="295">
        <f t="shared" si="195"/>
        <v>39</v>
      </c>
      <c r="C1413" s="321">
        <v>1.5</v>
      </c>
      <c r="D1413" s="321" t="s">
        <v>112</v>
      </c>
      <c r="E1413" s="321">
        <v>31</v>
      </c>
      <c r="F1413" s="316">
        <f t="shared" si="193"/>
        <v>1.1071428571428572</v>
      </c>
      <c r="G1413" s="321">
        <v>11.9</v>
      </c>
      <c r="H1413" s="321">
        <v>10.3</v>
      </c>
      <c r="I1413" s="315">
        <f t="shared" ref="I1413:I1414" si="210">G1413*(H1413^2)*0.5</f>
        <v>631.23550000000012</v>
      </c>
      <c r="J1413" s="316">
        <f t="shared" si="194"/>
        <v>4.5326538085937509</v>
      </c>
    </row>
    <row r="1414" spans="1:11" s="316" customFormat="1">
      <c r="A1414" s="321">
        <v>51</v>
      </c>
      <c r="B1414" s="295">
        <f t="shared" si="195"/>
        <v>39</v>
      </c>
      <c r="C1414" s="321">
        <v>2.1</v>
      </c>
      <c r="D1414" s="321" t="s">
        <v>114</v>
      </c>
      <c r="E1414" s="321">
        <v>31</v>
      </c>
      <c r="F1414" s="316">
        <f t="shared" si="193"/>
        <v>1.1923076923076923</v>
      </c>
      <c r="G1414" s="321">
        <v>12.2</v>
      </c>
      <c r="H1414" s="321">
        <v>11.6</v>
      </c>
      <c r="I1414" s="315">
        <f t="shared" si="210"/>
        <v>820.81599999999992</v>
      </c>
      <c r="J1414" s="316">
        <f t="shared" si="194"/>
        <v>4.3646611843592042</v>
      </c>
    </row>
    <row r="1415" spans="1:11" s="316" customFormat="1">
      <c r="A1415" s="321">
        <v>51</v>
      </c>
      <c r="B1415" s="295">
        <f t="shared" si="195"/>
        <v>39</v>
      </c>
      <c r="C1415" s="321">
        <v>2.2000000000000002</v>
      </c>
      <c r="D1415" s="321" t="s">
        <v>115</v>
      </c>
      <c r="E1415" s="321"/>
      <c r="F1415" s="316" t="str">
        <f t="shared" si="193"/>
        <v/>
      </c>
      <c r="G1415" s="321"/>
      <c r="H1415" s="321"/>
      <c r="I1415" s="315"/>
      <c r="J1415" s="316" t="str">
        <f t="shared" si="194"/>
        <v/>
      </c>
    </row>
    <row r="1416" spans="1:11" s="316" customFormat="1">
      <c r="A1416" s="321">
        <v>51</v>
      </c>
      <c r="B1416" s="295">
        <f t="shared" si="195"/>
        <v>39</v>
      </c>
      <c r="C1416" s="321">
        <v>2.2999999999999998</v>
      </c>
      <c r="D1416" s="321" t="s">
        <v>112</v>
      </c>
      <c r="E1416" s="321"/>
      <c r="F1416" s="316" t="str">
        <f t="shared" si="193"/>
        <v/>
      </c>
      <c r="G1416" s="321"/>
      <c r="H1416" s="321"/>
      <c r="I1416" s="315"/>
      <c r="J1416" s="316" t="str">
        <f t="shared" si="194"/>
        <v/>
      </c>
    </row>
    <row r="1417" spans="1:11" s="316" customFormat="1">
      <c r="A1417" s="321">
        <v>51</v>
      </c>
      <c r="B1417" s="295">
        <f t="shared" si="195"/>
        <v>39</v>
      </c>
      <c r="C1417" s="321">
        <v>2.4</v>
      </c>
      <c r="D1417" s="321" t="s">
        <v>114</v>
      </c>
      <c r="E1417" s="321">
        <v>29</v>
      </c>
      <c r="F1417" s="316">
        <f t="shared" ref="F1417:F1480" si="211">IF(ISBLANK(E1417),"",E1417/SUMIFS(E:E,C:C,C1417,B:B,"0"))</f>
        <v>1.1599999999999999</v>
      </c>
      <c r="G1417" s="321">
        <v>9.8000000000000007</v>
      </c>
      <c r="H1417" s="321">
        <v>8.6999999999999993</v>
      </c>
      <c r="I1417" s="315">
        <f t="shared" ref="I1417:I1421" si="212">G1417*(H1417^2)*0.5</f>
        <v>370.88099999999997</v>
      </c>
      <c r="J1417" s="316">
        <f t="shared" ref="J1417:J1480" si="213">IF(ISBLANK(I1417),"",I1417/SUMIFS(I:I,C:C,C1417,B:B,"0"))</f>
        <v>3.450055813953488</v>
      </c>
    </row>
    <row r="1418" spans="1:11" s="316" customFormat="1">
      <c r="A1418" s="321">
        <v>51</v>
      </c>
      <c r="B1418" s="295">
        <f t="shared" ref="B1418:B1481" si="214">A1418-12</f>
        <v>39</v>
      </c>
      <c r="C1418" s="321">
        <v>2.5</v>
      </c>
      <c r="D1418" s="321" t="s">
        <v>113</v>
      </c>
      <c r="E1418" s="321">
        <v>31</v>
      </c>
      <c r="F1418" s="316">
        <f t="shared" si="211"/>
        <v>1.1481481481481481</v>
      </c>
      <c r="G1418" s="321">
        <v>6</v>
      </c>
      <c r="H1418" s="321">
        <v>5.6</v>
      </c>
      <c r="I1418" s="315">
        <f t="shared" si="212"/>
        <v>94.079999999999984</v>
      </c>
      <c r="J1418" s="316">
        <f t="shared" si="213"/>
        <v>0.55152360741461581</v>
      </c>
    </row>
    <row r="1419" spans="1:11" s="316" customFormat="1">
      <c r="A1419" s="321">
        <v>51</v>
      </c>
      <c r="B1419" s="295">
        <f t="shared" si="214"/>
        <v>39</v>
      </c>
      <c r="C1419" s="321">
        <v>3.1</v>
      </c>
      <c r="D1419" s="321" t="s">
        <v>115</v>
      </c>
      <c r="E1419" s="321">
        <v>24</v>
      </c>
      <c r="F1419" s="316">
        <f t="shared" si="211"/>
        <v>1</v>
      </c>
      <c r="G1419" s="321">
        <v>3.7</v>
      </c>
      <c r="H1419" s="321">
        <v>3.7</v>
      </c>
      <c r="I1419" s="315">
        <f t="shared" si="212"/>
        <v>25.326500000000003</v>
      </c>
      <c r="J1419" s="316">
        <f t="shared" si="213"/>
        <v>0.13940553185633689</v>
      </c>
    </row>
    <row r="1420" spans="1:11" s="316" customFormat="1">
      <c r="A1420" s="321">
        <v>51</v>
      </c>
      <c r="B1420" s="295">
        <f t="shared" si="214"/>
        <v>39</v>
      </c>
      <c r="C1420" s="321">
        <v>3.2</v>
      </c>
      <c r="D1420" s="321" t="s">
        <v>113</v>
      </c>
      <c r="E1420" s="321">
        <v>33</v>
      </c>
      <c r="F1420" s="316">
        <f t="shared" si="211"/>
        <v>1.1000000000000001</v>
      </c>
      <c r="G1420" s="321">
        <v>6.5</v>
      </c>
      <c r="H1420" s="321">
        <v>5.6</v>
      </c>
      <c r="I1420" s="315">
        <f t="shared" si="212"/>
        <v>101.91999999999999</v>
      </c>
      <c r="J1420" s="316">
        <f t="shared" si="213"/>
        <v>0.53112102388793925</v>
      </c>
    </row>
    <row r="1421" spans="1:11" s="316" customFormat="1">
      <c r="A1421" s="321">
        <v>51</v>
      </c>
      <c r="B1421" s="295">
        <f t="shared" si="214"/>
        <v>39</v>
      </c>
      <c r="C1421" s="321">
        <v>3.3</v>
      </c>
      <c r="D1421" s="321" t="s">
        <v>114</v>
      </c>
      <c r="E1421" s="321">
        <v>29</v>
      </c>
      <c r="F1421" s="316">
        <f t="shared" si="211"/>
        <v>1.1599999999999999</v>
      </c>
      <c r="G1421" s="321">
        <v>12.3</v>
      </c>
      <c r="H1421" s="321">
        <v>11.1</v>
      </c>
      <c r="I1421" s="315">
        <f t="shared" si="212"/>
        <v>757.74149999999997</v>
      </c>
      <c r="J1421" s="316">
        <f t="shared" si="213"/>
        <v>3.6819314868804662</v>
      </c>
    </row>
    <row r="1422" spans="1:11" s="316" customFormat="1">
      <c r="A1422" s="321">
        <v>51</v>
      </c>
      <c r="B1422" s="295">
        <f t="shared" si="214"/>
        <v>39</v>
      </c>
      <c r="C1422" s="321">
        <v>3.4</v>
      </c>
      <c r="D1422" s="321" t="s">
        <v>114</v>
      </c>
      <c r="E1422" s="321"/>
      <c r="F1422" s="316" t="str">
        <f t="shared" si="211"/>
        <v/>
      </c>
      <c r="G1422" s="321"/>
      <c r="H1422" s="321"/>
      <c r="I1422" s="315"/>
      <c r="J1422" s="316" t="str">
        <f t="shared" si="213"/>
        <v/>
      </c>
    </row>
    <row r="1423" spans="1:11" s="316" customFormat="1">
      <c r="A1423" s="321">
        <v>51</v>
      </c>
      <c r="B1423" s="295">
        <f t="shared" si="214"/>
        <v>39</v>
      </c>
      <c r="C1423" s="321">
        <v>3.5</v>
      </c>
      <c r="D1423" s="321" t="s">
        <v>115</v>
      </c>
      <c r="E1423" s="321"/>
      <c r="F1423" s="316" t="str">
        <f t="shared" si="211"/>
        <v/>
      </c>
      <c r="G1423" s="321"/>
      <c r="H1423" s="321"/>
      <c r="I1423" s="315"/>
      <c r="J1423" s="316" t="str">
        <f t="shared" si="213"/>
        <v/>
      </c>
    </row>
    <row r="1424" spans="1:11" s="316" customFormat="1">
      <c r="A1424" s="321">
        <v>51</v>
      </c>
      <c r="B1424" s="295">
        <f t="shared" si="214"/>
        <v>39</v>
      </c>
      <c r="C1424" s="321">
        <v>4.0999999999999996</v>
      </c>
      <c r="D1424" s="321" t="s">
        <v>111</v>
      </c>
      <c r="E1424" s="321"/>
      <c r="F1424" s="316" t="str">
        <f t="shared" si="211"/>
        <v/>
      </c>
      <c r="G1424" s="321"/>
      <c r="H1424" s="321"/>
      <c r="I1424" s="315"/>
      <c r="J1424" s="316" t="str">
        <f t="shared" si="213"/>
        <v/>
      </c>
    </row>
    <row r="1425" spans="1:11" s="316" customFormat="1">
      <c r="A1425" s="321">
        <v>51</v>
      </c>
      <c r="B1425" s="295">
        <f t="shared" si="214"/>
        <v>39</v>
      </c>
      <c r="C1425" s="321">
        <v>4.2</v>
      </c>
      <c r="D1425" s="321" t="s">
        <v>112</v>
      </c>
      <c r="E1425" s="321"/>
      <c r="F1425" s="316" t="str">
        <f t="shared" si="211"/>
        <v/>
      </c>
      <c r="G1425" s="321"/>
      <c r="H1425" s="321"/>
      <c r="I1425" s="315"/>
      <c r="J1425" s="316" t="str">
        <f t="shared" si="213"/>
        <v/>
      </c>
    </row>
    <row r="1426" spans="1:11" s="316" customFormat="1">
      <c r="A1426" s="321">
        <v>51</v>
      </c>
      <c r="B1426" s="295">
        <f t="shared" si="214"/>
        <v>39</v>
      </c>
      <c r="C1426" s="321">
        <v>4.3</v>
      </c>
      <c r="D1426" s="321" t="s">
        <v>113</v>
      </c>
      <c r="E1426" s="321">
        <v>29</v>
      </c>
      <c r="F1426" s="316">
        <f t="shared" si="211"/>
        <v>1.1153846153846154</v>
      </c>
      <c r="G1426" s="321">
        <v>8.3000000000000007</v>
      </c>
      <c r="H1426" s="321">
        <v>8.1</v>
      </c>
      <c r="I1426" s="315">
        <f t="shared" ref="I1426" si="215">G1426*(H1426^2)*0.5</f>
        <v>272.28149999999999</v>
      </c>
      <c r="J1426" s="316">
        <f t="shared" si="213"/>
        <v>1.9551463407628675</v>
      </c>
    </row>
    <row r="1427" spans="1:11" s="316" customFormat="1">
      <c r="A1427" s="321">
        <v>51</v>
      </c>
      <c r="B1427" s="295">
        <f t="shared" si="214"/>
        <v>39</v>
      </c>
      <c r="C1427" s="321">
        <v>4.4000000000000004</v>
      </c>
      <c r="D1427" s="321" t="s">
        <v>112</v>
      </c>
      <c r="E1427" s="321"/>
      <c r="F1427" s="316" t="str">
        <f t="shared" si="211"/>
        <v/>
      </c>
      <c r="G1427" s="321"/>
      <c r="H1427" s="321"/>
      <c r="I1427" s="315"/>
      <c r="J1427" s="316" t="str">
        <f t="shared" si="213"/>
        <v/>
      </c>
    </row>
    <row r="1428" spans="1:11">
      <c r="A1428" s="321">
        <v>51</v>
      </c>
      <c r="B1428" s="295">
        <f t="shared" si="214"/>
        <v>39</v>
      </c>
      <c r="C1428" s="321">
        <v>4.5</v>
      </c>
      <c r="D1428" s="321" t="s">
        <v>112</v>
      </c>
      <c r="E1428" s="321"/>
      <c r="F1428" s="316" t="str">
        <f t="shared" si="211"/>
        <v/>
      </c>
      <c r="G1428" s="321"/>
      <c r="H1428" s="321"/>
      <c r="J1428" s="316" t="str">
        <f t="shared" si="213"/>
        <v/>
      </c>
    </row>
    <row r="1429" spans="1:11">
      <c r="A1429" s="321">
        <v>51</v>
      </c>
      <c r="B1429" s="295">
        <f t="shared" si="214"/>
        <v>39</v>
      </c>
      <c r="C1429" s="321">
        <v>5.0999999999999996</v>
      </c>
      <c r="D1429" s="321" t="s">
        <v>113</v>
      </c>
      <c r="E1429" s="321">
        <v>27</v>
      </c>
      <c r="F1429" s="316">
        <f t="shared" si="211"/>
        <v>1.125</v>
      </c>
      <c r="G1429" s="321">
        <v>6.3</v>
      </c>
      <c r="H1429" s="321">
        <v>5.8</v>
      </c>
      <c r="I1429" s="315">
        <f t="shared" ref="I1429" si="216">G1429*(H1429^2)*0.5</f>
        <v>105.96599999999999</v>
      </c>
      <c r="J1429" s="316">
        <f t="shared" si="213"/>
        <v>0.6379919683550781</v>
      </c>
    </row>
    <row r="1430" spans="1:11">
      <c r="A1430" s="321">
        <v>51</v>
      </c>
      <c r="B1430" s="295">
        <f t="shared" si="214"/>
        <v>39</v>
      </c>
      <c r="C1430" s="321">
        <v>5.2</v>
      </c>
      <c r="D1430" s="321" t="s">
        <v>114</v>
      </c>
      <c r="E1430" s="321"/>
      <c r="F1430" s="316" t="str">
        <f t="shared" si="211"/>
        <v/>
      </c>
      <c r="G1430" s="321"/>
      <c r="H1430" s="321"/>
      <c r="J1430" s="316" t="str">
        <f t="shared" si="213"/>
        <v/>
      </c>
    </row>
    <row r="1431" spans="1:11">
      <c r="A1431" s="321">
        <v>51</v>
      </c>
      <c r="B1431" s="295">
        <f t="shared" si="214"/>
        <v>39</v>
      </c>
      <c r="C1431" s="321">
        <v>5.3</v>
      </c>
      <c r="D1431" s="321" t="s">
        <v>112</v>
      </c>
      <c r="F1431" s="316" t="str">
        <f t="shared" si="211"/>
        <v/>
      </c>
      <c r="J1431" s="316" t="str">
        <f t="shared" si="213"/>
        <v/>
      </c>
    </row>
    <row r="1432" spans="1:11">
      <c r="A1432" s="321">
        <v>51</v>
      </c>
      <c r="B1432" s="295">
        <f t="shared" si="214"/>
        <v>39</v>
      </c>
      <c r="C1432" s="321">
        <v>5.4</v>
      </c>
      <c r="D1432" s="321" t="s">
        <v>113</v>
      </c>
      <c r="E1432" s="321">
        <v>26</v>
      </c>
      <c r="F1432" s="316">
        <f t="shared" si="211"/>
        <v>1</v>
      </c>
      <c r="G1432" s="321">
        <v>5.8</v>
      </c>
      <c r="H1432" s="321">
        <v>5.0999999999999996</v>
      </c>
      <c r="I1432" s="315">
        <f>G1432*(H1432^2)*0.5</f>
        <v>75.428999999999988</v>
      </c>
      <c r="J1432" s="316">
        <f t="shared" si="213"/>
        <v>0.42174447861336312</v>
      </c>
    </row>
    <row r="1433" spans="1:11">
      <c r="A1433" s="321">
        <v>51</v>
      </c>
      <c r="B1433" s="295">
        <f t="shared" si="214"/>
        <v>39</v>
      </c>
      <c r="C1433" s="321">
        <v>5.5</v>
      </c>
      <c r="D1433" s="321" t="s">
        <v>114</v>
      </c>
      <c r="E1433" s="321"/>
      <c r="F1433" s="316" t="str">
        <f t="shared" si="211"/>
        <v/>
      </c>
      <c r="G1433" s="321"/>
      <c r="H1433" s="321"/>
      <c r="J1433" s="316" t="str">
        <f t="shared" si="213"/>
        <v/>
      </c>
    </row>
    <row r="1434" spans="1:11">
      <c r="A1434" s="321">
        <v>51</v>
      </c>
      <c r="B1434" s="295">
        <f t="shared" si="214"/>
        <v>39</v>
      </c>
      <c r="C1434" s="321">
        <v>6.1</v>
      </c>
      <c r="D1434" s="321" t="s">
        <v>115</v>
      </c>
      <c r="E1434" s="321">
        <v>29</v>
      </c>
      <c r="F1434" s="316">
        <f t="shared" si="211"/>
        <v>1.1599999999999999</v>
      </c>
      <c r="G1434" s="321">
        <v>11.4</v>
      </c>
      <c r="H1434" s="321">
        <v>6.7</v>
      </c>
      <c r="I1434" s="315">
        <f t="shared" ref="I1434" si="217">G1434*(H1434^2)*0.5</f>
        <v>255.87300000000002</v>
      </c>
      <c r="J1434" s="316">
        <f t="shared" si="213"/>
        <v>1.9018358852385906</v>
      </c>
    </row>
    <row r="1435" spans="1:11">
      <c r="A1435" s="321">
        <v>51</v>
      </c>
      <c r="B1435" s="295">
        <f t="shared" si="214"/>
        <v>39</v>
      </c>
      <c r="C1435" s="321">
        <v>6.2</v>
      </c>
      <c r="D1435" s="321" t="s">
        <v>115</v>
      </c>
      <c r="E1435" s="321"/>
      <c r="F1435" s="316" t="str">
        <f t="shared" si="211"/>
        <v/>
      </c>
      <c r="G1435" s="321"/>
      <c r="H1435" s="321"/>
      <c r="J1435" s="316" t="str">
        <f t="shared" si="213"/>
        <v/>
      </c>
    </row>
    <row r="1436" spans="1:11">
      <c r="A1436" s="321">
        <v>51</v>
      </c>
      <c r="B1436" s="295">
        <f t="shared" si="214"/>
        <v>39</v>
      </c>
      <c r="C1436" s="321">
        <v>6.3</v>
      </c>
      <c r="D1436" s="321" t="s">
        <v>114</v>
      </c>
      <c r="E1436" s="321"/>
      <c r="F1436" s="316" t="str">
        <f t="shared" si="211"/>
        <v/>
      </c>
      <c r="G1436" s="321"/>
      <c r="H1436" s="321"/>
      <c r="J1436" s="316" t="str">
        <f t="shared" si="213"/>
        <v/>
      </c>
    </row>
    <row r="1437" spans="1:11">
      <c r="A1437" s="321">
        <v>51</v>
      </c>
      <c r="B1437" s="295">
        <f t="shared" si="214"/>
        <v>39</v>
      </c>
      <c r="C1437" s="321">
        <v>6.4</v>
      </c>
      <c r="D1437" s="321" t="s">
        <v>112</v>
      </c>
      <c r="E1437" s="321"/>
      <c r="F1437" s="316" t="str">
        <f t="shared" si="211"/>
        <v/>
      </c>
      <c r="G1437" s="321"/>
      <c r="H1437" s="321"/>
      <c r="J1437" s="316" t="str">
        <f t="shared" si="213"/>
        <v/>
      </c>
    </row>
    <row r="1438" spans="1:11">
      <c r="A1438" s="321">
        <v>51</v>
      </c>
      <c r="B1438" s="295">
        <f t="shared" si="214"/>
        <v>39</v>
      </c>
      <c r="C1438" s="321">
        <v>6.5</v>
      </c>
      <c r="D1438" s="321" t="s">
        <v>113</v>
      </c>
      <c r="E1438" s="321">
        <v>30</v>
      </c>
      <c r="F1438" s="316">
        <f t="shared" si="211"/>
        <v>1.25</v>
      </c>
      <c r="G1438" s="321">
        <v>11</v>
      </c>
      <c r="H1438" s="321">
        <v>8</v>
      </c>
      <c r="I1438" s="315">
        <f t="shared" ref="I1438:I1439" si="218">G1438*(H1438^2)*0.5</f>
        <v>352</v>
      </c>
      <c r="J1438" s="316">
        <f t="shared" si="213"/>
        <v>6.9530864197530864</v>
      </c>
      <c r="K1438" s="316" t="s">
        <v>163</v>
      </c>
    </row>
    <row r="1439" spans="1:11">
      <c r="A1439" s="321">
        <v>51</v>
      </c>
      <c r="B1439" s="295">
        <f t="shared" si="214"/>
        <v>39</v>
      </c>
      <c r="C1439" s="321">
        <v>7.1</v>
      </c>
      <c r="D1439" s="321" t="s">
        <v>114</v>
      </c>
      <c r="E1439" s="321">
        <v>31</v>
      </c>
      <c r="F1439" s="316">
        <f t="shared" si="211"/>
        <v>1.1481481481481481</v>
      </c>
      <c r="G1439" s="321">
        <v>12.4</v>
      </c>
      <c r="H1439" s="321">
        <v>9.8000000000000007</v>
      </c>
      <c r="I1439" s="315">
        <f t="shared" si="218"/>
        <v>595.44800000000009</v>
      </c>
      <c r="J1439" s="316">
        <f t="shared" si="213"/>
        <v>4.4107259259259264</v>
      </c>
    </row>
    <row r="1440" spans="1:11">
      <c r="A1440" s="321">
        <v>51</v>
      </c>
      <c r="B1440" s="295">
        <f t="shared" si="214"/>
        <v>39</v>
      </c>
      <c r="C1440" s="321">
        <v>7.2</v>
      </c>
      <c r="D1440" s="321" t="s">
        <v>111</v>
      </c>
      <c r="E1440" s="321"/>
      <c r="F1440" s="316" t="str">
        <f t="shared" si="211"/>
        <v/>
      </c>
      <c r="G1440" s="321"/>
      <c r="H1440" s="321"/>
      <c r="J1440" s="316" t="str">
        <f t="shared" si="213"/>
        <v/>
      </c>
    </row>
    <row r="1441" spans="1:10">
      <c r="A1441" s="321">
        <v>51</v>
      </c>
      <c r="B1441" s="295">
        <f t="shared" si="214"/>
        <v>39</v>
      </c>
      <c r="C1441" s="321">
        <v>7.3</v>
      </c>
      <c r="D1441" s="321" t="s">
        <v>113</v>
      </c>
      <c r="E1441" s="321">
        <v>30</v>
      </c>
      <c r="F1441" s="316">
        <f t="shared" si="211"/>
        <v>1.1111111111111112</v>
      </c>
      <c r="G1441" s="321">
        <v>4.4000000000000004</v>
      </c>
      <c r="H1441" s="321">
        <v>3.7</v>
      </c>
      <c r="I1441" s="315">
        <f t="shared" ref="I1441" si="219">G1441*(H1441^2)*0.5</f>
        <v>30.118000000000006</v>
      </c>
      <c r="J1441" s="316">
        <f t="shared" si="213"/>
        <v>0.21078637216203361</v>
      </c>
    </row>
    <row r="1442" spans="1:10">
      <c r="A1442" s="321">
        <v>51</v>
      </c>
      <c r="B1442" s="295">
        <f t="shared" si="214"/>
        <v>39</v>
      </c>
      <c r="C1442" s="321">
        <v>7.4</v>
      </c>
      <c r="D1442" s="321" t="s">
        <v>115</v>
      </c>
      <c r="E1442" s="321"/>
      <c r="F1442" s="316" t="str">
        <f t="shared" si="211"/>
        <v/>
      </c>
      <c r="G1442" s="321"/>
      <c r="H1442" s="321"/>
      <c r="J1442" s="316" t="str">
        <f t="shared" si="213"/>
        <v/>
      </c>
    </row>
    <row r="1443" spans="1:10">
      <c r="A1443" s="321">
        <v>51</v>
      </c>
      <c r="B1443" s="295">
        <f t="shared" si="214"/>
        <v>39</v>
      </c>
      <c r="C1443" s="321">
        <v>7.5</v>
      </c>
      <c r="D1443" s="321" t="s">
        <v>111</v>
      </c>
      <c r="E1443" s="321"/>
      <c r="F1443" s="316" t="str">
        <f t="shared" si="211"/>
        <v/>
      </c>
      <c r="G1443" s="321"/>
      <c r="H1443" s="321"/>
      <c r="J1443" s="316" t="str">
        <f t="shared" si="213"/>
        <v/>
      </c>
    </row>
    <row r="1444" spans="1:10" s="316" customFormat="1">
      <c r="A1444" s="321">
        <v>53</v>
      </c>
      <c r="B1444" s="295">
        <f t="shared" si="214"/>
        <v>41</v>
      </c>
      <c r="C1444" s="321">
        <v>1.1000000000000001</v>
      </c>
      <c r="D1444" s="321" t="s">
        <v>112</v>
      </c>
      <c r="E1444" s="321"/>
      <c r="F1444" s="316" t="str">
        <f t="shared" si="211"/>
        <v/>
      </c>
      <c r="G1444" s="321"/>
      <c r="H1444" s="321"/>
      <c r="I1444" s="315"/>
      <c r="J1444" s="316" t="str">
        <f t="shared" si="213"/>
        <v/>
      </c>
    </row>
    <row r="1445" spans="1:10" s="316" customFormat="1">
      <c r="A1445" s="321">
        <v>53</v>
      </c>
      <c r="B1445" s="295">
        <f t="shared" si="214"/>
        <v>41</v>
      </c>
      <c r="C1445" s="321">
        <v>1.2</v>
      </c>
      <c r="D1445" s="321" t="s">
        <v>113</v>
      </c>
      <c r="E1445" s="321">
        <v>30</v>
      </c>
      <c r="F1445" s="316">
        <f t="shared" si="211"/>
        <v>1.1111111111111112</v>
      </c>
      <c r="G1445" s="321">
        <v>5.7</v>
      </c>
      <c r="H1445" s="321">
        <v>4.8</v>
      </c>
      <c r="I1445" s="315">
        <f t="shared" ref="I1445" si="220">G1445*(H1445^2)*0.5</f>
        <v>65.664000000000001</v>
      </c>
      <c r="J1445" s="316">
        <f t="shared" si="213"/>
        <v>0.31387920258697954</v>
      </c>
    </row>
    <row r="1446" spans="1:10" s="316" customFormat="1">
      <c r="A1446" s="321">
        <v>53</v>
      </c>
      <c r="B1446" s="295">
        <f t="shared" si="214"/>
        <v>41</v>
      </c>
      <c r="C1446" s="321">
        <v>1.3</v>
      </c>
      <c r="D1446" s="321" t="s">
        <v>115</v>
      </c>
      <c r="E1446" s="321"/>
      <c r="F1446" s="316" t="str">
        <f t="shared" si="211"/>
        <v/>
      </c>
      <c r="G1446" s="321"/>
      <c r="H1446" s="321"/>
      <c r="I1446" s="315"/>
      <c r="J1446" s="316" t="str">
        <f t="shared" si="213"/>
        <v/>
      </c>
    </row>
    <row r="1447" spans="1:10" s="316" customFormat="1">
      <c r="A1447" s="321">
        <v>53</v>
      </c>
      <c r="B1447" s="295">
        <f t="shared" si="214"/>
        <v>41</v>
      </c>
      <c r="C1447" s="321">
        <v>1.4</v>
      </c>
      <c r="D1447" s="321" t="s">
        <v>115</v>
      </c>
      <c r="E1447" s="321"/>
      <c r="F1447" s="316" t="str">
        <f t="shared" si="211"/>
        <v/>
      </c>
      <c r="G1447" s="321"/>
      <c r="H1447" s="321"/>
      <c r="I1447" s="315"/>
      <c r="J1447" s="316" t="str">
        <f t="shared" si="213"/>
        <v/>
      </c>
    </row>
    <row r="1448" spans="1:10" s="316" customFormat="1">
      <c r="A1448" s="321">
        <v>53</v>
      </c>
      <c r="B1448" s="295">
        <f t="shared" si="214"/>
        <v>41</v>
      </c>
      <c r="C1448" s="321">
        <v>1.5</v>
      </c>
      <c r="D1448" s="321" t="s">
        <v>112</v>
      </c>
      <c r="E1448" s="321">
        <v>31</v>
      </c>
      <c r="F1448" s="316">
        <f t="shared" si="211"/>
        <v>1.1071428571428572</v>
      </c>
      <c r="G1448" s="321">
        <v>11.1</v>
      </c>
      <c r="H1448" s="321">
        <v>10.7</v>
      </c>
      <c r="I1448" s="315">
        <f t="shared" ref="I1448:I1449" si="221">G1448*(H1448^2)*0.5</f>
        <v>635.41949999999986</v>
      </c>
      <c r="J1448" s="316">
        <f t="shared" si="213"/>
        <v>4.5626974666819837</v>
      </c>
    </row>
    <row r="1449" spans="1:10" s="316" customFormat="1">
      <c r="A1449" s="321">
        <v>53</v>
      </c>
      <c r="B1449" s="295">
        <f t="shared" si="214"/>
        <v>41</v>
      </c>
      <c r="C1449" s="321">
        <v>2.1</v>
      </c>
      <c r="D1449" s="321" t="s">
        <v>114</v>
      </c>
      <c r="E1449" s="321">
        <v>32</v>
      </c>
      <c r="F1449" s="316">
        <f t="shared" si="211"/>
        <v>1.2307692307692308</v>
      </c>
      <c r="G1449" s="321">
        <v>12.5</v>
      </c>
      <c r="H1449" s="321">
        <v>11.3</v>
      </c>
      <c r="I1449" s="315">
        <f t="shared" si="221"/>
        <v>798.06250000000011</v>
      </c>
      <c r="J1449" s="316">
        <f t="shared" si="213"/>
        <v>4.2436702213926969</v>
      </c>
    </row>
    <row r="1450" spans="1:10" s="316" customFormat="1">
      <c r="A1450" s="321">
        <v>53</v>
      </c>
      <c r="B1450" s="295">
        <f t="shared" si="214"/>
        <v>41</v>
      </c>
      <c r="C1450" s="321">
        <v>2.2000000000000002</v>
      </c>
      <c r="D1450" s="321" t="s">
        <v>115</v>
      </c>
      <c r="E1450" s="321"/>
      <c r="F1450" s="316" t="str">
        <f t="shared" si="211"/>
        <v/>
      </c>
      <c r="G1450" s="321"/>
      <c r="H1450" s="321"/>
      <c r="I1450" s="315"/>
      <c r="J1450" s="316" t="str">
        <f t="shared" si="213"/>
        <v/>
      </c>
    </row>
    <row r="1451" spans="1:10" s="316" customFormat="1">
      <c r="A1451" s="321">
        <v>53</v>
      </c>
      <c r="B1451" s="295">
        <f t="shared" si="214"/>
        <v>41</v>
      </c>
      <c r="C1451" s="321">
        <v>2.2999999999999998</v>
      </c>
      <c r="D1451" s="321" t="s">
        <v>112</v>
      </c>
      <c r="E1451" s="321"/>
      <c r="F1451" s="316" t="str">
        <f t="shared" si="211"/>
        <v/>
      </c>
      <c r="G1451" s="321"/>
      <c r="H1451" s="321"/>
      <c r="I1451" s="315"/>
      <c r="J1451" s="316" t="str">
        <f t="shared" si="213"/>
        <v/>
      </c>
    </row>
    <row r="1452" spans="1:10" s="316" customFormat="1">
      <c r="A1452" s="321">
        <v>53</v>
      </c>
      <c r="B1452" s="295">
        <f t="shared" si="214"/>
        <v>41</v>
      </c>
      <c r="C1452" s="321">
        <v>2.4</v>
      </c>
      <c r="D1452" s="321" t="s">
        <v>114</v>
      </c>
      <c r="E1452" s="321">
        <v>30</v>
      </c>
      <c r="F1452" s="316">
        <f t="shared" si="211"/>
        <v>1.2</v>
      </c>
      <c r="G1452" s="321">
        <v>10.9</v>
      </c>
      <c r="H1452" s="321">
        <v>9</v>
      </c>
      <c r="I1452" s="315">
        <f t="shared" ref="I1452:I1456" si="222">G1452*(H1452^2)*0.5</f>
        <v>441.45</v>
      </c>
      <c r="J1452" s="316">
        <f t="shared" si="213"/>
        <v>4.1065116279069764</v>
      </c>
    </row>
    <row r="1453" spans="1:10" s="316" customFormat="1">
      <c r="A1453" s="321">
        <v>53</v>
      </c>
      <c r="B1453" s="295">
        <f t="shared" si="214"/>
        <v>41</v>
      </c>
      <c r="C1453" s="321">
        <v>2.5</v>
      </c>
      <c r="D1453" s="321" t="s">
        <v>113</v>
      </c>
      <c r="E1453" s="321">
        <v>32</v>
      </c>
      <c r="F1453" s="316">
        <f t="shared" si="211"/>
        <v>1.1851851851851851</v>
      </c>
      <c r="G1453" s="321">
        <v>5.9</v>
      </c>
      <c r="H1453" s="321">
        <v>5.4</v>
      </c>
      <c r="I1453" s="315">
        <f t="shared" si="222"/>
        <v>86.02200000000002</v>
      </c>
      <c r="J1453" s="316">
        <f t="shared" si="213"/>
        <v>0.50428532904995849</v>
      </c>
    </row>
    <row r="1454" spans="1:10" s="316" customFormat="1">
      <c r="A1454" s="321">
        <v>53</v>
      </c>
      <c r="B1454" s="295">
        <f t="shared" si="214"/>
        <v>41</v>
      </c>
      <c r="C1454" s="321">
        <v>3.1</v>
      </c>
      <c r="D1454" s="321" t="s">
        <v>115</v>
      </c>
      <c r="E1454" s="321">
        <v>25</v>
      </c>
      <c r="F1454" s="316">
        <f t="shared" si="211"/>
        <v>1.0416666666666667</v>
      </c>
      <c r="G1454" s="321">
        <v>4.3</v>
      </c>
      <c r="H1454" s="321">
        <v>3.7</v>
      </c>
      <c r="I1454" s="315">
        <f t="shared" si="222"/>
        <v>29.433500000000002</v>
      </c>
      <c r="J1454" s="316">
        <f t="shared" si="213"/>
        <v>0.16201183431952665</v>
      </c>
    </row>
    <row r="1455" spans="1:10" s="316" customFormat="1">
      <c r="A1455" s="321">
        <v>53</v>
      </c>
      <c r="B1455" s="295">
        <f t="shared" si="214"/>
        <v>41</v>
      </c>
      <c r="C1455" s="321">
        <v>3.2</v>
      </c>
      <c r="D1455" s="321" t="s">
        <v>113</v>
      </c>
      <c r="E1455" s="321">
        <v>34</v>
      </c>
      <c r="F1455" s="316">
        <f t="shared" si="211"/>
        <v>1.1333333333333333</v>
      </c>
      <c r="G1455" s="321">
        <v>5.7</v>
      </c>
      <c r="H1455" s="321">
        <v>5.4</v>
      </c>
      <c r="I1455" s="315">
        <f t="shared" si="222"/>
        <v>83.106000000000009</v>
      </c>
      <c r="J1455" s="316">
        <f t="shared" si="213"/>
        <v>0.4330783340976363</v>
      </c>
    </row>
    <row r="1456" spans="1:10" s="316" customFormat="1">
      <c r="A1456" s="321">
        <v>53</v>
      </c>
      <c r="B1456" s="295">
        <f t="shared" si="214"/>
        <v>41</v>
      </c>
      <c r="C1456" s="321">
        <v>3.3</v>
      </c>
      <c r="D1456" s="321" t="s">
        <v>114</v>
      </c>
      <c r="E1456" s="321">
        <v>29</v>
      </c>
      <c r="F1456" s="316">
        <f t="shared" si="211"/>
        <v>1.1599999999999999</v>
      </c>
      <c r="G1456" s="321">
        <v>13.7</v>
      </c>
      <c r="H1456" s="321">
        <v>12.1</v>
      </c>
      <c r="I1456" s="315">
        <f t="shared" si="222"/>
        <v>1002.9084999999999</v>
      </c>
      <c r="J1456" s="316">
        <f t="shared" si="213"/>
        <v>4.8732191448007764</v>
      </c>
    </row>
    <row r="1457" spans="1:11" s="316" customFormat="1">
      <c r="A1457" s="321">
        <v>53</v>
      </c>
      <c r="B1457" s="295">
        <f t="shared" si="214"/>
        <v>41</v>
      </c>
      <c r="C1457" s="321">
        <v>3.4</v>
      </c>
      <c r="D1457" s="321" t="s">
        <v>114</v>
      </c>
      <c r="E1457" s="321"/>
      <c r="F1457" s="316" t="str">
        <f t="shared" si="211"/>
        <v/>
      </c>
      <c r="G1457" s="321"/>
      <c r="H1457" s="321"/>
      <c r="I1457" s="315"/>
      <c r="J1457" s="316" t="str">
        <f t="shared" si="213"/>
        <v/>
      </c>
    </row>
    <row r="1458" spans="1:11" s="316" customFormat="1">
      <c r="A1458" s="321">
        <v>53</v>
      </c>
      <c r="B1458" s="295">
        <f t="shared" si="214"/>
        <v>41</v>
      </c>
      <c r="C1458" s="321">
        <v>3.5</v>
      </c>
      <c r="D1458" s="321" t="s">
        <v>115</v>
      </c>
      <c r="E1458" s="321"/>
      <c r="F1458" s="316" t="str">
        <f t="shared" si="211"/>
        <v/>
      </c>
      <c r="G1458" s="321"/>
      <c r="H1458" s="321"/>
      <c r="I1458" s="315"/>
      <c r="J1458" s="316" t="str">
        <f t="shared" si="213"/>
        <v/>
      </c>
    </row>
    <row r="1459" spans="1:11" s="316" customFormat="1">
      <c r="A1459" s="321">
        <v>53</v>
      </c>
      <c r="B1459" s="295">
        <f t="shared" si="214"/>
        <v>41</v>
      </c>
      <c r="C1459" s="321">
        <v>4.0999999999999996</v>
      </c>
      <c r="D1459" s="321" t="s">
        <v>111</v>
      </c>
      <c r="E1459" s="321"/>
      <c r="F1459" s="316" t="str">
        <f t="shared" si="211"/>
        <v/>
      </c>
      <c r="G1459" s="321"/>
      <c r="H1459" s="321"/>
      <c r="I1459" s="315"/>
      <c r="J1459" s="316" t="str">
        <f t="shared" si="213"/>
        <v/>
      </c>
    </row>
    <row r="1460" spans="1:11">
      <c r="A1460" s="321">
        <v>53</v>
      </c>
      <c r="B1460" s="295">
        <f t="shared" si="214"/>
        <v>41</v>
      </c>
      <c r="C1460" s="321">
        <v>4.2</v>
      </c>
      <c r="D1460" s="321" t="s">
        <v>112</v>
      </c>
      <c r="E1460" s="321"/>
      <c r="F1460" s="316" t="str">
        <f t="shared" si="211"/>
        <v/>
      </c>
      <c r="G1460" s="321"/>
      <c r="H1460" s="321"/>
      <c r="J1460" s="316" t="str">
        <f t="shared" si="213"/>
        <v/>
      </c>
    </row>
    <row r="1461" spans="1:11">
      <c r="A1461" s="321">
        <v>53</v>
      </c>
      <c r="B1461" s="295">
        <f t="shared" si="214"/>
        <v>41</v>
      </c>
      <c r="C1461" s="321">
        <v>4.3</v>
      </c>
      <c r="D1461" s="321" t="s">
        <v>113</v>
      </c>
      <c r="E1461" s="321">
        <v>31</v>
      </c>
      <c r="F1461" s="316">
        <f t="shared" si="211"/>
        <v>1.1923076923076923</v>
      </c>
      <c r="G1461" s="321">
        <v>7.8</v>
      </c>
      <c r="H1461" s="321">
        <v>7.9</v>
      </c>
      <c r="I1461" s="315">
        <f t="shared" ref="I1461" si="223">G1461*(H1461^2)*0.5</f>
        <v>243.399</v>
      </c>
      <c r="J1461" s="316">
        <f t="shared" si="213"/>
        <v>1.7477524701286764</v>
      </c>
      <c r="K1461" s="316" t="s">
        <v>183</v>
      </c>
    </row>
    <row r="1462" spans="1:11">
      <c r="A1462" s="321">
        <v>53</v>
      </c>
      <c r="B1462" s="295">
        <f t="shared" si="214"/>
        <v>41</v>
      </c>
      <c r="C1462" s="321">
        <v>4.4000000000000004</v>
      </c>
      <c r="D1462" s="321" t="s">
        <v>112</v>
      </c>
      <c r="E1462" s="321"/>
      <c r="F1462" s="316" t="str">
        <f t="shared" si="211"/>
        <v/>
      </c>
      <c r="G1462" s="321"/>
      <c r="H1462" s="321"/>
      <c r="J1462" s="316" t="str">
        <f t="shared" si="213"/>
        <v/>
      </c>
    </row>
    <row r="1463" spans="1:11">
      <c r="A1463" s="321">
        <v>53</v>
      </c>
      <c r="B1463" s="295">
        <f t="shared" si="214"/>
        <v>41</v>
      </c>
      <c r="C1463" s="321">
        <v>4.5</v>
      </c>
      <c r="D1463" s="321" t="s">
        <v>112</v>
      </c>
      <c r="E1463" s="321"/>
      <c r="F1463" s="316" t="str">
        <f t="shared" si="211"/>
        <v/>
      </c>
      <c r="G1463" s="321"/>
      <c r="H1463" s="321"/>
      <c r="J1463" s="316" t="str">
        <f t="shared" si="213"/>
        <v/>
      </c>
    </row>
    <row r="1464" spans="1:11">
      <c r="A1464" s="321">
        <v>53</v>
      </c>
      <c r="B1464" s="295">
        <f t="shared" si="214"/>
        <v>41</v>
      </c>
      <c r="C1464" s="321">
        <v>5.0999999999999996</v>
      </c>
      <c r="D1464" s="321" t="s">
        <v>113</v>
      </c>
      <c r="E1464" s="321">
        <v>28</v>
      </c>
      <c r="F1464" s="316">
        <f t="shared" si="211"/>
        <v>1.1666666666666667</v>
      </c>
      <c r="G1464" s="321">
        <v>6.5</v>
      </c>
      <c r="H1464" s="321">
        <v>5.7</v>
      </c>
      <c r="I1464" s="315">
        <f t="shared" ref="I1464" si="224">G1464*(H1464^2)*0.5</f>
        <v>105.5925</v>
      </c>
      <c r="J1464" s="316">
        <f t="shared" si="213"/>
        <v>0.63574322819143481</v>
      </c>
    </row>
    <row r="1465" spans="1:11">
      <c r="A1465" s="321">
        <v>53</v>
      </c>
      <c r="B1465" s="295">
        <f t="shared" si="214"/>
        <v>41</v>
      </c>
      <c r="C1465" s="321">
        <v>5.2</v>
      </c>
      <c r="D1465" s="321" t="s">
        <v>114</v>
      </c>
      <c r="E1465" s="321"/>
      <c r="F1465" s="316" t="str">
        <f t="shared" si="211"/>
        <v/>
      </c>
      <c r="G1465" s="321"/>
      <c r="H1465" s="321"/>
      <c r="J1465" s="316" t="str">
        <f t="shared" si="213"/>
        <v/>
      </c>
    </row>
    <row r="1466" spans="1:11">
      <c r="A1466" s="321">
        <v>53</v>
      </c>
      <c r="B1466" s="295">
        <f t="shared" si="214"/>
        <v>41</v>
      </c>
      <c r="C1466" s="321">
        <v>5.3</v>
      </c>
      <c r="D1466" s="321" t="s">
        <v>112</v>
      </c>
      <c r="F1466" s="316" t="str">
        <f t="shared" si="211"/>
        <v/>
      </c>
      <c r="J1466" s="316" t="str">
        <f t="shared" si="213"/>
        <v/>
      </c>
    </row>
    <row r="1467" spans="1:11">
      <c r="A1467" s="321">
        <v>53</v>
      </c>
      <c r="B1467" s="295">
        <f t="shared" si="214"/>
        <v>41</v>
      </c>
      <c r="C1467" s="321">
        <v>5.4</v>
      </c>
      <c r="D1467" s="321" t="s">
        <v>113</v>
      </c>
      <c r="E1467" s="321">
        <v>25</v>
      </c>
      <c r="F1467" s="316">
        <f t="shared" si="211"/>
        <v>0.96153846153846156</v>
      </c>
      <c r="G1467" s="321">
        <v>5.6</v>
      </c>
      <c r="H1467" s="321">
        <v>5.4</v>
      </c>
      <c r="I1467" s="315">
        <f t="shared" ref="I1467" si="225">G1467*(H1467^2)*0.5</f>
        <v>81.64800000000001</v>
      </c>
      <c r="J1467" s="316">
        <f t="shared" si="213"/>
        <v>0.45651663405088072</v>
      </c>
    </row>
    <row r="1468" spans="1:11">
      <c r="A1468" s="321">
        <v>53</v>
      </c>
      <c r="B1468" s="295">
        <f t="shared" si="214"/>
        <v>41</v>
      </c>
      <c r="C1468" s="321">
        <v>5.5</v>
      </c>
      <c r="D1468" s="321" t="s">
        <v>114</v>
      </c>
      <c r="E1468" s="321"/>
      <c r="F1468" s="316" t="str">
        <f t="shared" si="211"/>
        <v/>
      </c>
      <c r="G1468" s="321"/>
      <c r="H1468" s="321"/>
      <c r="J1468" s="316" t="str">
        <f t="shared" si="213"/>
        <v/>
      </c>
    </row>
    <row r="1469" spans="1:11">
      <c r="A1469" s="321">
        <v>53</v>
      </c>
      <c r="B1469" s="295">
        <f t="shared" si="214"/>
        <v>41</v>
      </c>
      <c r="C1469" s="321">
        <v>6.1</v>
      </c>
      <c r="D1469" s="321" t="s">
        <v>115</v>
      </c>
      <c r="E1469" s="321">
        <v>30</v>
      </c>
      <c r="F1469" s="316">
        <f t="shared" si="211"/>
        <v>1.2</v>
      </c>
      <c r="G1469" s="321">
        <v>11.9</v>
      </c>
      <c r="H1469" s="321">
        <v>6.8</v>
      </c>
      <c r="I1469" s="315">
        <f t="shared" ref="I1469" si="226">G1469*(H1469^2)*0.5</f>
        <v>275.12799999999999</v>
      </c>
      <c r="J1469" s="316">
        <f t="shared" si="213"/>
        <v>2.0449531737773148</v>
      </c>
    </row>
    <row r="1470" spans="1:11">
      <c r="A1470" s="321">
        <v>53</v>
      </c>
      <c r="B1470" s="295">
        <f t="shared" si="214"/>
        <v>41</v>
      </c>
      <c r="C1470" s="321">
        <v>6.2</v>
      </c>
      <c r="D1470" s="321" t="s">
        <v>115</v>
      </c>
      <c r="E1470" s="321"/>
      <c r="F1470" s="316" t="str">
        <f t="shared" si="211"/>
        <v/>
      </c>
      <c r="G1470" s="321"/>
      <c r="H1470" s="321"/>
      <c r="J1470" s="316" t="str">
        <f t="shared" si="213"/>
        <v/>
      </c>
    </row>
    <row r="1471" spans="1:11">
      <c r="A1471" s="321">
        <v>53</v>
      </c>
      <c r="B1471" s="295">
        <f t="shared" si="214"/>
        <v>41</v>
      </c>
      <c r="C1471" s="321">
        <v>6.3</v>
      </c>
      <c r="D1471" s="321" t="s">
        <v>114</v>
      </c>
      <c r="E1471" s="321"/>
      <c r="F1471" s="316" t="str">
        <f t="shared" si="211"/>
        <v/>
      </c>
      <c r="G1471" s="321"/>
      <c r="H1471" s="321"/>
      <c r="J1471" s="316" t="str">
        <f t="shared" si="213"/>
        <v/>
      </c>
    </row>
    <row r="1472" spans="1:11">
      <c r="A1472" s="321">
        <v>53</v>
      </c>
      <c r="B1472" s="295">
        <f t="shared" si="214"/>
        <v>41</v>
      </c>
      <c r="C1472" s="321">
        <v>6.4</v>
      </c>
      <c r="D1472" s="321" t="s">
        <v>112</v>
      </c>
      <c r="E1472" s="321"/>
      <c r="F1472" s="316" t="str">
        <f t="shared" si="211"/>
        <v/>
      </c>
      <c r="G1472" s="321"/>
      <c r="H1472" s="321"/>
      <c r="J1472" s="316" t="str">
        <f t="shared" si="213"/>
        <v/>
      </c>
    </row>
    <row r="1473" spans="1:11">
      <c r="A1473" s="321">
        <v>53</v>
      </c>
      <c r="B1473" s="295">
        <f t="shared" si="214"/>
        <v>41</v>
      </c>
      <c r="C1473" s="321">
        <v>6.5</v>
      </c>
      <c r="D1473" s="321" t="s">
        <v>113</v>
      </c>
      <c r="E1473" s="321">
        <v>30</v>
      </c>
      <c r="F1473" s="316">
        <f t="shared" si="211"/>
        <v>1.25</v>
      </c>
      <c r="G1473" s="321">
        <v>9.4</v>
      </c>
      <c r="H1473" s="321">
        <v>8.1</v>
      </c>
      <c r="I1473" s="315">
        <f t="shared" ref="I1473:I1474" si="227">G1473*(H1473^2)*0.5</f>
        <v>308.36700000000002</v>
      </c>
      <c r="J1473" s="316">
        <f t="shared" si="213"/>
        <v>6.0912000000000006</v>
      </c>
      <c r="K1473" s="316" t="s">
        <v>163</v>
      </c>
    </row>
    <row r="1474" spans="1:11">
      <c r="A1474" s="321">
        <v>53</v>
      </c>
      <c r="B1474" s="295">
        <f t="shared" si="214"/>
        <v>41</v>
      </c>
      <c r="C1474" s="321">
        <v>7.1</v>
      </c>
      <c r="D1474" s="321" t="s">
        <v>114</v>
      </c>
      <c r="E1474" s="321">
        <v>31</v>
      </c>
      <c r="F1474" s="316">
        <f t="shared" si="211"/>
        <v>1.1481481481481481</v>
      </c>
      <c r="G1474" s="321">
        <v>10.7</v>
      </c>
      <c r="H1474" s="321">
        <v>9.9</v>
      </c>
      <c r="I1474" s="315">
        <f t="shared" si="227"/>
        <v>524.35349999999994</v>
      </c>
      <c r="J1474" s="316">
        <f t="shared" si="213"/>
        <v>3.8840999999999997</v>
      </c>
    </row>
    <row r="1475" spans="1:11">
      <c r="A1475" s="321">
        <v>53</v>
      </c>
      <c r="B1475" s="295">
        <f t="shared" si="214"/>
        <v>41</v>
      </c>
      <c r="C1475" s="321">
        <v>7.2</v>
      </c>
      <c r="D1475" s="321" t="s">
        <v>111</v>
      </c>
      <c r="E1475" s="321"/>
      <c r="F1475" s="316" t="str">
        <f t="shared" si="211"/>
        <v/>
      </c>
      <c r="G1475" s="321"/>
      <c r="H1475" s="321"/>
      <c r="J1475" s="316" t="str">
        <f t="shared" si="213"/>
        <v/>
      </c>
    </row>
    <row r="1476" spans="1:11">
      <c r="A1476" s="321">
        <v>53</v>
      </c>
      <c r="B1476" s="295">
        <f t="shared" si="214"/>
        <v>41</v>
      </c>
      <c r="C1476" s="321">
        <v>7.3</v>
      </c>
      <c r="D1476" s="321" t="s">
        <v>113</v>
      </c>
      <c r="E1476" s="321">
        <v>29</v>
      </c>
      <c r="F1476" s="316">
        <f t="shared" si="211"/>
        <v>1.0740740740740742</v>
      </c>
      <c r="G1476" s="321">
        <v>4.4000000000000004</v>
      </c>
      <c r="H1476" s="321">
        <v>3.8</v>
      </c>
      <c r="I1476" s="315">
        <f t="shared" ref="I1476" si="228">G1476*(H1476^2)*0.5</f>
        <v>31.768000000000001</v>
      </c>
      <c r="J1476" s="316">
        <f t="shared" si="213"/>
        <v>0.22233420117018005</v>
      </c>
    </row>
    <row r="1477" spans="1:11">
      <c r="A1477" s="321">
        <v>53</v>
      </c>
      <c r="B1477" s="295">
        <f t="shared" si="214"/>
        <v>41</v>
      </c>
      <c r="C1477" s="321">
        <v>7.4</v>
      </c>
      <c r="D1477" s="321" t="s">
        <v>115</v>
      </c>
      <c r="E1477" s="321"/>
      <c r="F1477" s="316" t="str">
        <f t="shared" si="211"/>
        <v/>
      </c>
      <c r="G1477" s="321"/>
      <c r="H1477" s="321"/>
      <c r="J1477" s="316" t="str">
        <f t="shared" si="213"/>
        <v/>
      </c>
    </row>
    <row r="1478" spans="1:11">
      <c r="A1478" s="321">
        <v>53</v>
      </c>
      <c r="B1478" s="295">
        <f t="shared" si="214"/>
        <v>41</v>
      </c>
      <c r="C1478" s="321">
        <v>7.5</v>
      </c>
      <c r="D1478" s="321" t="s">
        <v>111</v>
      </c>
      <c r="E1478" s="321"/>
      <c r="F1478" s="316" t="str">
        <f t="shared" si="211"/>
        <v/>
      </c>
      <c r="G1478" s="321"/>
      <c r="H1478" s="321"/>
      <c r="J1478" s="316" t="str">
        <f t="shared" si="213"/>
        <v/>
      </c>
    </row>
    <row r="1479" spans="1:11">
      <c r="A1479" s="321">
        <v>55</v>
      </c>
      <c r="B1479" s="295">
        <f t="shared" si="214"/>
        <v>43</v>
      </c>
      <c r="C1479" s="321">
        <v>1.1000000000000001</v>
      </c>
      <c r="D1479" s="321" t="s">
        <v>112</v>
      </c>
      <c r="E1479" s="321"/>
      <c r="F1479" s="316" t="str">
        <f t="shared" si="211"/>
        <v/>
      </c>
      <c r="G1479" s="321"/>
      <c r="H1479" s="321"/>
      <c r="J1479" s="316" t="str">
        <f t="shared" si="213"/>
        <v/>
      </c>
    </row>
    <row r="1480" spans="1:11">
      <c r="A1480" s="321">
        <v>55</v>
      </c>
      <c r="B1480" s="295">
        <f t="shared" si="214"/>
        <v>43</v>
      </c>
      <c r="C1480" s="321">
        <v>1.2</v>
      </c>
      <c r="D1480" s="321" t="s">
        <v>113</v>
      </c>
      <c r="E1480" s="321">
        <v>30</v>
      </c>
      <c r="F1480" s="316">
        <f t="shared" si="211"/>
        <v>1.1111111111111112</v>
      </c>
      <c r="G1480" s="321">
        <v>5</v>
      </c>
      <c r="H1480" s="321">
        <v>4.8</v>
      </c>
      <c r="I1480" s="315">
        <f t="shared" ref="I1480" si="229">G1480*(H1480^2)*0.5</f>
        <v>57.599999999999994</v>
      </c>
      <c r="J1480" s="316">
        <f t="shared" si="213"/>
        <v>0.27533263384822765</v>
      </c>
    </row>
    <row r="1481" spans="1:11">
      <c r="A1481" s="321">
        <v>55</v>
      </c>
      <c r="B1481" s="295">
        <f t="shared" si="214"/>
        <v>43</v>
      </c>
      <c r="C1481" s="321">
        <v>1.3</v>
      </c>
      <c r="D1481" s="321" t="s">
        <v>115</v>
      </c>
      <c r="E1481" s="321"/>
      <c r="F1481" s="316" t="str">
        <f t="shared" ref="F1481:F1544" si="230">IF(ISBLANK(E1481),"",E1481/SUMIFS(E:E,C:C,C1481,B:B,"0"))</f>
        <v/>
      </c>
      <c r="G1481" s="321"/>
      <c r="H1481" s="321"/>
      <c r="J1481" s="316" t="str">
        <f t="shared" ref="J1481:J1544" si="231">IF(ISBLANK(I1481),"",I1481/SUMIFS(I:I,C:C,C1481,B:B,"0"))</f>
        <v/>
      </c>
    </row>
    <row r="1482" spans="1:11">
      <c r="A1482" s="321">
        <v>55</v>
      </c>
      <c r="B1482" s="295">
        <f t="shared" ref="B1482:B1545" si="232">A1482-12</f>
        <v>43</v>
      </c>
      <c r="C1482" s="321">
        <v>1.4</v>
      </c>
      <c r="D1482" s="321" t="s">
        <v>115</v>
      </c>
      <c r="E1482" s="321"/>
      <c r="F1482" s="316" t="str">
        <f t="shared" si="230"/>
        <v/>
      </c>
      <c r="G1482" s="321"/>
      <c r="H1482" s="321"/>
      <c r="J1482" s="316" t="str">
        <f t="shared" si="231"/>
        <v/>
      </c>
    </row>
    <row r="1483" spans="1:11">
      <c r="A1483" s="321">
        <v>55</v>
      </c>
      <c r="B1483" s="295">
        <f t="shared" si="232"/>
        <v>43</v>
      </c>
      <c r="C1483" s="321">
        <v>1.5</v>
      </c>
      <c r="D1483" s="321" t="s">
        <v>112</v>
      </c>
      <c r="E1483" s="321">
        <v>30</v>
      </c>
      <c r="F1483" s="316">
        <f t="shared" si="230"/>
        <v>1.0714285714285714</v>
      </c>
      <c r="G1483" s="321">
        <v>11.6</v>
      </c>
      <c r="H1483" s="321">
        <v>10.7</v>
      </c>
      <c r="I1483" s="315">
        <f t="shared" ref="I1483:I1484" si="233">G1483*(H1483^2)*0.5</f>
        <v>664.04199999999992</v>
      </c>
      <c r="J1483" s="316">
        <f t="shared" si="231"/>
        <v>4.768224379595587</v>
      </c>
    </row>
    <row r="1484" spans="1:11">
      <c r="A1484" s="321">
        <v>55</v>
      </c>
      <c r="B1484" s="295">
        <f t="shared" si="232"/>
        <v>43</v>
      </c>
      <c r="C1484" s="321">
        <v>2.1</v>
      </c>
      <c r="D1484" s="321" t="s">
        <v>114</v>
      </c>
      <c r="E1484" s="321">
        <v>31</v>
      </c>
      <c r="F1484" s="316">
        <f t="shared" si="230"/>
        <v>1.1923076923076923</v>
      </c>
      <c r="G1484" s="321">
        <v>11.9</v>
      </c>
      <c r="H1484" s="321">
        <v>11.5</v>
      </c>
      <c r="I1484" s="315">
        <f t="shared" si="233"/>
        <v>786.88750000000005</v>
      </c>
      <c r="J1484" s="316">
        <f t="shared" si="231"/>
        <v>4.1842475386779174</v>
      </c>
      <c r="K1484" s="316" t="s">
        <v>184</v>
      </c>
    </row>
    <row r="1485" spans="1:11">
      <c r="A1485" s="321">
        <v>55</v>
      </c>
      <c r="B1485" s="295">
        <f t="shared" si="232"/>
        <v>43</v>
      </c>
      <c r="C1485" s="321">
        <v>2.2000000000000002</v>
      </c>
      <c r="D1485" s="321" t="s">
        <v>115</v>
      </c>
      <c r="E1485" s="321"/>
      <c r="F1485" s="316" t="str">
        <f t="shared" si="230"/>
        <v/>
      </c>
      <c r="G1485" s="321"/>
      <c r="H1485" s="321"/>
      <c r="J1485" s="316" t="str">
        <f t="shared" si="231"/>
        <v/>
      </c>
    </row>
    <row r="1486" spans="1:11">
      <c r="A1486" s="321">
        <v>55</v>
      </c>
      <c r="B1486" s="295">
        <f t="shared" si="232"/>
        <v>43</v>
      </c>
      <c r="C1486" s="321">
        <v>2.2999999999999998</v>
      </c>
      <c r="D1486" s="321" t="s">
        <v>112</v>
      </c>
      <c r="E1486" s="321"/>
      <c r="F1486" s="316" t="str">
        <f t="shared" si="230"/>
        <v/>
      </c>
      <c r="G1486" s="321"/>
      <c r="H1486" s="321"/>
      <c r="J1486" s="316" t="str">
        <f t="shared" si="231"/>
        <v/>
      </c>
    </row>
    <row r="1487" spans="1:11">
      <c r="A1487" s="321">
        <v>55</v>
      </c>
      <c r="B1487" s="295">
        <f t="shared" si="232"/>
        <v>43</v>
      </c>
      <c r="C1487" s="321">
        <v>2.4</v>
      </c>
      <c r="D1487" s="321" t="s">
        <v>114</v>
      </c>
      <c r="E1487" s="321">
        <v>29</v>
      </c>
      <c r="F1487" s="316">
        <f t="shared" si="230"/>
        <v>1.1599999999999999</v>
      </c>
      <c r="G1487" s="321">
        <v>10.5</v>
      </c>
      <c r="H1487" s="321">
        <v>9.8000000000000007</v>
      </c>
      <c r="I1487" s="315">
        <f t="shared" ref="I1487:I1491" si="234">G1487*(H1487^2)*0.5</f>
        <v>504.21000000000009</v>
      </c>
      <c r="J1487" s="316">
        <f t="shared" si="231"/>
        <v>4.6903255813953493</v>
      </c>
    </row>
    <row r="1488" spans="1:11">
      <c r="A1488" s="321">
        <v>55</v>
      </c>
      <c r="B1488" s="295">
        <f t="shared" si="232"/>
        <v>43</v>
      </c>
      <c r="C1488" s="321">
        <v>2.5</v>
      </c>
      <c r="D1488" s="321" t="s">
        <v>113</v>
      </c>
      <c r="E1488" s="321">
        <v>31</v>
      </c>
      <c r="F1488" s="316">
        <f t="shared" si="230"/>
        <v>1.1481481481481481</v>
      </c>
      <c r="G1488" s="321">
        <v>4.9000000000000004</v>
      </c>
      <c r="H1488" s="321">
        <v>4.5</v>
      </c>
      <c r="I1488" s="315">
        <f t="shared" si="234"/>
        <v>49.612500000000004</v>
      </c>
      <c r="J1488" s="316">
        <f t="shared" si="231"/>
        <v>0.29084252734755134</v>
      </c>
    </row>
    <row r="1489" spans="1:10">
      <c r="A1489" s="321">
        <v>55</v>
      </c>
      <c r="B1489" s="295">
        <f t="shared" si="232"/>
        <v>43</v>
      </c>
      <c r="C1489" s="321">
        <v>3.1</v>
      </c>
      <c r="D1489" s="321" t="s">
        <v>115</v>
      </c>
      <c r="E1489" s="321">
        <v>25</v>
      </c>
      <c r="F1489" s="316">
        <f t="shared" si="230"/>
        <v>1.0416666666666667</v>
      </c>
      <c r="G1489" s="321">
        <v>4.2</v>
      </c>
      <c r="H1489" s="321">
        <v>3.8</v>
      </c>
      <c r="I1489" s="315">
        <f t="shared" si="234"/>
        <v>30.324000000000002</v>
      </c>
      <c r="J1489" s="316">
        <f t="shared" si="231"/>
        <v>0.16691344433741573</v>
      </c>
    </row>
    <row r="1490" spans="1:10">
      <c r="A1490" s="321">
        <v>55</v>
      </c>
      <c r="B1490" s="295">
        <f t="shared" si="232"/>
        <v>43</v>
      </c>
      <c r="C1490" s="321">
        <v>3.2</v>
      </c>
      <c r="D1490" s="321" t="s">
        <v>113</v>
      </c>
      <c r="E1490" s="321">
        <v>34</v>
      </c>
      <c r="F1490" s="316">
        <f t="shared" si="230"/>
        <v>1.1333333333333333</v>
      </c>
      <c r="G1490" s="321">
        <v>4.9000000000000004</v>
      </c>
      <c r="H1490" s="321">
        <v>4.5</v>
      </c>
      <c r="I1490" s="315">
        <f t="shared" si="234"/>
        <v>49.612500000000004</v>
      </c>
      <c r="J1490" s="316">
        <f t="shared" si="231"/>
        <v>0.25853847917622047</v>
      </c>
    </row>
    <row r="1491" spans="1:10">
      <c r="A1491" s="321">
        <v>55</v>
      </c>
      <c r="B1491" s="295">
        <f t="shared" si="232"/>
        <v>43</v>
      </c>
      <c r="C1491" s="321">
        <v>3.3</v>
      </c>
      <c r="D1491" s="321" t="s">
        <v>114</v>
      </c>
      <c r="E1491" s="321">
        <v>29</v>
      </c>
      <c r="F1491" s="316">
        <f t="shared" si="230"/>
        <v>1.1599999999999999</v>
      </c>
      <c r="G1491" s="321">
        <v>14.3</v>
      </c>
      <c r="H1491" s="321">
        <v>11.3</v>
      </c>
      <c r="I1491" s="315">
        <f t="shared" si="234"/>
        <v>912.98350000000016</v>
      </c>
      <c r="J1491" s="316">
        <f t="shared" si="231"/>
        <v>4.4362657920310991</v>
      </c>
    </row>
    <row r="1492" spans="1:10" s="316" customFormat="1">
      <c r="A1492" s="321">
        <v>55</v>
      </c>
      <c r="B1492" s="295">
        <f t="shared" si="232"/>
        <v>43</v>
      </c>
      <c r="C1492" s="321">
        <v>3.4</v>
      </c>
      <c r="D1492" s="321" t="s">
        <v>114</v>
      </c>
      <c r="E1492" s="321"/>
      <c r="F1492" s="316" t="str">
        <f t="shared" si="230"/>
        <v/>
      </c>
      <c r="G1492" s="321"/>
      <c r="H1492" s="321"/>
      <c r="I1492" s="315"/>
      <c r="J1492" s="316" t="str">
        <f t="shared" si="231"/>
        <v/>
      </c>
    </row>
    <row r="1493" spans="1:10" s="316" customFormat="1">
      <c r="A1493" s="321">
        <v>55</v>
      </c>
      <c r="B1493" s="295">
        <f t="shared" si="232"/>
        <v>43</v>
      </c>
      <c r="C1493" s="321">
        <v>3.5</v>
      </c>
      <c r="D1493" s="321" t="s">
        <v>115</v>
      </c>
      <c r="E1493" s="321"/>
      <c r="F1493" s="316" t="str">
        <f t="shared" si="230"/>
        <v/>
      </c>
      <c r="G1493" s="321"/>
      <c r="H1493" s="321"/>
      <c r="I1493" s="315"/>
      <c r="J1493" s="316" t="str">
        <f t="shared" si="231"/>
        <v/>
      </c>
    </row>
    <row r="1494" spans="1:10" s="316" customFormat="1">
      <c r="A1494" s="321">
        <v>55</v>
      </c>
      <c r="B1494" s="295">
        <f t="shared" si="232"/>
        <v>43</v>
      </c>
      <c r="C1494" s="321">
        <v>4.0999999999999996</v>
      </c>
      <c r="D1494" s="321" t="s">
        <v>111</v>
      </c>
      <c r="E1494" s="321"/>
      <c r="F1494" s="316" t="str">
        <f t="shared" si="230"/>
        <v/>
      </c>
      <c r="G1494" s="321"/>
      <c r="H1494" s="321"/>
      <c r="I1494" s="315"/>
      <c r="J1494" s="316" t="str">
        <f t="shared" si="231"/>
        <v/>
      </c>
    </row>
    <row r="1495" spans="1:10" s="316" customFormat="1">
      <c r="A1495" s="321">
        <v>55</v>
      </c>
      <c r="B1495" s="295">
        <f t="shared" si="232"/>
        <v>43</v>
      </c>
      <c r="C1495" s="321">
        <v>4.2</v>
      </c>
      <c r="D1495" s="321" t="s">
        <v>112</v>
      </c>
      <c r="E1495" s="321"/>
      <c r="F1495" s="316" t="str">
        <f t="shared" si="230"/>
        <v/>
      </c>
      <c r="G1495" s="321"/>
      <c r="H1495" s="321"/>
      <c r="I1495" s="315"/>
      <c r="J1495" s="316" t="str">
        <f t="shared" si="231"/>
        <v/>
      </c>
    </row>
    <row r="1496" spans="1:10" s="316" customFormat="1">
      <c r="A1496" s="321">
        <v>55</v>
      </c>
      <c r="B1496" s="295">
        <f t="shared" si="232"/>
        <v>43</v>
      </c>
      <c r="C1496" s="321">
        <v>4.3</v>
      </c>
      <c r="D1496" s="321" t="s">
        <v>113</v>
      </c>
      <c r="E1496" s="321">
        <v>30</v>
      </c>
      <c r="F1496" s="316">
        <f t="shared" si="230"/>
        <v>1.1538461538461537</v>
      </c>
      <c r="G1496" s="321">
        <v>8.6</v>
      </c>
      <c r="H1496" s="321">
        <v>8</v>
      </c>
      <c r="I1496" s="315">
        <f t="shared" ref="I1496" si="235">G1496*(H1496^2)*0.5</f>
        <v>275.2</v>
      </c>
      <c r="J1496" s="316">
        <f t="shared" si="231"/>
        <v>1.9761029411764703</v>
      </c>
    </row>
    <row r="1497" spans="1:10" s="316" customFormat="1">
      <c r="A1497" s="321">
        <v>55</v>
      </c>
      <c r="B1497" s="295">
        <f t="shared" si="232"/>
        <v>43</v>
      </c>
      <c r="C1497" s="321">
        <v>4.4000000000000004</v>
      </c>
      <c r="D1497" s="321" t="s">
        <v>112</v>
      </c>
      <c r="E1497" s="321"/>
      <c r="F1497" s="316" t="str">
        <f t="shared" si="230"/>
        <v/>
      </c>
      <c r="G1497" s="321"/>
      <c r="H1497" s="321"/>
      <c r="I1497" s="315"/>
      <c r="J1497" s="316" t="str">
        <f t="shared" si="231"/>
        <v/>
      </c>
    </row>
    <row r="1498" spans="1:10" s="316" customFormat="1">
      <c r="A1498" s="321">
        <v>55</v>
      </c>
      <c r="B1498" s="295">
        <f t="shared" si="232"/>
        <v>43</v>
      </c>
      <c r="C1498" s="321">
        <v>4.5</v>
      </c>
      <c r="D1498" s="321" t="s">
        <v>112</v>
      </c>
      <c r="E1498" s="321"/>
      <c r="F1498" s="316" t="str">
        <f t="shared" si="230"/>
        <v/>
      </c>
      <c r="G1498" s="321"/>
      <c r="H1498" s="321"/>
      <c r="I1498" s="315"/>
      <c r="J1498" s="316" t="str">
        <f t="shared" si="231"/>
        <v/>
      </c>
    </row>
    <row r="1499" spans="1:10" s="316" customFormat="1">
      <c r="A1499" s="321">
        <v>55</v>
      </c>
      <c r="B1499" s="295">
        <f t="shared" si="232"/>
        <v>43</v>
      </c>
      <c r="C1499" s="321">
        <v>5.0999999999999996</v>
      </c>
      <c r="D1499" s="321" t="s">
        <v>113</v>
      </c>
      <c r="E1499" s="321">
        <v>26</v>
      </c>
      <c r="F1499" s="316">
        <f t="shared" si="230"/>
        <v>1.0833333333333333</v>
      </c>
      <c r="G1499" s="321">
        <v>6.6</v>
      </c>
      <c r="H1499" s="321">
        <v>6.4</v>
      </c>
      <c r="I1499" s="315">
        <f t="shared" ref="I1499" si="236">G1499*(H1499^2)*0.5</f>
        <v>135.16800000000001</v>
      </c>
      <c r="J1499" s="316">
        <f t="shared" si="231"/>
        <v>0.81380913102900176</v>
      </c>
    </row>
    <row r="1500" spans="1:10" s="316" customFormat="1">
      <c r="A1500" s="321">
        <v>55</v>
      </c>
      <c r="B1500" s="295">
        <f t="shared" si="232"/>
        <v>43</v>
      </c>
      <c r="C1500" s="321">
        <v>5.2</v>
      </c>
      <c r="D1500" s="321" t="s">
        <v>114</v>
      </c>
      <c r="E1500" s="321"/>
      <c r="F1500" s="316" t="str">
        <f t="shared" si="230"/>
        <v/>
      </c>
      <c r="G1500" s="321"/>
      <c r="H1500" s="321"/>
      <c r="I1500" s="315"/>
      <c r="J1500" s="316" t="str">
        <f t="shared" si="231"/>
        <v/>
      </c>
    </row>
    <row r="1501" spans="1:10" s="316" customFormat="1">
      <c r="A1501" s="321">
        <v>55</v>
      </c>
      <c r="B1501" s="295">
        <f t="shared" si="232"/>
        <v>43</v>
      </c>
      <c r="C1501" s="321">
        <v>5.3</v>
      </c>
      <c r="D1501" s="321" t="s">
        <v>112</v>
      </c>
      <c r="E1501" s="295"/>
      <c r="F1501" s="316" t="str">
        <f t="shared" si="230"/>
        <v/>
      </c>
      <c r="G1501" s="295"/>
      <c r="H1501" s="295"/>
      <c r="I1501" s="315"/>
      <c r="J1501" s="316" t="str">
        <f t="shared" si="231"/>
        <v/>
      </c>
    </row>
    <row r="1502" spans="1:10" s="316" customFormat="1">
      <c r="A1502" s="321">
        <v>55</v>
      </c>
      <c r="B1502" s="295">
        <f t="shared" si="232"/>
        <v>43</v>
      </c>
      <c r="C1502" s="321">
        <v>5.4</v>
      </c>
      <c r="D1502" s="321" t="s">
        <v>113</v>
      </c>
      <c r="E1502" s="321">
        <v>25</v>
      </c>
      <c r="F1502" s="316">
        <f t="shared" si="230"/>
        <v>0.96153846153846156</v>
      </c>
      <c r="G1502" s="321">
        <v>6.3</v>
      </c>
      <c r="H1502" s="321">
        <v>6.1</v>
      </c>
      <c r="I1502" s="315">
        <f t="shared" ref="I1502" si="237">G1502*(H1502^2)*0.5</f>
        <v>117.21149999999997</v>
      </c>
      <c r="J1502" s="316">
        <f t="shared" si="231"/>
        <v>0.65536203522504877</v>
      </c>
    </row>
    <row r="1503" spans="1:10" s="316" customFormat="1">
      <c r="A1503" s="321">
        <v>55</v>
      </c>
      <c r="B1503" s="295">
        <f t="shared" si="232"/>
        <v>43</v>
      </c>
      <c r="C1503" s="321">
        <v>5.5</v>
      </c>
      <c r="D1503" s="321" t="s">
        <v>114</v>
      </c>
      <c r="E1503" s="321"/>
      <c r="F1503" s="316" t="str">
        <f t="shared" si="230"/>
        <v/>
      </c>
      <c r="G1503" s="321"/>
      <c r="H1503" s="321"/>
      <c r="I1503" s="315"/>
      <c r="J1503" s="316" t="str">
        <f t="shared" si="231"/>
        <v/>
      </c>
    </row>
    <row r="1504" spans="1:10" s="316" customFormat="1">
      <c r="A1504" s="321">
        <v>55</v>
      </c>
      <c r="B1504" s="295">
        <f t="shared" si="232"/>
        <v>43</v>
      </c>
      <c r="C1504" s="321">
        <v>6.1</v>
      </c>
      <c r="D1504" s="321" t="s">
        <v>115</v>
      </c>
      <c r="E1504" s="321">
        <v>30</v>
      </c>
      <c r="F1504" s="316">
        <f t="shared" si="230"/>
        <v>1.2</v>
      </c>
      <c r="G1504" s="321">
        <v>11.3</v>
      </c>
      <c r="H1504" s="321">
        <v>7.9</v>
      </c>
      <c r="I1504" s="315">
        <f t="shared" ref="I1504" si="238">G1504*(H1504^2)*0.5</f>
        <v>352.61650000000003</v>
      </c>
      <c r="J1504" s="316">
        <f t="shared" si="231"/>
        <v>2.6209045636985282</v>
      </c>
    </row>
    <row r="1505" spans="1:11" s="316" customFormat="1">
      <c r="A1505" s="321">
        <v>55</v>
      </c>
      <c r="B1505" s="295">
        <f t="shared" si="232"/>
        <v>43</v>
      </c>
      <c r="C1505" s="321">
        <v>6.2</v>
      </c>
      <c r="D1505" s="321" t="s">
        <v>115</v>
      </c>
      <c r="E1505" s="321"/>
      <c r="F1505" s="316" t="str">
        <f t="shared" si="230"/>
        <v/>
      </c>
      <c r="G1505" s="321"/>
      <c r="H1505" s="321"/>
      <c r="I1505" s="315"/>
      <c r="J1505" s="316" t="str">
        <f t="shared" si="231"/>
        <v/>
      </c>
    </row>
    <row r="1506" spans="1:11" s="316" customFormat="1">
      <c r="A1506" s="321">
        <v>55</v>
      </c>
      <c r="B1506" s="295">
        <f t="shared" si="232"/>
        <v>43</v>
      </c>
      <c r="C1506" s="321">
        <v>6.3</v>
      </c>
      <c r="D1506" s="321" t="s">
        <v>114</v>
      </c>
      <c r="E1506" s="321"/>
      <c r="F1506" s="316" t="str">
        <f t="shared" si="230"/>
        <v/>
      </c>
      <c r="G1506" s="321"/>
      <c r="H1506" s="321"/>
      <c r="I1506" s="315"/>
      <c r="J1506" s="316" t="str">
        <f t="shared" si="231"/>
        <v/>
      </c>
    </row>
    <row r="1507" spans="1:11" s="316" customFormat="1">
      <c r="A1507" s="321">
        <v>55</v>
      </c>
      <c r="B1507" s="295">
        <f t="shared" si="232"/>
        <v>43</v>
      </c>
      <c r="C1507" s="321">
        <v>6.4</v>
      </c>
      <c r="D1507" s="321" t="s">
        <v>112</v>
      </c>
      <c r="E1507" s="321"/>
      <c r="F1507" s="316" t="str">
        <f t="shared" si="230"/>
        <v/>
      </c>
      <c r="G1507" s="321"/>
      <c r="H1507" s="321"/>
      <c r="I1507" s="315"/>
      <c r="J1507" s="316" t="str">
        <f t="shared" si="231"/>
        <v/>
      </c>
    </row>
    <row r="1508" spans="1:11">
      <c r="A1508" s="321">
        <v>55</v>
      </c>
      <c r="B1508" s="295">
        <f t="shared" si="232"/>
        <v>43</v>
      </c>
      <c r="C1508" s="321">
        <v>6.5</v>
      </c>
      <c r="D1508" s="321" t="s">
        <v>113</v>
      </c>
      <c r="E1508" s="321">
        <v>30</v>
      </c>
      <c r="F1508" s="316">
        <f t="shared" si="230"/>
        <v>1.25</v>
      </c>
      <c r="G1508" s="321">
        <v>9.4</v>
      </c>
      <c r="H1508" s="321">
        <v>8.6</v>
      </c>
      <c r="I1508" s="315">
        <f t="shared" ref="I1508:I1509" si="239">G1508*(H1508^2)*0.5</f>
        <v>347.61199999999997</v>
      </c>
      <c r="J1508" s="316">
        <f t="shared" si="231"/>
        <v>6.8664098765432096</v>
      </c>
      <c r="K1508" s="316" t="s">
        <v>163</v>
      </c>
    </row>
    <row r="1509" spans="1:11">
      <c r="A1509" s="321">
        <v>55</v>
      </c>
      <c r="B1509" s="295">
        <f t="shared" si="232"/>
        <v>43</v>
      </c>
      <c r="C1509" s="321">
        <v>7.1</v>
      </c>
      <c r="D1509" s="321" t="s">
        <v>114</v>
      </c>
      <c r="E1509" s="321">
        <v>31</v>
      </c>
      <c r="F1509" s="316">
        <f t="shared" si="230"/>
        <v>1.1481481481481481</v>
      </c>
      <c r="G1509" s="321">
        <v>13</v>
      </c>
      <c r="H1509" s="321">
        <v>10.9</v>
      </c>
      <c r="I1509" s="315">
        <f t="shared" si="239"/>
        <v>772.26499999999999</v>
      </c>
      <c r="J1509" s="316">
        <f t="shared" si="231"/>
        <v>5.7204814814814817</v>
      </c>
      <c r="K1509" s="316" t="s">
        <v>152</v>
      </c>
    </row>
    <row r="1510" spans="1:11">
      <c r="A1510" s="321">
        <v>55</v>
      </c>
      <c r="B1510" s="295">
        <f t="shared" si="232"/>
        <v>43</v>
      </c>
      <c r="C1510" s="321">
        <v>7.2</v>
      </c>
      <c r="D1510" s="321" t="s">
        <v>111</v>
      </c>
      <c r="E1510" s="321"/>
      <c r="F1510" s="316" t="str">
        <f t="shared" si="230"/>
        <v/>
      </c>
      <c r="G1510" s="321"/>
      <c r="H1510" s="321"/>
      <c r="J1510" s="316" t="str">
        <f t="shared" si="231"/>
        <v/>
      </c>
    </row>
    <row r="1511" spans="1:11">
      <c r="A1511" s="321">
        <v>55</v>
      </c>
      <c r="B1511" s="295">
        <f t="shared" si="232"/>
        <v>43</v>
      </c>
      <c r="C1511" s="321">
        <v>7.3</v>
      </c>
      <c r="D1511" s="321" t="s">
        <v>113</v>
      </c>
      <c r="E1511" s="321">
        <v>29</v>
      </c>
      <c r="F1511" s="316">
        <f t="shared" si="230"/>
        <v>1.0740740740740742</v>
      </c>
      <c r="G1511" s="321">
        <v>3.9</v>
      </c>
      <c r="H1511" s="321">
        <v>3.8</v>
      </c>
      <c r="I1511" s="315">
        <f t="shared" ref="I1511" si="240">G1511*(H1511^2)*0.5</f>
        <v>28.157999999999998</v>
      </c>
      <c r="J1511" s="316">
        <f t="shared" si="231"/>
        <v>0.19706895103720501</v>
      </c>
    </row>
    <row r="1512" spans="1:11">
      <c r="A1512" s="321">
        <v>55</v>
      </c>
      <c r="B1512" s="295">
        <f t="shared" si="232"/>
        <v>43</v>
      </c>
      <c r="C1512" s="321">
        <v>7.4</v>
      </c>
      <c r="D1512" s="321" t="s">
        <v>115</v>
      </c>
      <c r="E1512" s="321"/>
      <c r="F1512" s="316" t="str">
        <f t="shared" si="230"/>
        <v/>
      </c>
      <c r="G1512" s="321"/>
      <c r="H1512" s="321"/>
      <c r="J1512" s="316" t="str">
        <f t="shared" si="231"/>
        <v/>
      </c>
    </row>
    <row r="1513" spans="1:11">
      <c r="A1513" s="321">
        <v>55</v>
      </c>
      <c r="B1513" s="295">
        <f t="shared" si="232"/>
        <v>43</v>
      </c>
      <c r="C1513" s="321">
        <v>7.5</v>
      </c>
      <c r="D1513" s="321" t="s">
        <v>111</v>
      </c>
      <c r="E1513" s="321"/>
      <c r="F1513" s="316" t="str">
        <f t="shared" si="230"/>
        <v/>
      </c>
      <c r="G1513" s="321"/>
      <c r="H1513" s="321"/>
      <c r="J1513" s="316" t="str">
        <f t="shared" si="231"/>
        <v/>
      </c>
    </row>
    <row r="1514" spans="1:11">
      <c r="A1514" s="321">
        <v>57</v>
      </c>
      <c r="B1514" s="295">
        <f t="shared" si="232"/>
        <v>45</v>
      </c>
      <c r="C1514" s="321">
        <v>1.1000000000000001</v>
      </c>
      <c r="D1514" s="321" t="s">
        <v>112</v>
      </c>
      <c r="E1514" s="321"/>
      <c r="F1514" s="316" t="str">
        <f t="shared" si="230"/>
        <v/>
      </c>
      <c r="G1514" s="321"/>
      <c r="H1514" s="321"/>
      <c r="J1514" s="316" t="str">
        <f t="shared" si="231"/>
        <v/>
      </c>
    </row>
    <row r="1515" spans="1:11">
      <c r="A1515" s="321">
        <v>57</v>
      </c>
      <c r="B1515" s="295">
        <f t="shared" si="232"/>
        <v>45</v>
      </c>
      <c r="C1515" s="321">
        <v>1.2</v>
      </c>
      <c r="D1515" s="321" t="s">
        <v>113</v>
      </c>
      <c r="E1515" s="321">
        <v>30</v>
      </c>
      <c r="F1515" s="316">
        <f t="shared" si="230"/>
        <v>1.1111111111111112</v>
      </c>
      <c r="G1515" s="321">
        <v>4.9000000000000004</v>
      </c>
      <c r="H1515" s="321">
        <v>4.8</v>
      </c>
      <c r="I1515" s="315">
        <f t="shared" ref="I1515" si="241">G1515*(H1515^2)*0.5</f>
        <v>56.448</v>
      </c>
      <c r="J1515" s="316">
        <f t="shared" si="231"/>
        <v>0.26982598117126311</v>
      </c>
    </row>
    <row r="1516" spans="1:11">
      <c r="A1516" s="321">
        <v>57</v>
      </c>
      <c r="B1516" s="295">
        <f t="shared" si="232"/>
        <v>45</v>
      </c>
      <c r="C1516" s="321">
        <v>1.3</v>
      </c>
      <c r="D1516" s="321" t="s">
        <v>115</v>
      </c>
      <c r="E1516" s="321"/>
      <c r="F1516" s="316" t="str">
        <f t="shared" si="230"/>
        <v/>
      </c>
      <c r="G1516" s="321"/>
      <c r="H1516" s="321"/>
      <c r="J1516" s="316" t="str">
        <f t="shared" si="231"/>
        <v/>
      </c>
    </row>
    <row r="1517" spans="1:11">
      <c r="A1517" s="321">
        <v>57</v>
      </c>
      <c r="B1517" s="295">
        <f t="shared" si="232"/>
        <v>45</v>
      </c>
      <c r="C1517" s="321">
        <v>1.4</v>
      </c>
      <c r="D1517" s="321" t="s">
        <v>115</v>
      </c>
      <c r="E1517" s="321"/>
      <c r="F1517" s="316" t="str">
        <f t="shared" si="230"/>
        <v/>
      </c>
      <c r="G1517" s="321"/>
      <c r="H1517" s="321"/>
      <c r="J1517" s="316" t="str">
        <f t="shared" si="231"/>
        <v/>
      </c>
    </row>
    <row r="1518" spans="1:11">
      <c r="A1518" s="321">
        <v>57</v>
      </c>
      <c r="B1518" s="295">
        <f t="shared" si="232"/>
        <v>45</v>
      </c>
      <c r="C1518" s="321">
        <v>1.5</v>
      </c>
      <c r="D1518" s="321" t="s">
        <v>112</v>
      </c>
      <c r="E1518" s="321">
        <v>28</v>
      </c>
      <c r="F1518" s="316">
        <f t="shared" si="230"/>
        <v>1</v>
      </c>
      <c r="G1518" s="321">
        <v>12.5</v>
      </c>
      <c r="H1518" s="321">
        <v>11.9</v>
      </c>
      <c r="I1518" s="315">
        <f t="shared" ref="I1518:I1519" si="242">G1518*(H1518^2)*0.5</f>
        <v>885.06250000000011</v>
      </c>
      <c r="J1518" s="316">
        <f t="shared" si="231"/>
        <v>6.35528564453125</v>
      </c>
    </row>
    <row r="1519" spans="1:11">
      <c r="A1519" s="321">
        <v>57</v>
      </c>
      <c r="B1519" s="295">
        <f t="shared" si="232"/>
        <v>45</v>
      </c>
      <c r="C1519" s="321">
        <v>2.1</v>
      </c>
      <c r="D1519" s="321" t="s">
        <v>114</v>
      </c>
      <c r="E1519" s="321">
        <v>31</v>
      </c>
      <c r="F1519" s="316">
        <f t="shared" si="230"/>
        <v>1.1923076923076923</v>
      </c>
      <c r="G1519" s="321">
        <v>13.5</v>
      </c>
      <c r="H1519" s="321">
        <v>12.2</v>
      </c>
      <c r="I1519" s="315">
        <f t="shared" si="242"/>
        <v>1004.6699999999998</v>
      </c>
      <c r="J1519" s="316">
        <f t="shared" si="231"/>
        <v>5.3422985810341919</v>
      </c>
    </row>
    <row r="1520" spans="1:11">
      <c r="A1520" s="321">
        <v>57</v>
      </c>
      <c r="B1520" s="295">
        <f t="shared" si="232"/>
        <v>45</v>
      </c>
      <c r="C1520" s="321">
        <v>2.2000000000000002</v>
      </c>
      <c r="D1520" s="321" t="s">
        <v>115</v>
      </c>
      <c r="E1520" s="321"/>
      <c r="F1520" s="316" t="str">
        <f t="shared" si="230"/>
        <v/>
      </c>
      <c r="G1520" s="321"/>
      <c r="H1520" s="321"/>
      <c r="J1520" s="316" t="str">
        <f t="shared" si="231"/>
        <v/>
      </c>
    </row>
    <row r="1521" spans="1:11">
      <c r="A1521" s="321">
        <v>57</v>
      </c>
      <c r="B1521" s="295">
        <f t="shared" si="232"/>
        <v>45</v>
      </c>
      <c r="C1521" s="321">
        <v>2.2999999999999998</v>
      </c>
      <c r="D1521" s="321" t="s">
        <v>112</v>
      </c>
      <c r="E1521" s="321"/>
      <c r="F1521" s="316" t="str">
        <f t="shared" si="230"/>
        <v/>
      </c>
      <c r="G1521" s="321"/>
      <c r="H1521" s="321"/>
      <c r="J1521" s="316" t="str">
        <f t="shared" si="231"/>
        <v/>
      </c>
    </row>
    <row r="1522" spans="1:11">
      <c r="A1522" s="321">
        <v>57</v>
      </c>
      <c r="B1522" s="295">
        <f t="shared" si="232"/>
        <v>45</v>
      </c>
      <c r="C1522" s="321">
        <v>2.4</v>
      </c>
      <c r="D1522" s="321" t="s">
        <v>114</v>
      </c>
      <c r="E1522" s="321">
        <v>28</v>
      </c>
      <c r="F1522" s="316">
        <f t="shared" si="230"/>
        <v>1.1200000000000001</v>
      </c>
      <c r="G1522" s="321">
        <v>12.4</v>
      </c>
      <c r="H1522" s="321">
        <v>9.9</v>
      </c>
      <c r="I1522" s="315">
        <f t="shared" ref="I1522:I1526" si="243">G1522*(H1522^2)*0.5</f>
        <v>607.66200000000003</v>
      </c>
      <c r="J1522" s="316">
        <f t="shared" si="231"/>
        <v>5.6526697674418607</v>
      </c>
    </row>
    <row r="1523" spans="1:11">
      <c r="A1523" s="321">
        <v>57</v>
      </c>
      <c r="B1523" s="295">
        <f t="shared" si="232"/>
        <v>45</v>
      </c>
      <c r="C1523" s="321">
        <v>2.5</v>
      </c>
      <c r="D1523" s="321" t="s">
        <v>113</v>
      </c>
      <c r="E1523" s="321">
        <v>31</v>
      </c>
      <c r="F1523" s="316">
        <f t="shared" si="230"/>
        <v>1.1481481481481481</v>
      </c>
      <c r="G1523" s="321">
        <v>6.1</v>
      </c>
      <c r="H1523" s="321">
        <v>5</v>
      </c>
      <c r="I1523" s="315">
        <f t="shared" si="243"/>
        <v>76.25</v>
      </c>
      <c r="J1523" s="316">
        <f t="shared" si="231"/>
        <v>0.44699909720838071</v>
      </c>
    </row>
    <row r="1524" spans="1:11">
      <c r="A1524" s="321">
        <v>57</v>
      </c>
      <c r="B1524" s="295">
        <f t="shared" si="232"/>
        <v>45</v>
      </c>
      <c r="C1524" s="321">
        <v>3.1</v>
      </c>
      <c r="D1524" s="321" t="s">
        <v>115</v>
      </c>
      <c r="E1524" s="321">
        <v>25</v>
      </c>
      <c r="F1524" s="316">
        <f t="shared" si="230"/>
        <v>1.0416666666666667</v>
      </c>
      <c r="G1524" s="321">
        <v>3.7</v>
      </c>
      <c r="H1524" s="321">
        <v>3.3</v>
      </c>
      <c r="I1524" s="315">
        <f t="shared" si="243"/>
        <v>20.1465</v>
      </c>
      <c r="J1524" s="316">
        <f t="shared" si="231"/>
        <v>0.11089307829916059</v>
      </c>
    </row>
    <row r="1525" spans="1:11">
      <c r="A1525" s="321">
        <v>57</v>
      </c>
      <c r="B1525" s="295">
        <f t="shared" si="232"/>
        <v>45</v>
      </c>
      <c r="C1525" s="321">
        <v>3.2</v>
      </c>
      <c r="D1525" s="321" t="s">
        <v>113</v>
      </c>
      <c r="E1525" s="321">
        <v>33</v>
      </c>
      <c r="F1525" s="316">
        <f t="shared" si="230"/>
        <v>1.1000000000000001</v>
      </c>
      <c r="G1525" s="321">
        <v>5.5</v>
      </c>
      <c r="H1525" s="321">
        <v>5.2</v>
      </c>
      <c r="I1525" s="315">
        <f t="shared" si="243"/>
        <v>74.360000000000014</v>
      </c>
      <c r="J1525" s="316">
        <f t="shared" si="231"/>
        <v>0.38750156334681296</v>
      </c>
      <c r="K1525" s="316" t="s">
        <v>158</v>
      </c>
    </row>
    <row r="1526" spans="1:11">
      <c r="A1526" s="321">
        <v>57</v>
      </c>
      <c r="B1526" s="295">
        <f t="shared" si="232"/>
        <v>45</v>
      </c>
      <c r="C1526" s="321">
        <v>3.3</v>
      </c>
      <c r="D1526" s="321" t="s">
        <v>114</v>
      </c>
      <c r="E1526" s="321">
        <v>28</v>
      </c>
      <c r="F1526" s="316">
        <f t="shared" si="230"/>
        <v>1.1200000000000001</v>
      </c>
      <c r="G1526" s="321">
        <v>13.2</v>
      </c>
      <c r="H1526" s="321">
        <v>12.3</v>
      </c>
      <c r="I1526" s="315">
        <f t="shared" si="243"/>
        <v>998.51400000000012</v>
      </c>
      <c r="J1526" s="316">
        <f t="shared" si="231"/>
        <v>4.8518658892128279</v>
      </c>
    </row>
    <row r="1527" spans="1:11">
      <c r="A1527" s="321">
        <v>57</v>
      </c>
      <c r="B1527" s="295">
        <f t="shared" si="232"/>
        <v>45</v>
      </c>
      <c r="C1527" s="321">
        <v>3.4</v>
      </c>
      <c r="D1527" s="321" t="s">
        <v>114</v>
      </c>
      <c r="E1527" s="321"/>
      <c r="F1527" s="316" t="str">
        <f t="shared" si="230"/>
        <v/>
      </c>
      <c r="G1527" s="321"/>
      <c r="H1527" s="321"/>
      <c r="J1527" s="316" t="str">
        <f t="shared" si="231"/>
        <v/>
      </c>
    </row>
    <row r="1528" spans="1:11">
      <c r="A1528" s="321">
        <v>57</v>
      </c>
      <c r="B1528" s="295">
        <f t="shared" si="232"/>
        <v>45</v>
      </c>
      <c r="C1528" s="321">
        <v>3.5</v>
      </c>
      <c r="D1528" s="321" t="s">
        <v>115</v>
      </c>
      <c r="E1528" s="321"/>
      <c r="F1528" s="316" t="str">
        <f t="shared" si="230"/>
        <v/>
      </c>
      <c r="G1528" s="321"/>
      <c r="H1528" s="321"/>
      <c r="J1528" s="316" t="str">
        <f t="shared" si="231"/>
        <v/>
      </c>
    </row>
    <row r="1529" spans="1:11">
      <c r="A1529" s="321">
        <v>57</v>
      </c>
      <c r="B1529" s="295">
        <f t="shared" si="232"/>
        <v>45</v>
      </c>
      <c r="C1529" s="321">
        <v>4.0999999999999996</v>
      </c>
      <c r="D1529" s="321" t="s">
        <v>111</v>
      </c>
      <c r="E1529" s="321"/>
      <c r="F1529" s="316" t="str">
        <f t="shared" si="230"/>
        <v/>
      </c>
      <c r="G1529" s="321"/>
      <c r="H1529" s="321"/>
      <c r="J1529" s="316" t="str">
        <f t="shared" si="231"/>
        <v/>
      </c>
    </row>
    <row r="1530" spans="1:11">
      <c r="A1530" s="321">
        <v>57</v>
      </c>
      <c r="B1530" s="295">
        <f t="shared" si="232"/>
        <v>45</v>
      </c>
      <c r="C1530" s="321">
        <v>4.2</v>
      </c>
      <c r="D1530" s="321" t="s">
        <v>112</v>
      </c>
      <c r="E1530" s="321"/>
      <c r="F1530" s="316" t="str">
        <f t="shared" si="230"/>
        <v/>
      </c>
      <c r="G1530" s="321"/>
      <c r="H1530" s="321"/>
      <c r="J1530" s="316" t="str">
        <f t="shared" si="231"/>
        <v/>
      </c>
    </row>
    <row r="1531" spans="1:11">
      <c r="A1531" s="321">
        <v>57</v>
      </c>
      <c r="B1531" s="295">
        <f t="shared" si="232"/>
        <v>45</v>
      </c>
      <c r="C1531" s="321">
        <v>4.3</v>
      </c>
      <c r="D1531" s="321" t="s">
        <v>113</v>
      </c>
      <c r="E1531" s="321">
        <v>30</v>
      </c>
      <c r="F1531" s="316">
        <f t="shared" si="230"/>
        <v>1.1538461538461537</v>
      </c>
      <c r="G1531" s="321">
        <v>9.3000000000000007</v>
      </c>
      <c r="H1531" s="321">
        <v>8.3000000000000007</v>
      </c>
      <c r="I1531" s="315">
        <f t="shared" ref="I1531" si="244">G1531*(H1531^2)*0.5</f>
        <v>320.33850000000007</v>
      </c>
      <c r="J1531" s="316">
        <f t="shared" si="231"/>
        <v>2.3002247529871327</v>
      </c>
    </row>
    <row r="1532" spans="1:11">
      <c r="A1532" s="321">
        <v>57</v>
      </c>
      <c r="B1532" s="295">
        <f t="shared" si="232"/>
        <v>45</v>
      </c>
      <c r="C1532" s="321">
        <v>4.4000000000000004</v>
      </c>
      <c r="D1532" s="321" t="s">
        <v>112</v>
      </c>
      <c r="E1532" s="321"/>
      <c r="F1532" s="316" t="str">
        <f t="shared" si="230"/>
        <v/>
      </c>
      <c r="G1532" s="321"/>
      <c r="H1532" s="321"/>
      <c r="J1532" s="316" t="str">
        <f t="shared" si="231"/>
        <v/>
      </c>
    </row>
    <row r="1533" spans="1:11">
      <c r="A1533" s="321">
        <v>57</v>
      </c>
      <c r="B1533" s="295">
        <f t="shared" si="232"/>
        <v>45</v>
      </c>
      <c r="C1533" s="321">
        <v>4.5</v>
      </c>
      <c r="D1533" s="321" t="s">
        <v>112</v>
      </c>
      <c r="E1533" s="321"/>
      <c r="F1533" s="316" t="str">
        <f t="shared" si="230"/>
        <v/>
      </c>
      <c r="G1533" s="321"/>
      <c r="H1533" s="321"/>
      <c r="J1533" s="316" t="str">
        <f t="shared" si="231"/>
        <v/>
      </c>
    </row>
    <row r="1534" spans="1:11">
      <c r="A1534" s="321">
        <v>57</v>
      </c>
      <c r="B1534" s="295">
        <f t="shared" si="232"/>
        <v>45</v>
      </c>
      <c r="C1534" s="321">
        <v>5.0999999999999996</v>
      </c>
      <c r="D1534" s="321" t="s">
        <v>113</v>
      </c>
      <c r="E1534" s="321">
        <v>26</v>
      </c>
      <c r="F1534" s="316">
        <f t="shared" si="230"/>
        <v>1.0833333333333333</v>
      </c>
      <c r="G1534" s="321">
        <v>7.2</v>
      </c>
      <c r="H1534" s="321">
        <v>5.6</v>
      </c>
      <c r="I1534" s="315">
        <f t="shared" ref="I1534" si="245">G1534*(H1534^2)*0.5</f>
        <v>112.89599999999999</v>
      </c>
      <c r="J1534" s="316">
        <f t="shared" si="231"/>
        <v>0.67971558102990481</v>
      </c>
    </row>
    <row r="1535" spans="1:11">
      <c r="A1535" s="321">
        <v>57</v>
      </c>
      <c r="B1535" s="295">
        <f t="shared" si="232"/>
        <v>45</v>
      </c>
      <c r="C1535" s="321">
        <v>5.2</v>
      </c>
      <c r="D1535" s="321" t="s">
        <v>114</v>
      </c>
      <c r="E1535" s="321"/>
      <c r="F1535" s="316" t="str">
        <f t="shared" si="230"/>
        <v/>
      </c>
      <c r="G1535" s="321"/>
      <c r="H1535" s="321"/>
      <c r="J1535" s="316" t="str">
        <f t="shared" si="231"/>
        <v/>
      </c>
    </row>
    <row r="1536" spans="1:11">
      <c r="A1536" s="321">
        <v>57</v>
      </c>
      <c r="B1536" s="295">
        <f t="shared" si="232"/>
        <v>45</v>
      </c>
      <c r="C1536" s="321">
        <v>5.3</v>
      </c>
      <c r="D1536" s="321" t="s">
        <v>112</v>
      </c>
      <c r="F1536" s="316" t="str">
        <f t="shared" si="230"/>
        <v/>
      </c>
      <c r="J1536" s="316" t="str">
        <f t="shared" si="231"/>
        <v/>
      </c>
    </row>
    <row r="1537" spans="1:11">
      <c r="A1537" s="321">
        <v>57</v>
      </c>
      <c r="B1537" s="295">
        <f t="shared" si="232"/>
        <v>45</v>
      </c>
      <c r="C1537" s="321">
        <v>5.4</v>
      </c>
      <c r="D1537" s="321" t="s">
        <v>113</v>
      </c>
      <c r="E1537" s="321">
        <v>22</v>
      </c>
      <c r="F1537" s="316">
        <f t="shared" si="230"/>
        <v>0.84615384615384615</v>
      </c>
      <c r="G1537" s="321">
        <v>5.3</v>
      </c>
      <c r="H1537" s="321">
        <v>5.0999999999999996</v>
      </c>
      <c r="I1537" s="315">
        <f t="shared" ref="I1537" si="246">G1537*(H1537^2)*0.5</f>
        <v>68.92649999999999</v>
      </c>
      <c r="J1537" s="316">
        <f t="shared" si="231"/>
        <v>0.38538719597428006</v>
      </c>
    </row>
    <row r="1538" spans="1:11">
      <c r="A1538" s="321">
        <v>57</v>
      </c>
      <c r="B1538" s="295">
        <f t="shared" si="232"/>
        <v>45</v>
      </c>
      <c r="C1538" s="321">
        <v>5.5</v>
      </c>
      <c r="D1538" s="321" t="s">
        <v>114</v>
      </c>
      <c r="E1538" s="321"/>
      <c r="F1538" s="316" t="str">
        <f t="shared" si="230"/>
        <v/>
      </c>
      <c r="G1538" s="321"/>
      <c r="H1538" s="321"/>
      <c r="J1538" s="316" t="str">
        <f t="shared" si="231"/>
        <v/>
      </c>
    </row>
    <row r="1539" spans="1:11">
      <c r="A1539" s="321">
        <v>57</v>
      </c>
      <c r="B1539" s="295">
        <f t="shared" si="232"/>
        <v>45</v>
      </c>
      <c r="C1539" s="321">
        <v>6.1</v>
      </c>
      <c r="D1539" s="321" t="s">
        <v>115</v>
      </c>
      <c r="E1539" s="321">
        <v>30</v>
      </c>
      <c r="F1539" s="316">
        <f t="shared" si="230"/>
        <v>1.2</v>
      </c>
      <c r="G1539" s="321">
        <v>12.3</v>
      </c>
      <c r="H1539" s="321">
        <v>8.1</v>
      </c>
      <c r="I1539" s="315">
        <f t="shared" ref="I1539" si="247">G1539*(H1539^2)*0.5</f>
        <v>403.50150000000002</v>
      </c>
      <c r="J1539" s="316">
        <f t="shared" si="231"/>
        <v>2.9991192210495017</v>
      </c>
    </row>
    <row r="1540" spans="1:11">
      <c r="A1540" s="321">
        <v>57</v>
      </c>
      <c r="B1540" s="295">
        <f t="shared" si="232"/>
        <v>45</v>
      </c>
      <c r="C1540" s="321">
        <v>6.2</v>
      </c>
      <c r="D1540" s="321" t="s">
        <v>115</v>
      </c>
      <c r="E1540" s="321"/>
      <c r="F1540" s="316" t="str">
        <f t="shared" si="230"/>
        <v/>
      </c>
      <c r="G1540" s="321"/>
      <c r="H1540" s="321"/>
      <c r="J1540" s="316" t="str">
        <f t="shared" si="231"/>
        <v/>
      </c>
    </row>
    <row r="1541" spans="1:11">
      <c r="A1541" s="321">
        <v>57</v>
      </c>
      <c r="B1541" s="295">
        <f t="shared" si="232"/>
        <v>45</v>
      </c>
      <c r="C1541" s="321">
        <v>6.3</v>
      </c>
      <c r="D1541" s="321" t="s">
        <v>114</v>
      </c>
      <c r="E1541" s="321"/>
      <c r="F1541" s="316" t="str">
        <f t="shared" si="230"/>
        <v/>
      </c>
      <c r="G1541" s="321"/>
      <c r="H1541" s="321"/>
      <c r="J1541" s="316" t="str">
        <f t="shared" si="231"/>
        <v/>
      </c>
    </row>
    <row r="1542" spans="1:11">
      <c r="A1542" s="321">
        <v>57</v>
      </c>
      <c r="B1542" s="295">
        <f t="shared" si="232"/>
        <v>45</v>
      </c>
      <c r="C1542" s="321">
        <v>6.4</v>
      </c>
      <c r="D1542" s="321" t="s">
        <v>112</v>
      </c>
      <c r="E1542" s="321"/>
      <c r="F1542" s="316" t="str">
        <f t="shared" si="230"/>
        <v/>
      </c>
      <c r="G1542" s="321"/>
      <c r="H1542" s="321"/>
      <c r="J1542" s="316" t="str">
        <f t="shared" si="231"/>
        <v/>
      </c>
    </row>
    <row r="1543" spans="1:11">
      <c r="A1543" s="321">
        <v>57</v>
      </c>
      <c r="B1543" s="295">
        <f t="shared" si="232"/>
        <v>45</v>
      </c>
      <c r="C1543" s="321">
        <v>6.5</v>
      </c>
      <c r="D1543" s="321" t="s">
        <v>113</v>
      </c>
      <c r="E1543" s="321">
        <v>30</v>
      </c>
      <c r="F1543" s="316">
        <f t="shared" si="230"/>
        <v>1.25</v>
      </c>
      <c r="G1543" s="321">
        <v>10.4</v>
      </c>
      <c r="H1543" s="321">
        <v>10.4</v>
      </c>
      <c r="I1543" s="315">
        <f t="shared" ref="I1543:I1544" si="248">G1543*(H1543^2)*0.5</f>
        <v>562.43200000000013</v>
      </c>
      <c r="J1543" s="316">
        <f t="shared" si="231"/>
        <v>11.109767901234571</v>
      </c>
      <c r="K1543" s="316" t="s">
        <v>163</v>
      </c>
    </row>
    <row r="1544" spans="1:11">
      <c r="A1544" s="321">
        <v>57</v>
      </c>
      <c r="B1544" s="295">
        <f t="shared" si="232"/>
        <v>45</v>
      </c>
      <c r="C1544" s="321">
        <v>7.1</v>
      </c>
      <c r="D1544" s="321" t="s">
        <v>114</v>
      </c>
      <c r="E1544" s="321">
        <v>31</v>
      </c>
      <c r="F1544" s="316">
        <f t="shared" si="230"/>
        <v>1.1481481481481481</v>
      </c>
      <c r="G1544" s="321">
        <v>11.7</v>
      </c>
      <c r="H1544" s="321">
        <v>10.5</v>
      </c>
      <c r="I1544" s="315">
        <f t="shared" si="248"/>
        <v>644.96249999999998</v>
      </c>
      <c r="J1544" s="316">
        <f t="shared" si="231"/>
        <v>4.7774999999999999</v>
      </c>
    </row>
    <row r="1545" spans="1:11">
      <c r="A1545" s="321">
        <v>57</v>
      </c>
      <c r="B1545" s="295">
        <f t="shared" si="232"/>
        <v>45</v>
      </c>
      <c r="C1545" s="321">
        <v>7.2</v>
      </c>
      <c r="D1545" s="321" t="s">
        <v>111</v>
      </c>
      <c r="E1545" s="321"/>
      <c r="F1545" s="316" t="str">
        <f t="shared" ref="F1545:F1608" si="249">IF(ISBLANK(E1545),"",E1545/SUMIFS(E:E,C:C,C1545,B:B,"0"))</f>
        <v/>
      </c>
      <c r="G1545" s="321"/>
      <c r="H1545" s="321"/>
      <c r="J1545" s="316" t="str">
        <f t="shared" ref="J1545:J1608" si="250">IF(ISBLANK(I1545),"",I1545/SUMIFS(I:I,C:C,C1545,B:B,"0"))</f>
        <v/>
      </c>
    </row>
    <row r="1546" spans="1:11">
      <c r="A1546" s="321">
        <v>57</v>
      </c>
      <c r="B1546" s="295">
        <f t="shared" ref="B1546:B1609" si="251">A1546-12</f>
        <v>45</v>
      </c>
      <c r="C1546" s="321">
        <v>7.3</v>
      </c>
      <c r="D1546" s="321" t="s">
        <v>113</v>
      </c>
      <c r="E1546" s="321">
        <v>29</v>
      </c>
      <c r="F1546" s="316">
        <f t="shared" si="249"/>
        <v>1.0740740740740742</v>
      </c>
      <c r="G1546" s="321">
        <v>4.4000000000000004</v>
      </c>
      <c r="H1546" s="321">
        <v>4.3</v>
      </c>
      <c r="I1546" s="315">
        <f t="shared" ref="I1546" si="252">G1546*(H1546^2)*0.5</f>
        <v>40.677999999999997</v>
      </c>
      <c r="J1546" s="316">
        <f t="shared" si="250"/>
        <v>0.28469247781417095</v>
      </c>
    </row>
    <row r="1547" spans="1:11">
      <c r="A1547" s="321">
        <v>57</v>
      </c>
      <c r="B1547" s="295">
        <f t="shared" si="251"/>
        <v>45</v>
      </c>
      <c r="C1547" s="321">
        <v>7.4</v>
      </c>
      <c r="D1547" s="321" t="s">
        <v>115</v>
      </c>
      <c r="E1547" s="321"/>
      <c r="F1547" s="316" t="str">
        <f t="shared" si="249"/>
        <v/>
      </c>
      <c r="G1547" s="321"/>
      <c r="H1547" s="321"/>
      <c r="J1547" s="316" t="str">
        <f t="shared" si="250"/>
        <v/>
      </c>
    </row>
    <row r="1548" spans="1:11">
      <c r="A1548" s="321">
        <v>57</v>
      </c>
      <c r="B1548" s="295">
        <f t="shared" si="251"/>
        <v>45</v>
      </c>
      <c r="C1548" s="321">
        <v>7.5</v>
      </c>
      <c r="D1548" s="321" t="s">
        <v>111</v>
      </c>
      <c r="E1548" s="321"/>
      <c r="F1548" s="316" t="str">
        <f t="shared" si="249"/>
        <v/>
      </c>
      <c r="G1548" s="321"/>
      <c r="H1548" s="321"/>
      <c r="J1548" s="316" t="str">
        <f t="shared" si="250"/>
        <v/>
      </c>
    </row>
    <row r="1549" spans="1:11">
      <c r="A1549" s="321">
        <v>59</v>
      </c>
      <c r="B1549" s="295">
        <f t="shared" si="251"/>
        <v>47</v>
      </c>
      <c r="C1549" s="321">
        <v>1.1000000000000001</v>
      </c>
      <c r="D1549" s="321" t="s">
        <v>112</v>
      </c>
      <c r="E1549" s="321"/>
      <c r="F1549" s="316" t="str">
        <f t="shared" si="249"/>
        <v/>
      </c>
      <c r="G1549" s="321"/>
      <c r="H1549" s="321"/>
      <c r="J1549" s="316" t="str">
        <f t="shared" si="250"/>
        <v/>
      </c>
    </row>
    <row r="1550" spans="1:11">
      <c r="A1550" s="321">
        <v>59</v>
      </c>
      <c r="B1550" s="295">
        <f t="shared" si="251"/>
        <v>47</v>
      </c>
      <c r="C1550" s="321">
        <v>1.2</v>
      </c>
      <c r="D1550" s="321" t="s">
        <v>113</v>
      </c>
      <c r="E1550" s="321">
        <v>31</v>
      </c>
      <c r="F1550" s="316">
        <f t="shared" si="249"/>
        <v>1.1481481481481481</v>
      </c>
      <c r="G1550" s="321">
        <v>4.5999999999999996</v>
      </c>
      <c r="H1550" s="321">
        <v>4.3</v>
      </c>
      <c r="I1550" s="315">
        <f t="shared" ref="I1550" si="253">G1550*(H1550^2)*0.5</f>
        <v>42.526999999999994</v>
      </c>
      <c r="J1550" s="316">
        <f t="shared" si="250"/>
        <v>0.20328248124415929</v>
      </c>
    </row>
    <row r="1551" spans="1:11">
      <c r="A1551" s="321">
        <v>59</v>
      </c>
      <c r="B1551" s="295">
        <f t="shared" si="251"/>
        <v>47</v>
      </c>
      <c r="C1551" s="321">
        <v>1.3</v>
      </c>
      <c r="D1551" s="321" t="s">
        <v>115</v>
      </c>
      <c r="E1551" s="321"/>
      <c r="F1551" s="316" t="str">
        <f t="shared" si="249"/>
        <v/>
      </c>
      <c r="G1551" s="321"/>
      <c r="H1551" s="321"/>
      <c r="J1551" s="316" t="str">
        <f t="shared" si="250"/>
        <v/>
      </c>
    </row>
    <row r="1552" spans="1:11">
      <c r="A1552" s="321">
        <v>59</v>
      </c>
      <c r="B1552" s="295">
        <f t="shared" si="251"/>
        <v>47</v>
      </c>
      <c r="C1552" s="321">
        <v>1.4</v>
      </c>
      <c r="D1552" s="321" t="s">
        <v>115</v>
      </c>
      <c r="E1552" s="321"/>
      <c r="F1552" s="316" t="str">
        <f t="shared" si="249"/>
        <v/>
      </c>
      <c r="G1552" s="321"/>
      <c r="H1552" s="321"/>
      <c r="J1552" s="316" t="str">
        <f t="shared" si="250"/>
        <v/>
      </c>
    </row>
    <row r="1553" spans="1:10">
      <c r="A1553" s="321">
        <v>59</v>
      </c>
      <c r="B1553" s="295">
        <f t="shared" si="251"/>
        <v>47</v>
      </c>
      <c r="C1553" s="321">
        <v>1.5</v>
      </c>
      <c r="D1553" s="321" t="s">
        <v>112</v>
      </c>
      <c r="E1553" s="321">
        <v>29</v>
      </c>
      <c r="F1553" s="316">
        <f t="shared" si="249"/>
        <v>1.0357142857142858</v>
      </c>
      <c r="G1553" s="321">
        <v>11.9</v>
      </c>
      <c r="H1553" s="321">
        <v>9.9</v>
      </c>
      <c r="I1553" s="315">
        <f t="shared" ref="I1553:I1554" si="254">G1553*(H1553^2)*0.5</f>
        <v>583.15950000000009</v>
      </c>
      <c r="J1553" s="316">
        <f t="shared" si="250"/>
        <v>4.18743896484375</v>
      </c>
    </row>
    <row r="1554" spans="1:10">
      <c r="A1554" s="321">
        <v>59</v>
      </c>
      <c r="B1554" s="295">
        <f t="shared" si="251"/>
        <v>47</v>
      </c>
      <c r="C1554" s="321">
        <v>2.1</v>
      </c>
      <c r="D1554" s="321" t="s">
        <v>114</v>
      </c>
      <c r="E1554" s="321">
        <v>32</v>
      </c>
      <c r="F1554" s="316">
        <f t="shared" si="249"/>
        <v>1.2307692307692308</v>
      </c>
      <c r="G1554" s="321">
        <v>12</v>
      </c>
      <c r="H1554" s="321">
        <v>11.6</v>
      </c>
      <c r="I1554" s="315">
        <f t="shared" si="254"/>
        <v>807.36</v>
      </c>
      <c r="J1554" s="316">
        <f t="shared" si="250"/>
        <v>4.2931093616647917</v>
      </c>
    </row>
    <row r="1555" spans="1:10">
      <c r="A1555" s="321">
        <v>59</v>
      </c>
      <c r="B1555" s="295">
        <f t="shared" si="251"/>
        <v>47</v>
      </c>
      <c r="C1555" s="321">
        <v>2.2000000000000002</v>
      </c>
      <c r="D1555" s="321" t="s">
        <v>115</v>
      </c>
      <c r="E1555" s="321"/>
      <c r="F1555" s="316" t="str">
        <f t="shared" si="249"/>
        <v/>
      </c>
      <c r="G1555" s="321"/>
      <c r="H1555" s="321"/>
      <c r="J1555" s="316" t="str">
        <f t="shared" si="250"/>
        <v/>
      </c>
    </row>
    <row r="1556" spans="1:10" s="316" customFormat="1">
      <c r="A1556" s="321">
        <v>59</v>
      </c>
      <c r="B1556" s="295">
        <f t="shared" si="251"/>
        <v>47</v>
      </c>
      <c r="C1556" s="321">
        <v>2.2999999999999998</v>
      </c>
      <c r="D1556" s="321" t="s">
        <v>112</v>
      </c>
      <c r="E1556" s="321"/>
      <c r="F1556" s="316" t="str">
        <f t="shared" si="249"/>
        <v/>
      </c>
      <c r="G1556" s="321"/>
      <c r="H1556" s="321"/>
      <c r="I1556" s="315"/>
      <c r="J1556" s="316" t="str">
        <f t="shared" si="250"/>
        <v/>
      </c>
    </row>
    <row r="1557" spans="1:10" s="316" customFormat="1">
      <c r="A1557" s="321">
        <v>59</v>
      </c>
      <c r="B1557" s="295">
        <f t="shared" si="251"/>
        <v>47</v>
      </c>
      <c r="C1557" s="321">
        <v>2.4</v>
      </c>
      <c r="D1557" s="321" t="s">
        <v>114</v>
      </c>
      <c r="E1557" s="321">
        <v>30</v>
      </c>
      <c r="F1557" s="316">
        <f t="shared" si="249"/>
        <v>1.2</v>
      </c>
      <c r="G1557" s="321">
        <v>10.4</v>
      </c>
      <c r="H1557" s="321">
        <v>9.1999999999999993</v>
      </c>
      <c r="I1557" s="315">
        <f t="shared" ref="I1557:I1561" si="255">G1557*(H1557^2)*0.5</f>
        <v>440.12799999999993</v>
      </c>
      <c r="J1557" s="316">
        <f t="shared" si="250"/>
        <v>4.0942139534883717</v>
      </c>
    </row>
    <row r="1558" spans="1:10" s="316" customFormat="1">
      <c r="A1558" s="321">
        <v>59</v>
      </c>
      <c r="B1558" s="295">
        <f t="shared" si="251"/>
        <v>47</v>
      </c>
      <c r="C1558" s="321">
        <v>2.5</v>
      </c>
      <c r="D1558" s="321" t="s">
        <v>113</v>
      </c>
      <c r="E1558" s="321">
        <v>33</v>
      </c>
      <c r="F1558" s="316">
        <f t="shared" si="249"/>
        <v>1.2222222222222223</v>
      </c>
      <c r="G1558" s="321">
        <v>4.5</v>
      </c>
      <c r="H1558" s="321">
        <v>3.4</v>
      </c>
      <c r="I1558" s="315">
        <f t="shared" si="255"/>
        <v>26.009999999999998</v>
      </c>
      <c r="J1558" s="316">
        <f t="shared" si="250"/>
        <v>0.15247798712642599</v>
      </c>
    </row>
    <row r="1559" spans="1:10" s="316" customFormat="1">
      <c r="A1559" s="321">
        <v>59</v>
      </c>
      <c r="B1559" s="295">
        <f t="shared" si="251"/>
        <v>47</v>
      </c>
      <c r="C1559" s="321">
        <v>3.1</v>
      </c>
      <c r="D1559" s="321" t="s">
        <v>115</v>
      </c>
      <c r="E1559" s="321">
        <v>27</v>
      </c>
      <c r="F1559" s="316">
        <f t="shared" si="249"/>
        <v>1.125</v>
      </c>
      <c r="G1559" s="321">
        <v>5</v>
      </c>
      <c r="H1559" s="321">
        <v>4.4000000000000004</v>
      </c>
      <c r="I1559" s="315">
        <f t="shared" si="255"/>
        <v>48.400000000000006</v>
      </c>
      <c r="J1559" s="316">
        <f t="shared" si="250"/>
        <v>0.26640979771570117</v>
      </c>
    </row>
    <row r="1560" spans="1:10" s="316" customFormat="1">
      <c r="A1560" s="321">
        <v>59</v>
      </c>
      <c r="B1560" s="295">
        <f t="shared" si="251"/>
        <v>47</v>
      </c>
      <c r="C1560" s="321">
        <v>3.2</v>
      </c>
      <c r="D1560" s="321" t="s">
        <v>113</v>
      </c>
      <c r="E1560" s="321">
        <v>35</v>
      </c>
      <c r="F1560" s="316">
        <f t="shared" si="249"/>
        <v>1.1666666666666667</v>
      </c>
      <c r="G1560" s="321">
        <v>6.6</v>
      </c>
      <c r="H1560" s="321">
        <v>4.9000000000000004</v>
      </c>
      <c r="I1560" s="315">
        <f t="shared" si="255"/>
        <v>79.233000000000018</v>
      </c>
      <c r="J1560" s="316">
        <f t="shared" si="250"/>
        <v>0.41289552674365293</v>
      </c>
    </row>
    <row r="1561" spans="1:10" s="316" customFormat="1">
      <c r="A1561" s="321">
        <v>59</v>
      </c>
      <c r="B1561" s="295">
        <f t="shared" si="251"/>
        <v>47</v>
      </c>
      <c r="C1561" s="321">
        <v>3.3</v>
      </c>
      <c r="D1561" s="321" t="s">
        <v>114</v>
      </c>
      <c r="E1561" s="321">
        <v>31</v>
      </c>
      <c r="F1561" s="316">
        <f t="shared" si="249"/>
        <v>1.24</v>
      </c>
      <c r="G1561" s="321">
        <v>12.7</v>
      </c>
      <c r="H1561" s="321">
        <v>12.1</v>
      </c>
      <c r="I1561" s="315">
        <f t="shared" si="255"/>
        <v>929.70349999999996</v>
      </c>
      <c r="J1561" s="316">
        <f t="shared" si="250"/>
        <v>4.5175097181729829</v>
      </c>
    </row>
    <row r="1562" spans="1:10" s="316" customFormat="1">
      <c r="A1562" s="321">
        <v>59</v>
      </c>
      <c r="B1562" s="295">
        <f t="shared" si="251"/>
        <v>47</v>
      </c>
      <c r="C1562" s="321">
        <v>3.4</v>
      </c>
      <c r="D1562" s="321" t="s">
        <v>114</v>
      </c>
      <c r="E1562" s="321"/>
      <c r="F1562" s="316" t="str">
        <f t="shared" si="249"/>
        <v/>
      </c>
      <c r="G1562" s="321"/>
      <c r="H1562" s="321"/>
      <c r="I1562" s="315"/>
      <c r="J1562" s="316" t="str">
        <f t="shared" si="250"/>
        <v/>
      </c>
    </row>
    <row r="1563" spans="1:10" s="316" customFormat="1">
      <c r="A1563" s="321">
        <v>59</v>
      </c>
      <c r="B1563" s="295">
        <f t="shared" si="251"/>
        <v>47</v>
      </c>
      <c r="C1563" s="321">
        <v>3.5</v>
      </c>
      <c r="D1563" s="321" t="s">
        <v>115</v>
      </c>
      <c r="E1563" s="321"/>
      <c r="F1563" s="316" t="str">
        <f t="shared" si="249"/>
        <v/>
      </c>
      <c r="G1563" s="321"/>
      <c r="H1563" s="321"/>
      <c r="I1563" s="315"/>
      <c r="J1563" s="316" t="str">
        <f t="shared" si="250"/>
        <v/>
      </c>
    </row>
    <row r="1564" spans="1:10" s="316" customFormat="1">
      <c r="A1564" s="321">
        <v>59</v>
      </c>
      <c r="B1564" s="295">
        <f t="shared" si="251"/>
        <v>47</v>
      </c>
      <c r="C1564" s="321">
        <v>4.0999999999999996</v>
      </c>
      <c r="D1564" s="321" t="s">
        <v>111</v>
      </c>
      <c r="E1564" s="321"/>
      <c r="F1564" s="316" t="str">
        <f t="shared" si="249"/>
        <v/>
      </c>
      <c r="G1564" s="321"/>
      <c r="H1564" s="321"/>
      <c r="I1564" s="315"/>
      <c r="J1564" s="316" t="str">
        <f t="shared" si="250"/>
        <v/>
      </c>
    </row>
    <row r="1565" spans="1:10" s="316" customFormat="1">
      <c r="A1565" s="321">
        <v>59</v>
      </c>
      <c r="B1565" s="295">
        <f t="shared" si="251"/>
        <v>47</v>
      </c>
      <c r="C1565" s="321">
        <v>4.2</v>
      </c>
      <c r="D1565" s="321" t="s">
        <v>112</v>
      </c>
      <c r="E1565" s="321"/>
      <c r="F1565" s="316" t="str">
        <f t="shared" si="249"/>
        <v/>
      </c>
      <c r="G1565" s="321"/>
      <c r="H1565" s="321"/>
      <c r="I1565" s="315"/>
      <c r="J1565" s="316" t="str">
        <f t="shared" si="250"/>
        <v/>
      </c>
    </row>
    <row r="1566" spans="1:10" s="316" customFormat="1">
      <c r="A1566" s="321">
        <v>59</v>
      </c>
      <c r="B1566" s="295">
        <f t="shared" si="251"/>
        <v>47</v>
      </c>
      <c r="C1566" s="321">
        <v>4.3</v>
      </c>
      <c r="D1566" s="321" t="s">
        <v>113</v>
      </c>
      <c r="E1566" s="321">
        <v>31</v>
      </c>
      <c r="F1566" s="316">
        <f t="shared" si="249"/>
        <v>1.1923076923076923</v>
      </c>
      <c r="G1566" s="321">
        <v>9.9</v>
      </c>
      <c r="H1566" s="321">
        <v>8.1</v>
      </c>
      <c r="I1566" s="315">
        <f t="shared" ref="I1566" si="256">G1566*(H1566^2)*0.5</f>
        <v>324.76949999999999</v>
      </c>
      <c r="J1566" s="316">
        <f t="shared" si="250"/>
        <v>2.3320420209099262</v>
      </c>
    </row>
    <row r="1567" spans="1:10" s="316" customFormat="1">
      <c r="A1567" s="321">
        <v>59</v>
      </c>
      <c r="B1567" s="295">
        <f t="shared" si="251"/>
        <v>47</v>
      </c>
      <c r="C1567" s="321">
        <v>4.4000000000000004</v>
      </c>
      <c r="D1567" s="321" t="s">
        <v>112</v>
      </c>
      <c r="E1567" s="321"/>
      <c r="F1567" s="316" t="str">
        <f t="shared" si="249"/>
        <v/>
      </c>
      <c r="G1567" s="321"/>
      <c r="H1567" s="321"/>
      <c r="I1567" s="315"/>
      <c r="J1567" s="316" t="str">
        <f t="shared" si="250"/>
        <v/>
      </c>
    </row>
    <row r="1568" spans="1:10" s="316" customFormat="1">
      <c r="A1568" s="321">
        <v>59</v>
      </c>
      <c r="B1568" s="295">
        <f t="shared" si="251"/>
        <v>47</v>
      </c>
      <c r="C1568" s="321">
        <v>4.5</v>
      </c>
      <c r="D1568" s="321" t="s">
        <v>112</v>
      </c>
      <c r="E1568" s="321"/>
      <c r="F1568" s="316" t="str">
        <f t="shared" si="249"/>
        <v/>
      </c>
      <c r="G1568" s="321"/>
      <c r="H1568" s="321"/>
      <c r="I1568" s="315"/>
      <c r="J1568" s="316" t="str">
        <f t="shared" si="250"/>
        <v/>
      </c>
    </row>
    <row r="1569" spans="1:11" s="316" customFormat="1">
      <c r="A1569" s="321">
        <v>59</v>
      </c>
      <c r="B1569" s="295">
        <f t="shared" si="251"/>
        <v>47</v>
      </c>
      <c r="C1569" s="321">
        <v>5.0999999999999996</v>
      </c>
      <c r="D1569" s="321" t="s">
        <v>113</v>
      </c>
      <c r="E1569" s="321">
        <v>27</v>
      </c>
      <c r="F1569" s="316">
        <f t="shared" si="249"/>
        <v>1.125</v>
      </c>
      <c r="G1569" s="321">
        <v>6.5</v>
      </c>
      <c r="H1569" s="321">
        <v>6.4</v>
      </c>
      <c r="I1569" s="315">
        <f t="shared" ref="I1569" si="257">G1569*(H1569^2)*0.5</f>
        <v>133.12000000000003</v>
      </c>
      <c r="J1569" s="316">
        <f t="shared" si="250"/>
        <v>0.80147868964977464</v>
      </c>
    </row>
    <row r="1570" spans="1:11" s="316" customFormat="1">
      <c r="A1570" s="321">
        <v>59</v>
      </c>
      <c r="B1570" s="295">
        <f t="shared" si="251"/>
        <v>47</v>
      </c>
      <c r="C1570" s="321">
        <v>5.2</v>
      </c>
      <c r="D1570" s="321" t="s">
        <v>114</v>
      </c>
      <c r="E1570" s="321"/>
      <c r="F1570" s="316" t="str">
        <f t="shared" si="249"/>
        <v/>
      </c>
      <c r="G1570" s="321"/>
      <c r="H1570" s="321"/>
      <c r="I1570" s="315"/>
      <c r="J1570" s="316" t="str">
        <f t="shared" si="250"/>
        <v/>
      </c>
    </row>
    <row r="1571" spans="1:11" s="316" customFormat="1">
      <c r="A1571" s="321">
        <v>59</v>
      </c>
      <c r="B1571" s="295">
        <f t="shared" si="251"/>
        <v>47</v>
      </c>
      <c r="C1571" s="321">
        <v>5.3</v>
      </c>
      <c r="D1571" s="321" t="s">
        <v>112</v>
      </c>
      <c r="E1571" s="295"/>
      <c r="F1571" s="316" t="str">
        <f t="shared" si="249"/>
        <v/>
      </c>
      <c r="G1571" s="295"/>
      <c r="H1571" s="295"/>
      <c r="I1571" s="315"/>
      <c r="J1571" s="316" t="str">
        <f t="shared" si="250"/>
        <v/>
      </c>
    </row>
    <row r="1572" spans="1:11">
      <c r="A1572" s="321">
        <v>59</v>
      </c>
      <c r="B1572" s="295">
        <f t="shared" si="251"/>
        <v>47</v>
      </c>
      <c r="C1572" s="321">
        <v>5.4</v>
      </c>
      <c r="D1572" s="321" t="s">
        <v>113</v>
      </c>
      <c r="E1572" s="321">
        <v>25</v>
      </c>
      <c r="F1572" s="316">
        <f t="shared" si="249"/>
        <v>0.96153846153846156</v>
      </c>
      <c r="G1572" s="321">
        <v>5.4</v>
      </c>
      <c r="H1572" s="321">
        <v>4.7</v>
      </c>
      <c r="I1572" s="315">
        <f t="shared" ref="I1572" si="258">G1572*(H1572^2)*0.5</f>
        <v>59.643000000000015</v>
      </c>
      <c r="J1572" s="316">
        <f t="shared" si="250"/>
        <v>0.33348057031031603</v>
      </c>
    </row>
    <row r="1573" spans="1:11">
      <c r="A1573" s="321">
        <v>59</v>
      </c>
      <c r="B1573" s="295">
        <f t="shared" si="251"/>
        <v>47</v>
      </c>
      <c r="C1573" s="321">
        <v>5.5</v>
      </c>
      <c r="D1573" s="321" t="s">
        <v>114</v>
      </c>
      <c r="E1573" s="321"/>
      <c r="F1573" s="316" t="str">
        <f t="shared" si="249"/>
        <v/>
      </c>
      <c r="G1573" s="321"/>
      <c r="H1573" s="321"/>
      <c r="J1573" s="316" t="str">
        <f t="shared" si="250"/>
        <v/>
      </c>
    </row>
    <row r="1574" spans="1:11">
      <c r="A1574" s="321">
        <v>59</v>
      </c>
      <c r="B1574" s="295">
        <f t="shared" si="251"/>
        <v>47</v>
      </c>
      <c r="C1574" s="321">
        <v>6.1</v>
      </c>
      <c r="D1574" s="321" t="s">
        <v>115</v>
      </c>
      <c r="E1574" s="321">
        <v>31</v>
      </c>
      <c r="F1574" s="316">
        <f t="shared" si="249"/>
        <v>1.24</v>
      </c>
      <c r="G1574" s="321">
        <v>13.8</v>
      </c>
      <c r="H1574" s="321">
        <v>8.1999999999999993</v>
      </c>
      <c r="I1574" s="315">
        <f t="shared" ref="I1574" si="259">G1574*(H1574^2)*0.5</f>
        <v>463.95599999999996</v>
      </c>
      <c r="J1574" s="316">
        <f t="shared" si="250"/>
        <v>3.4484614241117875</v>
      </c>
    </row>
    <row r="1575" spans="1:11">
      <c r="A1575" s="321">
        <v>59</v>
      </c>
      <c r="B1575" s="295">
        <f t="shared" si="251"/>
        <v>47</v>
      </c>
      <c r="C1575" s="321">
        <v>6.2</v>
      </c>
      <c r="D1575" s="321" t="s">
        <v>115</v>
      </c>
      <c r="E1575" s="321"/>
      <c r="F1575" s="316" t="str">
        <f t="shared" si="249"/>
        <v/>
      </c>
      <c r="G1575" s="321"/>
      <c r="H1575" s="321"/>
      <c r="J1575" s="316" t="str">
        <f t="shared" si="250"/>
        <v/>
      </c>
    </row>
    <row r="1576" spans="1:11">
      <c r="A1576" s="321">
        <v>59</v>
      </c>
      <c r="B1576" s="295">
        <f t="shared" si="251"/>
        <v>47</v>
      </c>
      <c r="C1576" s="321">
        <v>6.3</v>
      </c>
      <c r="D1576" s="321" t="s">
        <v>114</v>
      </c>
      <c r="E1576" s="321"/>
      <c r="F1576" s="316" t="str">
        <f t="shared" si="249"/>
        <v/>
      </c>
      <c r="G1576" s="321"/>
      <c r="H1576" s="321"/>
      <c r="J1576" s="316" t="str">
        <f t="shared" si="250"/>
        <v/>
      </c>
    </row>
    <row r="1577" spans="1:11">
      <c r="A1577" s="321">
        <v>59</v>
      </c>
      <c r="B1577" s="295">
        <f t="shared" si="251"/>
        <v>47</v>
      </c>
      <c r="C1577" s="321">
        <v>6.4</v>
      </c>
      <c r="D1577" s="321" t="s">
        <v>112</v>
      </c>
      <c r="E1577" s="321"/>
      <c r="F1577" s="316" t="str">
        <f t="shared" si="249"/>
        <v/>
      </c>
      <c r="G1577" s="321"/>
      <c r="H1577" s="321"/>
      <c r="J1577" s="316" t="str">
        <f t="shared" si="250"/>
        <v/>
      </c>
    </row>
    <row r="1578" spans="1:11">
      <c r="A1578" s="321">
        <v>59</v>
      </c>
      <c r="B1578" s="295">
        <f t="shared" si="251"/>
        <v>47</v>
      </c>
      <c r="C1578" s="321">
        <v>6.5</v>
      </c>
      <c r="D1578" s="321" t="s">
        <v>113</v>
      </c>
      <c r="E1578" s="321">
        <v>30</v>
      </c>
      <c r="F1578" s="316">
        <f t="shared" si="249"/>
        <v>1.25</v>
      </c>
      <c r="G1578" s="321">
        <v>10.1</v>
      </c>
      <c r="H1578" s="321">
        <v>9.3000000000000007</v>
      </c>
      <c r="I1578" s="315">
        <f t="shared" ref="I1578:I1579" si="260">G1578*(H1578^2)*0.5</f>
        <v>436.77450000000005</v>
      </c>
      <c r="J1578" s="316">
        <f t="shared" si="250"/>
        <v>8.6276444444444458</v>
      </c>
      <c r="K1578" s="316" t="s">
        <v>163</v>
      </c>
    </row>
    <row r="1579" spans="1:11">
      <c r="A1579" s="321">
        <v>59</v>
      </c>
      <c r="B1579" s="295">
        <f t="shared" si="251"/>
        <v>47</v>
      </c>
      <c r="C1579" s="321">
        <v>7.1</v>
      </c>
      <c r="D1579" s="321" t="s">
        <v>114</v>
      </c>
      <c r="E1579" s="321">
        <v>31</v>
      </c>
      <c r="F1579" s="316">
        <f t="shared" si="249"/>
        <v>1.1481481481481481</v>
      </c>
      <c r="G1579" s="321">
        <v>12.7</v>
      </c>
      <c r="H1579" s="321">
        <v>10.6</v>
      </c>
      <c r="I1579" s="315">
        <f t="shared" si="260"/>
        <v>713.48599999999999</v>
      </c>
      <c r="J1579" s="316">
        <f t="shared" si="250"/>
        <v>5.2850814814814813</v>
      </c>
    </row>
    <row r="1580" spans="1:11">
      <c r="A1580" s="321">
        <v>59</v>
      </c>
      <c r="B1580" s="295">
        <f t="shared" si="251"/>
        <v>47</v>
      </c>
      <c r="C1580" s="321">
        <v>7.2</v>
      </c>
      <c r="D1580" s="321" t="s">
        <v>111</v>
      </c>
      <c r="E1580" s="321"/>
      <c r="F1580" s="316" t="str">
        <f t="shared" si="249"/>
        <v/>
      </c>
      <c r="G1580" s="321"/>
      <c r="H1580" s="321"/>
      <c r="J1580" s="316" t="str">
        <f t="shared" si="250"/>
        <v/>
      </c>
    </row>
    <row r="1581" spans="1:11">
      <c r="A1581" s="321">
        <v>59</v>
      </c>
      <c r="B1581" s="295">
        <f t="shared" si="251"/>
        <v>47</v>
      </c>
      <c r="C1581" s="321">
        <v>7.3</v>
      </c>
      <c r="D1581" s="321" t="s">
        <v>113</v>
      </c>
      <c r="E1581" s="321">
        <v>30</v>
      </c>
      <c r="F1581" s="316">
        <f t="shared" si="249"/>
        <v>1.1111111111111112</v>
      </c>
      <c r="G1581" s="321">
        <v>4.3</v>
      </c>
      <c r="H1581" s="321">
        <v>5.9</v>
      </c>
      <c r="I1581" s="315">
        <f t="shared" ref="I1581" si="261">G1581*(H1581^2)*0.5</f>
        <v>74.841499999999996</v>
      </c>
      <c r="J1581" s="316">
        <f t="shared" si="250"/>
        <v>0.52379202709890538</v>
      </c>
    </row>
    <row r="1582" spans="1:11">
      <c r="A1582" s="321">
        <v>59</v>
      </c>
      <c r="B1582" s="295">
        <f t="shared" si="251"/>
        <v>47</v>
      </c>
      <c r="C1582" s="321">
        <v>7.4</v>
      </c>
      <c r="D1582" s="321" t="s">
        <v>115</v>
      </c>
      <c r="E1582" s="321"/>
      <c r="F1582" s="316" t="str">
        <f t="shared" si="249"/>
        <v/>
      </c>
      <c r="G1582" s="321"/>
      <c r="H1582" s="321"/>
      <c r="J1582" s="316" t="str">
        <f t="shared" si="250"/>
        <v/>
      </c>
    </row>
    <row r="1583" spans="1:11">
      <c r="A1583" s="321">
        <v>59</v>
      </c>
      <c r="B1583" s="295">
        <f t="shared" si="251"/>
        <v>47</v>
      </c>
      <c r="C1583" s="321">
        <v>7.5</v>
      </c>
      <c r="D1583" s="321" t="s">
        <v>111</v>
      </c>
      <c r="E1583" s="321"/>
      <c r="F1583" s="316" t="str">
        <f t="shared" si="249"/>
        <v/>
      </c>
      <c r="G1583" s="321"/>
      <c r="H1583" s="321"/>
      <c r="J1583" s="316" t="str">
        <f t="shared" si="250"/>
        <v/>
      </c>
    </row>
    <row r="1584" spans="1:11">
      <c r="A1584" s="321">
        <v>61</v>
      </c>
      <c r="B1584" s="295">
        <f t="shared" si="251"/>
        <v>49</v>
      </c>
      <c r="C1584" s="321">
        <v>1.1000000000000001</v>
      </c>
      <c r="D1584" s="321" t="s">
        <v>112</v>
      </c>
      <c r="E1584" s="321"/>
      <c r="F1584" s="316" t="str">
        <f t="shared" si="249"/>
        <v/>
      </c>
      <c r="G1584" s="321"/>
      <c r="H1584" s="321"/>
      <c r="J1584" s="316" t="str">
        <f t="shared" si="250"/>
        <v/>
      </c>
    </row>
    <row r="1585" spans="1:10">
      <c r="A1585" s="321">
        <v>61</v>
      </c>
      <c r="B1585" s="295">
        <f t="shared" si="251"/>
        <v>49</v>
      </c>
      <c r="C1585" s="321">
        <v>1.2</v>
      </c>
      <c r="D1585" s="321" t="s">
        <v>113</v>
      </c>
      <c r="E1585" s="321">
        <v>30</v>
      </c>
      <c r="F1585" s="316">
        <f t="shared" si="249"/>
        <v>1.1111111111111112</v>
      </c>
      <c r="G1585" s="321">
        <v>5.5</v>
      </c>
      <c r="H1585" s="321">
        <v>4.4000000000000004</v>
      </c>
      <c r="I1585" s="315">
        <f t="shared" ref="I1585" si="262">G1585*(H1585^2)*0.5</f>
        <v>53.240000000000009</v>
      </c>
      <c r="J1585" s="316">
        <f t="shared" si="250"/>
        <v>0.25449148309166048</v>
      </c>
    </row>
    <row r="1586" spans="1:10">
      <c r="A1586" s="321">
        <v>61</v>
      </c>
      <c r="B1586" s="295">
        <f t="shared" si="251"/>
        <v>49</v>
      </c>
      <c r="C1586" s="321">
        <v>1.3</v>
      </c>
      <c r="D1586" s="321" t="s">
        <v>115</v>
      </c>
      <c r="E1586" s="321"/>
      <c r="F1586" s="316" t="str">
        <f t="shared" si="249"/>
        <v/>
      </c>
      <c r="G1586" s="321"/>
      <c r="H1586" s="321"/>
      <c r="J1586" s="316" t="str">
        <f t="shared" si="250"/>
        <v/>
      </c>
    </row>
    <row r="1587" spans="1:10">
      <c r="A1587" s="321">
        <v>61</v>
      </c>
      <c r="B1587" s="295">
        <f t="shared" si="251"/>
        <v>49</v>
      </c>
      <c r="C1587" s="321">
        <v>1.4</v>
      </c>
      <c r="D1587" s="321" t="s">
        <v>115</v>
      </c>
      <c r="E1587" s="321"/>
      <c r="F1587" s="316" t="str">
        <f t="shared" si="249"/>
        <v/>
      </c>
      <c r="G1587" s="321"/>
      <c r="H1587" s="321"/>
      <c r="J1587" s="316" t="str">
        <f t="shared" si="250"/>
        <v/>
      </c>
    </row>
    <row r="1588" spans="1:10" s="316" customFormat="1">
      <c r="A1588" s="321">
        <v>61</v>
      </c>
      <c r="B1588" s="295">
        <f t="shared" si="251"/>
        <v>49</v>
      </c>
      <c r="C1588" s="321">
        <v>1.5</v>
      </c>
      <c r="D1588" s="321" t="s">
        <v>112</v>
      </c>
      <c r="E1588" s="321">
        <v>29</v>
      </c>
      <c r="F1588" s="316">
        <f t="shared" si="249"/>
        <v>1.0357142857142858</v>
      </c>
      <c r="G1588" s="321">
        <v>12.6</v>
      </c>
      <c r="H1588" s="321">
        <v>11.3</v>
      </c>
      <c r="I1588" s="315">
        <f t="shared" ref="I1588:I1589" si="263">G1588*(H1588^2)*0.5</f>
        <v>804.447</v>
      </c>
      <c r="J1588" s="316">
        <f t="shared" si="250"/>
        <v>5.7764174517463234</v>
      </c>
    </row>
    <row r="1589" spans="1:10" s="316" customFormat="1">
      <c r="A1589" s="321">
        <v>61</v>
      </c>
      <c r="B1589" s="295">
        <f t="shared" si="251"/>
        <v>49</v>
      </c>
      <c r="C1589" s="321">
        <v>2.1</v>
      </c>
      <c r="D1589" s="321" t="s">
        <v>114</v>
      </c>
      <c r="E1589" s="321">
        <v>32</v>
      </c>
      <c r="F1589" s="316">
        <f t="shared" si="249"/>
        <v>1.2307692307692308</v>
      </c>
      <c r="G1589" s="321">
        <v>12.8</v>
      </c>
      <c r="H1589" s="321">
        <v>11.5</v>
      </c>
      <c r="I1589" s="315">
        <f t="shared" si="263"/>
        <v>846.40000000000009</v>
      </c>
      <c r="J1589" s="316">
        <f t="shared" si="250"/>
        <v>4.5007032348804499</v>
      </c>
    </row>
    <row r="1590" spans="1:10" s="316" customFormat="1">
      <c r="A1590" s="321">
        <v>61</v>
      </c>
      <c r="B1590" s="295">
        <f t="shared" si="251"/>
        <v>49</v>
      </c>
      <c r="C1590" s="321">
        <v>2.2000000000000002</v>
      </c>
      <c r="D1590" s="321" t="s">
        <v>115</v>
      </c>
      <c r="E1590" s="321"/>
      <c r="F1590" s="316" t="str">
        <f t="shared" si="249"/>
        <v/>
      </c>
      <c r="G1590" s="321"/>
      <c r="H1590" s="321"/>
      <c r="I1590" s="315"/>
      <c r="J1590" s="316" t="str">
        <f t="shared" si="250"/>
        <v/>
      </c>
    </row>
    <row r="1591" spans="1:10" s="316" customFormat="1">
      <c r="A1591" s="321">
        <v>61</v>
      </c>
      <c r="B1591" s="295">
        <f t="shared" si="251"/>
        <v>49</v>
      </c>
      <c r="C1591" s="321">
        <v>2.2999999999999998</v>
      </c>
      <c r="D1591" s="321" t="s">
        <v>112</v>
      </c>
      <c r="E1591" s="321"/>
      <c r="F1591" s="316" t="str">
        <f t="shared" si="249"/>
        <v/>
      </c>
      <c r="G1591" s="321"/>
      <c r="H1591" s="321"/>
      <c r="I1591" s="315"/>
      <c r="J1591" s="316" t="str">
        <f t="shared" si="250"/>
        <v/>
      </c>
    </row>
    <row r="1592" spans="1:10" s="316" customFormat="1">
      <c r="A1592" s="321">
        <v>61</v>
      </c>
      <c r="B1592" s="295">
        <f t="shared" si="251"/>
        <v>49</v>
      </c>
      <c r="C1592" s="321">
        <v>2.4</v>
      </c>
      <c r="D1592" s="321" t="s">
        <v>114</v>
      </c>
      <c r="E1592" s="321">
        <v>29</v>
      </c>
      <c r="F1592" s="316">
        <f t="shared" si="249"/>
        <v>1.1599999999999999</v>
      </c>
      <c r="G1592" s="321">
        <v>10.3</v>
      </c>
      <c r="H1592" s="321">
        <v>10.1</v>
      </c>
      <c r="I1592" s="315">
        <f t="shared" ref="I1592:I1596" si="264">G1592*(H1592^2)*0.5</f>
        <v>525.35149999999999</v>
      </c>
      <c r="J1592" s="316">
        <f t="shared" si="250"/>
        <v>4.8869906976744186</v>
      </c>
    </row>
    <row r="1593" spans="1:10" s="316" customFormat="1">
      <c r="A1593" s="321">
        <v>61</v>
      </c>
      <c r="B1593" s="295">
        <f t="shared" si="251"/>
        <v>49</v>
      </c>
      <c r="C1593" s="321">
        <v>2.5</v>
      </c>
      <c r="D1593" s="321" t="s">
        <v>113</v>
      </c>
      <c r="E1593" s="321">
        <v>31</v>
      </c>
      <c r="F1593" s="316">
        <f t="shared" si="249"/>
        <v>1.1481481481481481</v>
      </c>
      <c r="G1593" s="321">
        <v>6.1</v>
      </c>
      <c r="H1593" s="321">
        <v>4.5</v>
      </c>
      <c r="I1593" s="315">
        <f t="shared" si="264"/>
        <v>61.762499999999996</v>
      </c>
      <c r="J1593" s="316">
        <f t="shared" si="250"/>
        <v>0.36206926873878836</v>
      </c>
    </row>
    <row r="1594" spans="1:10" s="316" customFormat="1">
      <c r="A1594" s="321">
        <v>61</v>
      </c>
      <c r="B1594" s="295">
        <f t="shared" si="251"/>
        <v>49</v>
      </c>
      <c r="C1594" s="321">
        <v>3.1</v>
      </c>
      <c r="D1594" s="321" t="s">
        <v>115</v>
      </c>
      <c r="E1594" s="321">
        <v>28</v>
      </c>
      <c r="F1594" s="316">
        <f t="shared" si="249"/>
        <v>1.1666666666666667</v>
      </c>
      <c r="G1594" s="321">
        <v>5.2</v>
      </c>
      <c r="H1594" s="321">
        <v>4.9000000000000004</v>
      </c>
      <c r="I1594" s="315">
        <f t="shared" si="264"/>
        <v>62.426000000000016</v>
      </c>
      <c r="J1594" s="316">
        <f t="shared" si="250"/>
        <v>0.34361359570661909</v>
      </c>
    </row>
    <row r="1595" spans="1:10" s="316" customFormat="1">
      <c r="A1595" s="321">
        <v>61</v>
      </c>
      <c r="B1595" s="295">
        <f t="shared" si="251"/>
        <v>49</v>
      </c>
      <c r="C1595" s="321">
        <v>3.2</v>
      </c>
      <c r="D1595" s="321" t="s">
        <v>113</v>
      </c>
      <c r="E1595" s="321">
        <v>34</v>
      </c>
      <c r="F1595" s="316">
        <f t="shared" si="249"/>
        <v>1.1333333333333333</v>
      </c>
      <c r="G1595" s="321">
        <v>5.5</v>
      </c>
      <c r="H1595" s="321">
        <v>5.0999999999999996</v>
      </c>
      <c r="I1595" s="315">
        <f t="shared" si="264"/>
        <v>71.527499999999989</v>
      </c>
      <c r="J1595" s="316">
        <f t="shared" si="250"/>
        <v>0.37274096385542166</v>
      </c>
    </row>
    <row r="1596" spans="1:10" s="316" customFormat="1">
      <c r="A1596" s="321">
        <v>61</v>
      </c>
      <c r="B1596" s="295">
        <f t="shared" si="251"/>
        <v>49</v>
      </c>
      <c r="C1596" s="321">
        <v>3.3</v>
      </c>
      <c r="D1596" s="321" t="s">
        <v>114</v>
      </c>
      <c r="E1596" s="321">
        <v>29</v>
      </c>
      <c r="F1596" s="316">
        <f t="shared" si="249"/>
        <v>1.1599999999999999</v>
      </c>
      <c r="G1596" s="321">
        <v>13.7</v>
      </c>
      <c r="H1596" s="321">
        <v>12.1</v>
      </c>
      <c r="I1596" s="315">
        <f t="shared" si="264"/>
        <v>1002.9084999999999</v>
      </c>
      <c r="J1596" s="316">
        <f t="shared" si="250"/>
        <v>4.8732191448007764</v>
      </c>
    </row>
    <row r="1597" spans="1:10" s="316" customFormat="1">
      <c r="A1597" s="321">
        <v>61</v>
      </c>
      <c r="B1597" s="295">
        <f t="shared" si="251"/>
        <v>49</v>
      </c>
      <c r="C1597" s="321">
        <v>3.4</v>
      </c>
      <c r="D1597" s="321" t="s">
        <v>114</v>
      </c>
      <c r="E1597" s="321"/>
      <c r="F1597" s="316" t="str">
        <f t="shared" si="249"/>
        <v/>
      </c>
      <c r="G1597" s="321"/>
      <c r="H1597" s="321"/>
      <c r="I1597" s="315"/>
      <c r="J1597" s="316" t="str">
        <f t="shared" si="250"/>
        <v/>
      </c>
    </row>
    <row r="1598" spans="1:10" s="316" customFormat="1">
      <c r="A1598" s="321">
        <v>61</v>
      </c>
      <c r="B1598" s="295">
        <f t="shared" si="251"/>
        <v>49</v>
      </c>
      <c r="C1598" s="321">
        <v>3.5</v>
      </c>
      <c r="D1598" s="321" t="s">
        <v>115</v>
      </c>
      <c r="E1598" s="321"/>
      <c r="F1598" s="316" t="str">
        <f t="shared" si="249"/>
        <v/>
      </c>
      <c r="G1598" s="321"/>
      <c r="H1598" s="321"/>
      <c r="I1598" s="315"/>
      <c r="J1598" s="316" t="str">
        <f t="shared" si="250"/>
        <v/>
      </c>
    </row>
    <row r="1599" spans="1:10" s="316" customFormat="1">
      <c r="A1599" s="321">
        <v>61</v>
      </c>
      <c r="B1599" s="295">
        <f t="shared" si="251"/>
        <v>49</v>
      </c>
      <c r="C1599" s="321">
        <v>4.0999999999999996</v>
      </c>
      <c r="D1599" s="321" t="s">
        <v>111</v>
      </c>
      <c r="E1599" s="321"/>
      <c r="F1599" s="316" t="str">
        <f t="shared" si="249"/>
        <v/>
      </c>
      <c r="G1599" s="321"/>
      <c r="H1599" s="321"/>
      <c r="I1599" s="315"/>
      <c r="J1599" s="316" t="str">
        <f t="shared" si="250"/>
        <v/>
      </c>
    </row>
    <row r="1600" spans="1:10" s="316" customFormat="1">
      <c r="A1600" s="321">
        <v>61</v>
      </c>
      <c r="B1600" s="295">
        <f t="shared" si="251"/>
        <v>49</v>
      </c>
      <c r="C1600" s="321">
        <v>4.2</v>
      </c>
      <c r="D1600" s="321" t="s">
        <v>112</v>
      </c>
      <c r="E1600" s="321"/>
      <c r="F1600" s="316" t="str">
        <f t="shared" si="249"/>
        <v/>
      </c>
      <c r="G1600" s="321"/>
      <c r="H1600" s="321"/>
      <c r="I1600" s="315"/>
      <c r="J1600" s="316" t="str">
        <f t="shared" si="250"/>
        <v/>
      </c>
    </row>
    <row r="1601" spans="1:11" s="316" customFormat="1">
      <c r="A1601" s="321">
        <v>61</v>
      </c>
      <c r="B1601" s="295">
        <f t="shared" si="251"/>
        <v>49</v>
      </c>
      <c r="C1601" s="321">
        <v>4.3</v>
      </c>
      <c r="D1601" s="321" t="s">
        <v>113</v>
      </c>
      <c r="E1601" s="321">
        <v>30</v>
      </c>
      <c r="F1601" s="316">
        <f t="shared" si="249"/>
        <v>1.1538461538461537</v>
      </c>
      <c r="G1601" s="321">
        <v>9.1999999999999993</v>
      </c>
      <c r="H1601" s="321">
        <v>8.9</v>
      </c>
      <c r="I1601" s="315">
        <f t="shared" ref="I1601" si="265">G1601*(H1601^2)*0.5</f>
        <v>364.36599999999999</v>
      </c>
      <c r="J1601" s="316">
        <f t="shared" si="250"/>
        <v>2.6163689108455879</v>
      </c>
    </row>
    <row r="1602" spans="1:11" s="316" customFormat="1">
      <c r="A1602" s="321">
        <v>61</v>
      </c>
      <c r="B1602" s="295">
        <f t="shared" si="251"/>
        <v>49</v>
      </c>
      <c r="C1602" s="321">
        <v>4.4000000000000004</v>
      </c>
      <c r="D1602" s="321" t="s">
        <v>112</v>
      </c>
      <c r="E1602" s="321"/>
      <c r="F1602" s="316" t="str">
        <f t="shared" si="249"/>
        <v/>
      </c>
      <c r="G1602" s="321"/>
      <c r="H1602" s="321"/>
      <c r="I1602" s="315"/>
      <c r="J1602" s="316" t="str">
        <f t="shared" si="250"/>
        <v/>
      </c>
    </row>
    <row r="1603" spans="1:11" s="316" customFormat="1">
      <c r="A1603" s="321">
        <v>61</v>
      </c>
      <c r="B1603" s="295">
        <f t="shared" si="251"/>
        <v>49</v>
      </c>
      <c r="C1603" s="321">
        <v>4.5</v>
      </c>
      <c r="D1603" s="321" t="s">
        <v>112</v>
      </c>
      <c r="E1603" s="321"/>
      <c r="F1603" s="316" t="str">
        <f t="shared" si="249"/>
        <v/>
      </c>
      <c r="G1603" s="321"/>
      <c r="H1603" s="321"/>
      <c r="I1603" s="315"/>
      <c r="J1603" s="316" t="str">
        <f t="shared" si="250"/>
        <v/>
      </c>
    </row>
    <row r="1604" spans="1:11">
      <c r="A1604" s="321">
        <v>61</v>
      </c>
      <c r="B1604" s="295">
        <f t="shared" si="251"/>
        <v>49</v>
      </c>
      <c r="C1604" s="321">
        <v>5.0999999999999996</v>
      </c>
      <c r="D1604" s="321" t="s">
        <v>113</v>
      </c>
      <c r="E1604" s="321">
        <v>25</v>
      </c>
      <c r="F1604" s="316">
        <f t="shared" si="249"/>
        <v>1.0416666666666667</v>
      </c>
      <c r="G1604" s="321">
        <v>6.7</v>
      </c>
      <c r="H1604" s="321">
        <v>6.4</v>
      </c>
      <c r="I1604" s="315">
        <f t="shared" ref="I1604" si="266">G1604*(H1604^2)*0.5</f>
        <v>137.21600000000004</v>
      </c>
      <c r="J1604" s="316">
        <f t="shared" si="250"/>
        <v>0.82613957240822922</v>
      </c>
    </row>
    <row r="1605" spans="1:11">
      <c r="A1605" s="321">
        <v>61</v>
      </c>
      <c r="B1605" s="295">
        <f t="shared" si="251"/>
        <v>49</v>
      </c>
      <c r="C1605" s="321">
        <v>5.2</v>
      </c>
      <c r="D1605" s="321" t="s">
        <v>114</v>
      </c>
      <c r="E1605" s="321"/>
      <c r="F1605" s="316" t="str">
        <f t="shared" si="249"/>
        <v/>
      </c>
      <c r="G1605" s="321"/>
      <c r="H1605" s="321"/>
      <c r="J1605" s="316" t="str">
        <f t="shared" si="250"/>
        <v/>
      </c>
    </row>
    <row r="1606" spans="1:11">
      <c r="A1606" s="321">
        <v>61</v>
      </c>
      <c r="B1606" s="295">
        <f t="shared" si="251"/>
        <v>49</v>
      </c>
      <c r="C1606" s="321">
        <v>5.3</v>
      </c>
      <c r="D1606" s="321" t="s">
        <v>112</v>
      </c>
      <c r="F1606" s="316" t="str">
        <f t="shared" si="249"/>
        <v/>
      </c>
      <c r="J1606" s="316" t="str">
        <f t="shared" si="250"/>
        <v/>
      </c>
    </row>
    <row r="1607" spans="1:11">
      <c r="A1607" s="321">
        <v>61</v>
      </c>
      <c r="B1607" s="295">
        <f t="shared" si="251"/>
        <v>49</v>
      </c>
      <c r="C1607" s="321">
        <v>5.4</v>
      </c>
      <c r="D1607" s="321" t="s">
        <v>113</v>
      </c>
      <c r="E1607" s="321">
        <v>25</v>
      </c>
      <c r="F1607" s="316">
        <f t="shared" si="249"/>
        <v>0.96153846153846156</v>
      </c>
      <c r="G1607" s="321">
        <v>6.4</v>
      </c>
      <c r="H1607" s="321">
        <v>5.7</v>
      </c>
      <c r="I1607" s="315">
        <f t="shared" ref="I1607" si="267">G1607*(H1607^2)*0.5</f>
        <v>103.96800000000002</v>
      </c>
      <c r="J1607" s="316">
        <f t="shared" si="250"/>
        <v>0.58131395023762944</v>
      </c>
    </row>
    <row r="1608" spans="1:11">
      <c r="A1608" s="321">
        <v>61</v>
      </c>
      <c r="B1608" s="295">
        <f t="shared" si="251"/>
        <v>49</v>
      </c>
      <c r="C1608" s="321">
        <v>5.5</v>
      </c>
      <c r="D1608" s="321" t="s">
        <v>114</v>
      </c>
      <c r="E1608" s="321"/>
      <c r="F1608" s="316" t="str">
        <f t="shared" si="249"/>
        <v/>
      </c>
      <c r="G1608" s="321"/>
      <c r="H1608" s="321"/>
      <c r="J1608" s="316" t="str">
        <f t="shared" si="250"/>
        <v/>
      </c>
    </row>
    <row r="1609" spans="1:11">
      <c r="A1609" s="321">
        <v>61</v>
      </c>
      <c r="B1609" s="295">
        <f t="shared" si="251"/>
        <v>49</v>
      </c>
      <c r="C1609" s="321">
        <v>6.1</v>
      </c>
      <c r="D1609" s="321" t="s">
        <v>115</v>
      </c>
      <c r="E1609" s="321">
        <v>31</v>
      </c>
      <c r="F1609" s="316">
        <f t="shared" ref="F1609:F1672" si="268">IF(ISBLANK(E1609),"",E1609/SUMIFS(E:E,C:C,C1609,B:B,"0"))</f>
        <v>1.24</v>
      </c>
      <c r="G1609" s="321">
        <v>14</v>
      </c>
      <c r="H1609" s="321">
        <v>9.3000000000000007</v>
      </c>
      <c r="I1609" s="315">
        <f t="shared" ref="I1609" si="269">G1609*(H1609^2)*0.5</f>
        <v>605.43000000000006</v>
      </c>
      <c r="J1609" s="316">
        <f t="shared" ref="J1609:J1672" si="270">IF(ISBLANK(I1609),"",I1609/SUMIFS(I:I,C:C,C1609,B:B,"0"))</f>
        <v>4.5</v>
      </c>
    </row>
    <row r="1610" spans="1:11">
      <c r="A1610" s="321">
        <v>61</v>
      </c>
      <c r="B1610" s="295">
        <f t="shared" ref="B1610:B1673" si="271">A1610-12</f>
        <v>49</v>
      </c>
      <c r="C1610" s="321">
        <v>6.2</v>
      </c>
      <c r="D1610" s="321" t="s">
        <v>115</v>
      </c>
      <c r="E1610" s="321"/>
      <c r="F1610" s="316" t="str">
        <f t="shared" si="268"/>
        <v/>
      </c>
      <c r="G1610" s="321"/>
      <c r="H1610" s="321"/>
      <c r="J1610" s="316" t="str">
        <f t="shared" si="270"/>
        <v/>
      </c>
    </row>
    <row r="1611" spans="1:11">
      <c r="A1611" s="321">
        <v>61</v>
      </c>
      <c r="B1611" s="295">
        <f t="shared" si="271"/>
        <v>49</v>
      </c>
      <c r="C1611" s="321">
        <v>6.3</v>
      </c>
      <c r="D1611" s="321" t="s">
        <v>114</v>
      </c>
      <c r="E1611" s="321"/>
      <c r="F1611" s="316" t="str">
        <f t="shared" si="268"/>
        <v/>
      </c>
      <c r="G1611" s="321"/>
      <c r="H1611" s="321"/>
      <c r="J1611" s="316" t="str">
        <f t="shared" si="270"/>
        <v/>
      </c>
    </row>
    <row r="1612" spans="1:11">
      <c r="A1612" s="321">
        <v>61</v>
      </c>
      <c r="B1612" s="295">
        <f t="shared" si="271"/>
        <v>49</v>
      </c>
      <c r="C1612" s="321">
        <v>6.4</v>
      </c>
      <c r="D1612" s="321" t="s">
        <v>112</v>
      </c>
      <c r="E1612" s="321"/>
      <c r="F1612" s="316" t="str">
        <f t="shared" si="268"/>
        <v/>
      </c>
      <c r="G1612" s="321"/>
      <c r="H1612" s="321"/>
      <c r="J1612" s="316" t="str">
        <f t="shared" si="270"/>
        <v/>
      </c>
    </row>
    <row r="1613" spans="1:11">
      <c r="A1613" s="321">
        <v>61</v>
      </c>
      <c r="B1613" s="295">
        <f t="shared" si="271"/>
        <v>49</v>
      </c>
      <c r="C1613" s="321">
        <v>6.5</v>
      </c>
      <c r="D1613" s="321" t="s">
        <v>113</v>
      </c>
      <c r="E1613" s="321">
        <v>27</v>
      </c>
      <c r="F1613" s="316">
        <f t="shared" si="268"/>
        <v>1.125</v>
      </c>
      <c r="G1613" s="321">
        <v>12.7</v>
      </c>
      <c r="H1613" s="321">
        <v>11.5</v>
      </c>
      <c r="I1613" s="315">
        <f t="shared" ref="I1613:I1614" si="272">G1613*(H1613^2)*0.5</f>
        <v>839.78749999999991</v>
      </c>
      <c r="J1613" s="316">
        <f t="shared" si="270"/>
        <v>16.588395061728392</v>
      </c>
      <c r="K1613" s="316" t="s">
        <v>163</v>
      </c>
    </row>
    <row r="1614" spans="1:11">
      <c r="A1614" s="321">
        <v>61</v>
      </c>
      <c r="B1614" s="295">
        <f t="shared" si="271"/>
        <v>49</v>
      </c>
      <c r="C1614" s="321">
        <v>7.1</v>
      </c>
      <c r="D1614" s="321" t="s">
        <v>114</v>
      </c>
      <c r="E1614" s="321">
        <v>31</v>
      </c>
      <c r="F1614" s="316">
        <f t="shared" si="268"/>
        <v>1.1481481481481481</v>
      </c>
      <c r="G1614" s="321">
        <v>12.9</v>
      </c>
      <c r="H1614" s="321">
        <v>11.8</v>
      </c>
      <c r="I1614" s="315">
        <f t="shared" si="272"/>
        <v>898.09800000000007</v>
      </c>
      <c r="J1614" s="316">
        <f t="shared" si="270"/>
        <v>6.6525777777777781</v>
      </c>
      <c r="K1614" s="316" t="s">
        <v>152</v>
      </c>
    </row>
    <row r="1615" spans="1:11">
      <c r="A1615" s="321">
        <v>61</v>
      </c>
      <c r="B1615" s="295">
        <f t="shared" si="271"/>
        <v>49</v>
      </c>
      <c r="C1615" s="321">
        <v>7.2</v>
      </c>
      <c r="D1615" s="321" t="s">
        <v>111</v>
      </c>
      <c r="E1615" s="321"/>
      <c r="F1615" s="316" t="str">
        <f t="shared" si="268"/>
        <v/>
      </c>
      <c r="G1615" s="321"/>
      <c r="H1615" s="321"/>
      <c r="J1615" s="316" t="str">
        <f t="shared" si="270"/>
        <v/>
      </c>
    </row>
    <row r="1616" spans="1:11">
      <c r="A1616" s="321">
        <v>61</v>
      </c>
      <c r="B1616" s="295">
        <f t="shared" si="271"/>
        <v>49</v>
      </c>
      <c r="C1616" s="321">
        <v>7.3</v>
      </c>
      <c r="D1616" s="321" t="s">
        <v>113</v>
      </c>
      <c r="E1616" s="321">
        <v>29</v>
      </c>
      <c r="F1616" s="316">
        <f t="shared" si="268"/>
        <v>1.0740740740740742</v>
      </c>
      <c r="G1616" s="321">
        <v>4.3</v>
      </c>
      <c r="H1616" s="321">
        <v>4.3</v>
      </c>
      <c r="I1616" s="315">
        <f t="shared" ref="I1616" si="273">G1616*(H1616^2)*0.5</f>
        <v>39.753499999999995</v>
      </c>
      <c r="J1616" s="316">
        <f t="shared" si="270"/>
        <v>0.27822219422748523</v>
      </c>
    </row>
    <row r="1617" spans="1:10">
      <c r="A1617" s="321">
        <v>61</v>
      </c>
      <c r="B1617" s="295">
        <f t="shared" si="271"/>
        <v>49</v>
      </c>
      <c r="C1617" s="321">
        <v>7.4</v>
      </c>
      <c r="D1617" s="321" t="s">
        <v>115</v>
      </c>
      <c r="E1617" s="321"/>
      <c r="F1617" s="316" t="str">
        <f t="shared" si="268"/>
        <v/>
      </c>
      <c r="G1617" s="321"/>
      <c r="H1617" s="321"/>
      <c r="J1617" s="316" t="str">
        <f t="shared" si="270"/>
        <v/>
      </c>
    </row>
    <row r="1618" spans="1:10">
      <c r="A1618" s="321">
        <v>61</v>
      </c>
      <c r="B1618" s="295">
        <f t="shared" si="271"/>
        <v>49</v>
      </c>
      <c r="C1618" s="321">
        <v>7.5</v>
      </c>
      <c r="D1618" s="321" t="s">
        <v>111</v>
      </c>
      <c r="E1618" s="321"/>
      <c r="F1618" s="316" t="str">
        <f t="shared" si="268"/>
        <v/>
      </c>
      <c r="G1618" s="321"/>
      <c r="H1618" s="321"/>
      <c r="J1618" s="316" t="str">
        <f t="shared" si="270"/>
        <v/>
      </c>
    </row>
    <row r="1619" spans="1:10">
      <c r="A1619" s="321">
        <v>63</v>
      </c>
      <c r="B1619" s="295">
        <f t="shared" si="271"/>
        <v>51</v>
      </c>
      <c r="C1619" s="321">
        <v>1.1000000000000001</v>
      </c>
      <c r="D1619" s="321" t="s">
        <v>112</v>
      </c>
      <c r="E1619" s="321"/>
      <c r="F1619" s="316" t="str">
        <f t="shared" si="268"/>
        <v/>
      </c>
      <c r="G1619" s="321"/>
      <c r="H1619" s="321"/>
      <c r="J1619" s="316" t="str">
        <f t="shared" si="270"/>
        <v/>
      </c>
    </row>
    <row r="1620" spans="1:10" s="316" customFormat="1">
      <c r="A1620" s="321">
        <v>63</v>
      </c>
      <c r="B1620" s="295">
        <f t="shared" si="271"/>
        <v>51</v>
      </c>
      <c r="C1620" s="321">
        <v>1.2</v>
      </c>
      <c r="D1620" s="321" t="s">
        <v>113</v>
      </c>
      <c r="E1620" s="321">
        <v>30</v>
      </c>
      <c r="F1620" s="316">
        <f t="shared" si="268"/>
        <v>1.1111111111111112</v>
      </c>
      <c r="G1620" s="321">
        <v>4.2</v>
      </c>
      <c r="H1620" s="321">
        <v>3.8</v>
      </c>
      <c r="I1620" s="315">
        <f t="shared" ref="I1620" si="274">G1620*(H1620^2)*0.5</f>
        <v>30.324000000000002</v>
      </c>
      <c r="J1620" s="316">
        <f t="shared" si="270"/>
        <v>0.14495115952801485</v>
      </c>
    </row>
    <row r="1621" spans="1:10" s="316" customFormat="1">
      <c r="A1621" s="321">
        <v>63</v>
      </c>
      <c r="B1621" s="295">
        <f t="shared" si="271"/>
        <v>51</v>
      </c>
      <c r="C1621" s="321">
        <v>1.3</v>
      </c>
      <c r="D1621" s="321" t="s">
        <v>115</v>
      </c>
      <c r="E1621" s="321"/>
      <c r="F1621" s="316" t="str">
        <f t="shared" si="268"/>
        <v/>
      </c>
      <c r="G1621" s="321"/>
      <c r="H1621" s="321"/>
      <c r="I1621" s="315"/>
      <c r="J1621" s="316" t="str">
        <f t="shared" si="270"/>
        <v/>
      </c>
    </row>
    <row r="1622" spans="1:10" s="316" customFormat="1">
      <c r="A1622" s="321">
        <v>63</v>
      </c>
      <c r="B1622" s="295">
        <f t="shared" si="271"/>
        <v>51</v>
      </c>
      <c r="C1622" s="321">
        <v>1.4</v>
      </c>
      <c r="D1622" s="321" t="s">
        <v>115</v>
      </c>
      <c r="E1622" s="321"/>
      <c r="F1622" s="316" t="str">
        <f t="shared" si="268"/>
        <v/>
      </c>
      <c r="G1622" s="321"/>
      <c r="H1622" s="321"/>
      <c r="I1622" s="315"/>
      <c r="J1622" s="316" t="str">
        <f t="shared" si="270"/>
        <v/>
      </c>
    </row>
    <row r="1623" spans="1:10" s="316" customFormat="1">
      <c r="A1623" s="321">
        <v>63</v>
      </c>
      <c r="B1623" s="295">
        <f t="shared" si="271"/>
        <v>51</v>
      </c>
      <c r="C1623" s="321">
        <v>1.5</v>
      </c>
      <c r="D1623" s="321" t="s">
        <v>112</v>
      </c>
      <c r="E1623" s="321">
        <v>29</v>
      </c>
      <c r="F1623" s="316">
        <f t="shared" si="268"/>
        <v>1.0357142857142858</v>
      </c>
      <c r="G1623" s="321">
        <v>13.1</v>
      </c>
      <c r="H1623" s="321">
        <v>12.3</v>
      </c>
      <c r="I1623" s="315">
        <f t="shared" ref="I1623:I1624" si="275">G1623*(H1623^2)*0.5</f>
        <v>990.94950000000006</v>
      </c>
      <c r="J1623" s="316">
        <f t="shared" si="270"/>
        <v>7.1156185374540444</v>
      </c>
    </row>
    <row r="1624" spans="1:10" s="316" customFormat="1">
      <c r="A1624" s="321">
        <v>63</v>
      </c>
      <c r="B1624" s="295">
        <f t="shared" si="271"/>
        <v>51</v>
      </c>
      <c r="C1624" s="321">
        <v>2.1</v>
      </c>
      <c r="D1624" s="321" t="s">
        <v>114</v>
      </c>
      <c r="E1624" s="321">
        <v>31</v>
      </c>
      <c r="F1624" s="316">
        <f t="shared" si="268"/>
        <v>1.1923076923076923</v>
      </c>
      <c r="G1624" s="321">
        <v>12.8</v>
      </c>
      <c r="H1624" s="321">
        <v>12</v>
      </c>
      <c r="I1624" s="315">
        <f t="shared" si="275"/>
        <v>921.6</v>
      </c>
      <c r="J1624" s="316">
        <f t="shared" si="270"/>
        <v>4.9005766791892977</v>
      </c>
    </row>
    <row r="1625" spans="1:10" s="316" customFormat="1">
      <c r="A1625" s="321">
        <v>63</v>
      </c>
      <c r="B1625" s="295">
        <f t="shared" si="271"/>
        <v>51</v>
      </c>
      <c r="C1625" s="321">
        <v>2.2000000000000002</v>
      </c>
      <c r="D1625" s="321" t="s">
        <v>115</v>
      </c>
      <c r="E1625" s="321"/>
      <c r="F1625" s="316" t="str">
        <f t="shared" si="268"/>
        <v/>
      </c>
      <c r="G1625" s="321"/>
      <c r="H1625" s="321"/>
      <c r="I1625" s="315"/>
      <c r="J1625" s="316" t="str">
        <f t="shared" si="270"/>
        <v/>
      </c>
    </row>
    <row r="1626" spans="1:10" s="316" customFormat="1">
      <c r="A1626" s="321">
        <v>63</v>
      </c>
      <c r="B1626" s="295">
        <f t="shared" si="271"/>
        <v>51</v>
      </c>
      <c r="C1626" s="321">
        <v>2.2999999999999998</v>
      </c>
      <c r="D1626" s="321" t="s">
        <v>112</v>
      </c>
      <c r="E1626" s="321"/>
      <c r="F1626" s="316" t="str">
        <f t="shared" si="268"/>
        <v/>
      </c>
      <c r="G1626" s="321"/>
      <c r="H1626" s="321"/>
      <c r="I1626" s="315"/>
      <c r="J1626" s="316" t="str">
        <f t="shared" si="270"/>
        <v/>
      </c>
    </row>
    <row r="1627" spans="1:10" s="316" customFormat="1">
      <c r="A1627" s="321">
        <v>63</v>
      </c>
      <c r="B1627" s="295">
        <f t="shared" si="271"/>
        <v>51</v>
      </c>
      <c r="C1627" s="321">
        <v>2.4</v>
      </c>
      <c r="D1627" s="321" t="s">
        <v>114</v>
      </c>
      <c r="E1627" s="321">
        <v>29</v>
      </c>
      <c r="F1627" s="316">
        <f t="shared" si="268"/>
        <v>1.1599999999999999</v>
      </c>
      <c r="G1627" s="321">
        <v>10.7</v>
      </c>
      <c r="H1627" s="321">
        <v>10.4</v>
      </c>
      <c r="I1627" s="315">
        <f t="shared" ref="I1627:I1631" si="276">G1627*(H1627^2)*0.5</f>
        <v>578.65600000000006</v>
      </c>
      <c r="J1627" s="316">
        <f t="shared" si="270"/>
        <v>5.3828465116279078</v>
      </c>
    </row>
    <row r="1628" spans="1:10" s="316" customFormat="1">
      <c r="A1628" s="321">
        <v>63</v>
      </c>
      <c r="B1628" s="295">
        <f t="shared" si="271"/>
        <v>51</v>
      </c>
      <c r="C1628" s="321">
        <v>2.5</v>
      </c>
      <c r="D1628" s="321" t="s">
        <v>113</v>
      </c>
      <c r="E1628" s="321">
        <v>32</v>
      </c>
      <c r="F1628" s="316">
        <f t="shared" si="268"/>
        <v>1.1851851851851851</v>
      </c>
      <c r="G1628" s="321">
        <v>7.1</v>
      </c>
      <c r="H1628" s="321">
        <v>5.8</v>
      </c>
      <c r="I1628" s="315">
        <f t="shared" si="276"/>
        <v>119.422</v>
      </c>
      <c r="J1628" s="316">
        <f t="shared" si="270"/>
        <v>0.70008558933533438</v>
      </c>
    </row>
    <row r="1629" spans="1:10" s="316" customFormat="1">
      <c r="A1629" s="321">
        <v>63</v>
      </c>
      <c r="B1629" s="295">
        <f t="shared" si="271"/>
        <v>51</v>
      </c>
      <c r="C1629" s="321">
        <v>3.1</v>
      </c>
      <c r="D1629" s="321" t="s">
        <v>115</v>
      </c>
      <c r="E1629" s="321">
        <v>28</v>
      </c>
      <c r="F1629" s="316">
        <f t="shared" si="268"/>
        <v>1.1666666666666667</v>
      </c>
      <c r="G1629" s="321">
        <v>5.7</v>
      </c>
      <c r="H1629" s="321">
        <v>5.5</v>
      </c>
      <c r="I1629" s="315">
        <f t="shared" si="276"/>
        <v>86.212500000000006</v>
      </c>
      <c r="J1629" s="316">
        <f t="shared" si="270"/>
        <v>0.4745424521810927</v>
      </c>
    </row>
    <row r="1630" spans="1:10" s="316" customFormat="1">
      <c r="A1630" s="321">
        <v>63</v>
      </c>
      <c r="B1630" s="295">
        <f t="shared" si="271"/>
        <v>51</v>
      </c>
      <c r="C1630" s="321">
        <v>3.2</v>
      </c>
      <c r="D1630" s="321" t="s">
        <v>113</v>
      </c>
      <c r="E1630" s="321">
        <v>34</v>
      </c>
      <c r="F1630" s="316">
        <f t="shared" si="268"/>
        <v>1.1333333333333333</v>
      </c>
      <c r="G1630" s="321">
        <v>4.8</v>
      </c>
      <c r="H1630" s="321">
        <v>4.5999999999999996</v>
      </c>
      <c r="I1630" s="315">
        <f t="shared" si="276"/>
        <v>50.783999999999992</v>
      </c>
      <c r="J1630" s="316">
        <f t="shared" si="270"/>
        <v>0.26464334848042687</v>
      </c>
    </row>
    <row r="1631" spans="1:10" s="316" customFormat="1">
      <c r="A1631" s="321">
        <v>63</v>
      </c>
      <c r="B1631" s="295">
        <f t="shared" si="271"/>
        <v>51</v>
      </c>
      <c r="C1631" s="321">
        <v>3.3</v>
      </c>
      <c r="D1631" s="321" t="s">
        <v>114</v>
      </c>
      <c r="E1631" s="321">
        <v>30</v>
      </c>
      <c r="F1631" s="316">
        <f t="shared" si="268"/>
        <v>1.2</v>
      </c>
      <c r="G1631" s="321">
        <v>14.4</v>
      </c>
      <c r="H1631" s="321">
        <v>12.1</v>
      </c>
      <c r="I1631" s="315">
        <f t="shared" si="276"/>
        <v>1054.152</v>
      </c>
      <c r="J1631" s="316">
        <f t="shared" si="270"/>
        <v>5.1222157434402336</v>
      </c>
    </row>
    <row r="1632" spans="1:10" s="316" customFormat="1">
      <c r="A1632" s="321">
        <v>63</v>
      </c>
      <c r="B1632" s="295">
        <f t="shared" si="271"/>
        <v>51</v>
      </c>
      <c r="C1632" s="321">
        <v>3.4</v>
      </c>
      <c r="D1632" s="321" t="s">
        <v>114</v>
      </c>
      <c r="E1632" s="321"/>
      <c r="F1632" s="316" t="str">
        <f t="shared" si="268"/>
        <v/>
      </c>
      <c r="G1632" s="321"/>
      <c r="H1632" s="321"/>
      <c r="I1632" s="315"/>
      <c r="J1632" s="316" t="str">
        <f t="shared" si="270"/>
        <v/>
      </c>
    </row>
    <row r="1633" spans="1:11" s="316" customFormat="1">
      <c r="A1633" s="321">
        <v>63</v>
      </c>
      <c r="B1633" s="295">
        <f t="shared" si="271"/>
        <v>51</v>
      </c>
      <c r="C1633" s="321">
        <v>3.5</v>
      </c>
      <c r="D1633" s="321" t="s">
        <v>115</v>
      </c>
      <c r="E1633" s="321"/>
      <c r="F1633" s="316" t="str">
        <f t="shared" si="268"/>
        <v/>
      </c>
      <c r="G1633" s="321"/>
      <c r="H1633" s="321"/>
      <c r="I1633" s="315"/>
      <c r="J1633" s="316" t="str">
        <f t="shared" si="270"/>
        <v/>
      </c>
    </row>
    <row r="1634" spans="1:11" s="316" customFormat="1">
      <c r="A1634" s="321">
        <v>63</v>
      </c>
      <c r="B1634" s="295">
        <f t="shared" si="271"/>
        <v>51</v>
      </c>
      <c r="C1634" s="321">
        <v>4.0999999999999996</v>
      </c>
      <c r="D1634" s="321" t="s">
        <v>111</v>
      </c>
      <c r="E1634" s="321"/>
      <c r="F1634" s="316" t="str">
        <f t="shared" si="268"/>
        <v/>
      </c>
      <c r="G1634" s="321"/>
      <c r="H1634" s="321"/>
      <c r="I1634" s="315"/>
      <c r="J1634" s="316" t="str">
        <f t="shared" si="270"/>
        <v/>
      </c>
    </row>
    <row r="1635" spans="1:11" s="316" customFormat="1">
      <c r="A1635" s="321">
        <v>63</v>
      </c>
      <c r="B1635" s="295">
        <f t="shared" si="271"/>
        <v>51</v>
      </c>
      <c r="C1635" s="321">
        <v>4.2</v>
      </c>
      <c r="D1635" s="321" t="s">
        <v>112</v>
      </c>
      <c r="E1635" s="321"/>
      <c r="F1635" s="316" t="str">
        <f t="shared" si="268"/>
        <v/>
      </c>
      <c r="G1635" s="321"/>
      <c r="H1635" s="321"/>
      <c r="I1635" s="315"/>
      <c r="J1635" s="316" t="str">
        <f t="shared" si="270"/>
        <v/>
      </c>
    </row>
    <row r="1636" spans="1:11">
      <c r="A1636" s="321">
        <v>63</v>
      </c>
      <c r="B1636" s="295">
        <f t="shared" si="271"/>
        <v>51</v>
      </c>
      <c r="C1636" s="321">
        <v>4.3</v>
      </c>
      <c r="D1636" s="321" t="s">
        <v>113</v>
      </c>
      <c r="E1636" s="321">
        <v>31</v>
      </c>
      <c r="F1636" s="316">
        <f t="shared" si="268"/>
        <v>1.1923076923076923</v>
      </c>
      <c r="G1636" s="321">
        <v>11</v>
      </c>
      <c r="H1636" s="321">
        <v>9.4</v>
      </c>
      <c r="I1636" s="315">
        <f t="shared" ref="I1636" si="277">G1636*(H1636^2)*0.5</f>
        <v>485.98000000000008</v>
      </c>
      <c r="J1636" s="316">
        <f t="shared" si="270"/>
        <v>3.4896312040441178</v>
      </c>
    </row>
    <row r="1637" spans="1:11">
      <c r="A1637" s="321">
        <v>63</v>
      </c>
      <c r="B1637" s="295">
        <f t="shared" si="271"/>
        <v>51</v>
      </c>
      <c r="C1637" s="321">
        <v>4.4000000000000004</v>
      </c>
      <c r="D1637" s="321" t="s">
        <v>112</v>
      </c>
      <c r="E1637" s="321"/>
      <c r="F1637" s="316" t="str">
        <f t="shared" si="268"/>
        <v/>
      </c>
      <c r="G1637" s="321"/>
      <c r="H1637" s="321"/>
      <c r="J1637" s="316" t="str">
        <f t="shared" si="270"/>
        <v/>
      </c>
    </row>
    <row r="1638" spans="1:11">
      <c r="A1638" s="321">
        <v>63</v>
      </c>
      <c r="B1638" s="295">
        <f t="shared" si="271"/>
        <v>51</v>
      </c>
      <c r="C1638" s="321">
        <v>4.5</v>
      </c>
      <c r="D1638" s="321" t="s">
        <v>112</v>
      </c>
      <c r="E1638" s="321"/>
      <c r="F1638" s="316" t="str">
        <f t="shared" si="268"/>
        <v/>
      </c>
      <c r="G1638" s="321"/>
      <c r="H1638" s="321"/>
      <c r="J1638" s="316" t="str">
        <f t="shared" si="270"/>
        <v/>
      </c>
    </row>
    <row r="1639" spans="1:11">
      <c r="A1639" s="321">
        <v>63</v>
      </c>
      <c r="B1639" s="295">
        <f t="shared" si="271"/>
        <v>51</v>
      </c>
      <c r="C1639" s="321">
        <v>5.0999999999999996</v>
      </c>
      <c r="D1639" s="321" t="s">
        <v>113</v>
      </c>
      <c r="E1639" s="321">
        <v>26</v>
      </c>
      <c r="F1639" s="316">
        <f t="shared" si="268"/>
        <v>1.0833333333333333</v>
      </c>
      <c r="G1639" s="321">
        <v>6.4</v>
      </c>
      <c r="H1639" s="321">
        <v>5.8</v>
      </c>
      <c r="I1639" s="315">
        <f t="shared" ref="I1639" si="278">G1639*(H1639^2)*0.5</f>
        <v>107.64800000000001</v>
      </c>
      <c r="J1639" s="316">
        <f t="shared" si="270"/>
        <v>0.648118824995635</v>
      </c>
    </row>
    <row r="1640" spans="1:11">
      <c r="A1640" s="321">
        <v>63</v>
      </c>
      <c r="B1640" s="295">
        <f t="shared" si="271"/>
        <v>51</v>
      </c>
      <c r="C1640" s="321">
        <v>5.2</v>
      </c>
      <c r="D1640" s="321" t="s">
        <v>114</v>
      </c>
      <c r="E1640" s="321"/>
      <c r="F1640" s="316" t="str">
        <f t="shared" si="268"/>
        <v/>
      </c>
      <c r="G1640" s="321"/>
      <c r="H1640" s="321"/>
      <c r="J1640" s="316" t="str">
        <f t="shared" si="270"/>
        <v/>
      </c>
    </row>
    <row r="1641" spans="1:11">
      <c r="A1641" s="321">
        <v>63</v>
      </c>
      <c r="B1641" s="295">
        <f t="shared" si="271"/>
        <v>51</v>
      </c>
      <c r="C1641" s="321">
        <v>5.3</v>
      </c>
      <c r="D1641" s="321" t="s">
        <v>112</v>
      </c>
      <c r="F1641" s="316" t="str">
        <f t="shared" si="268"/>
        <v/>
      </c>
      <c r="J1641" s="316" t="str">
        <f t="shared" si="270"/>
        <v/>
      </c>
    </row>
    <row r="1642" spans="1:11">
      <c r="A1642" s="321">
        <v>63</v>
      </c>
      <c r="B1642" s="295">
        <f t="shared" si="271"/>
        <v>51</v>
      </c>
      <c r="C1642" s="321">
        <v>5.4</v>
      </c>
      <c r="D1642" s="321" t="s">
        <v>113</v>
      </c>
      <c r="E1642" s="321">
        <v>26</v>
      </c>
      <c r="F1642" s="316">
        <f t="shared" si="268"/>
        <v>1</v>
      </c>
      <c r="G1642" s="321">
        <v>6</v>
      </c>
      <c r="H1642" s="321">
        <v>5.4</v>
      </c>
      <c r="I1642" s="315">
        <f t="shared" ref="I1642" si="279">G1642*(H1642^2)*0.5</f>
        <v>87.480000000000018</v>
      </c>
      <c r="J1642" s="316">
        <f t="shared" si="270"/>
        <v>0.48912496505451508</v>
      </c>
    </row>
    <row r="1643" spans="1:11">
      <c r="A1643" s="321">
        <v>63</v>
      </c>
      <c r="B1643" s="295">
        <f t="shared" si="271"/>
        <v>51</v>
      </c>
      <c r="C1643" s="321">
        <v>5.5</v>
      </c>
      <c r="D1643" s="321" t="s">
        <v>114</v>
      </c>
      <c r="E1643" s="321"/>
      <c r="F1643" s="316" t="str">
        <f t="shared" si="268"/>
        <v/>
      </c>
      <c r="G1643" s="321"/>
      <c r="H1643" s="321"/>
      <c r="J1643" s="316" t="str">
        <f t="shared" si="270"/>
        <v/>
      </c>
    </row>
    <row r="1644" spans="1:11">
      <c r="A1644" s="321">
        <v>63</v>
      </c>
      <c r="B1644" s="295">
        <f t="shared" si="271"/>
        <v>51</v>
      </c>
      <c r="C1644" s="321">
        <v>6.1</v>
      </c>
      <c r="D1644" s="321" t="s">
        <v>115</v>
      </c>
      <c r="E1644" s="321">
        <v>30</v>
      </c>
      <c r="F1644" s="316">
        <f t="shared" si="268"/>
        <v>1.2</v>
      </c>
      <c r="G1644" s="321">
        <v>15</v>
      </c>
      <c r="H1644" s="321">
        <v>10.8</v>
      </c>
      <c r="I1644" s="315">
        <f t="shared" ref="I1644" si="280">G1644*(H1644^2)*0.5</f>
        <v>874.80000000000007</v>
      </c>
      <c r="J1644" s="316">
        <f t="shared" si="270"/>
        <v>6.5021554927902478</v>
      </c>
    </row>
    <row r="1645" spans="1:11">
      <c r="A1645" s="321">
        <v>63</v>
      </c>
      <c r="B1645" s="295">
        <f t="shared" si="271"/>
        <v>51</v>
      </c>
      <c r="C1645" s="321">
        <v>6.2</v>
      </c>
      <c r="D1645" s="321" t="s">
        <v>115</v>
      </c>
      <c r="E1645" s="321"/>
      <c r="F1645" s="316" t="str">
        <f t="shared" si="268"/>
        <v/>
      </c>
      <c r="G1645" s="321"/>
      <c r="H1645" s="321"/>
      <c r="J1645" s="316" t="str">
        <f t="shared" si="270"/>
        <v/>
      </c>
    </row>
    <row r="1646" spans="1:11">
      <c r="A1646" s="321">
        <v>63</v>
      </c>
      <c r="B1646" s="295">
        <f t="shared" si="271"/>
        <v>51</v>
      </c>
      <c r="C1646" s="321">
        <v>6.3</v>
      </c>
      <c r="D1646" s="321" t="s">
        <v>114</v>
      </c>
      <c r="E1646" s="321"/>
      <c r="F1646" s="316" t="str">
        <f t="shared" si="268"/>
        <v/>
      </c>
      <c r="G1646" s="321"/>
      <c r="H1646" s="321"/>
      <c r="J1646" s="316" t="str">
        <f t="shared" si="270"/>
        <v/>
      </c>
    </row>
    <row r="1647" spans="1:11">
      <c r="A1647" s="321">
        <v>63</v>
      </c>
      <c r="B1647" s="295">
        <f t="shared" si="271"/>
        <v>51</v>
      </c>
      <c r="C1647" s="321">
        <v>6.4</v>
      </c>
      <c r="D1647" s="321" t="s">
        <v>112</v>
      </c>
      <c r="E1647" s="321"/>
      <c r="F1647" s="316" t="str">
        <f t="shared" si="268"/>
        <v/>
      </c>
      <c r="G1647" s="321"/>
      <c r="H1647" s="321"/>
      <c r="J1647" s="316" t="str">
        <f t="shared" si="270"/>
        <v/>
      </c>
    </row>
    <row r="1648" spans="1:11">
      <c r="A1648" s="321">
        <v>63</v>
      </c>
      <c r="B1648" s="295">
        <f t="shared" si="271"/>
        <v>51</v>
      </c>
      <c r="C1648" s="321">
        <v>6.5</v>
      </c>
      <c r="D1648" s="321" t="s">
        <v>113</v>
      </c>
      <c r="E1648" s="321">
        <v>20</v>
      </c>
      <c r="F1648" s="316">
        <f t="shared" si="268"/>
        <v>0.83333333333333337</v>
      </c>
      <c r="G1648" s="321">
        <v>9.6</v>
      </c>
      <c r="H1648" s="321">
        <v>8.4</v>
      </c>
      <c r="I1648" s="315">
        <f t="shared" ref="I1648:I1649" si="281">G1648*(H1648^2)*0.5</f>
        <v>338.68799999999999</v>
      </c>
      <c r="J1648" s="316">
        <f t="shared" si="270"/>
        <v>6.6901333333333328</v>
      </c>
      <c r="K1648" s="316" t="s">
        <v>185</v>
      </c>
    </row>
    <row r="1649" spans="1:10">
      <c r="A1649" s="321">
        <v>63</v>
      </c>
      <c r="B1649" s="295">
        <f t="shared" si="271"/>
        <v>51</v>
      </c>
      <c r="C1649" s="321">
        <v>7.1</v>
      </c>
      <c r="D1649" s="321" t="s">
        <v>114</v>
      </c>
      <c r="E1649" s="321">
        <v>32</v>
      </c>
      <c r="F1649" s="316">
        <f t="shared" si="268"/>
        <v>1.1851851851851851</v>
      </c>
      <c r="G1649" s="321">
        <v>12.1</v>
      </c>
      <c r="H1649" s="321">
        <v>10.9</v>
      </c>
      <c r="I1649" s="315">
        <f t="shared" si="281"/>
        <v>718.80049999999994</v>
      </c>
      <c r="J1649" s="316">
        <f t="shared" si="270"/>
        <v>5.3244481481481474</v>
      </c>
    </row>
    <row r="1650" spans="1:10">
      <c r="A1650" s="321">
        <v>63</v>
      </c>
      <c r="B1650" s="295">
        <f t="shared" si="271"/>
        <v>51</v>
      </c>
      <c r="C1650" s="321">
        <v>7.2</v>
      </c>
      <c r="D1650" s="321" t="s">
        <v>111</v>
      </c>
      <c r="E1650" s="321"/>
      <c r="F1650" s="316" t="str">
        <f t="shared" si="268"/>
        <v/>
      </c>
      <c r="G1650" s="321"/>
      <c r="H1650" s="321"/>
      <c r="J1650" s="316" t="str">
        <f t="shared" si="270"/>
        <v/>
      </c>
    </row>
    <row r="1651" spans="1:10">
      <c r="A1651" s="321">
        <v>63</v>
      </c>
      <c r="B1651" s="295">
        <f t="shared" si="271"/>
        <v>51</v>
      </c>
      <c r="C1651" s="321">
        <v>7.3</v>
      </c>
      <c r="D1651" s="321" t="s">
        <v>113</v>
      </c>
      <c r="E1651" s="321">
        <v>29</v>
      </c>
      <c r="F1651" s="316">
        <f t="shared" si="268"/>
        <v>1.0740740740740742</v>
      </c>
      <c r="G1651" s="321">
        <v>4.5</v>
      </c>
      <c r="H1651" s="321">
        <v>4.4000000000000004</v>
      </c>
      <c r="I1651" s="315">
        <f t="shared" ref="I1651" si="282">G1651*(H1651^2)*0.5</f>
        <v>43.560000000000009</v>
      </c>
      <c r="J1651" s="316">
        <f t="shared" si="270"/>
        <v>0.30486268581506687</v>
      </c>
    </row>
    <row r="1652" spans="1:10" s="316" customFormat="1">
      <c r="A1652" s="321">
        <v>63</v>
      </c>
      <c r="B1652" s="295">
        <f t="shared" si="271"/>
        <v>51</v>
      </c>
      <c r="C1652" s="321">
        <v>7.4</v>
      </c>
      <c r="D1652" s="321" t="s">
        <v>115</v>
      </c>
      <c r="E1652" s="321"/>
      <c r="F1652" s="316" t="str">
        <f t="shared" si="268"/>
        <v/>
      </c>
      <c r="G1652" s="321"/>
      <c r="H1652" s="321"/>
      <c r="I1652" s="315"/>
      <c r="J1652" s="316" t="str">
        <f t="shared" si="270"/>
        <v/>
      </c>
    </row>
    <row r="1653" spans="1:10" s="316" customFormat="1">
      <c r="A1653" s="321">
        <v>63</v>
      </c>
      <c r="B1653" s="295">
        <f t="shared" si="271"/>
        <v>51</v>
      </c>
      <c r="C1653" s="321">
        <v>7.5</v>
      </c>
      <c r="D1653" s="321" t="s">
        <v>111</v>
      </c>
      <c r="E1653" s="321"/>
      <c r="F1653" s="316" t="str">
        <f t="shared" si="268"/>
        <v/>
      </c>
      <c r="G1653" s="321"/>
      <c r="H1653" s="321"/>
      <c r="I1653" s="315"/>
      <c r="J1653" s="316" t="str">
        <f t="shared" si="270"/>
        <v/>
      </c>
    </row>
    <row r="1654" spans="1:10" s="316" customFormat="1">
      <c r="A1654" s="321">
        <v>65</v>
      </c>
      <c r="B1654" s="295">
        <f t="shared" si="271"/>
        <v>53</v>
      </c>
      <c r="C1654" s="321">
        <v>1.1000000000000001</v>
      </c>
      <c r="D1654" s="321" t="s">
        <v>112</v>
      </c>
      <c r="E1654" s="321"/>
      <c r="F1654" s="316" t="str">
        <f t="shared" si="268"/>
        <v/>
      </c>
      <c r="G1654" s="321"/>
      <c r="H1654" s="321"/>
      <c r="I1654" s="315"/>
      <c r="J1654" s="316" t="str">
        <f t="shared" si="270"/>
        <v/>
      </c>
    </row>
    <row r="1655" spans="1:10" s="316" customFormat="1">
      <c r="A1655" s="321">
        <v>65</v>
      </c>
      <c r="B1655" s="295">
        <f t="shared" si="271"/>
        <v>53</v>
      </c>
      <c r="C1655" s="321">
        <v>1.2</v>
      </c>
      <c r="D1655" s="321" t="s">
        <v>113</v>
      </c>
      <c r="E1655" s="321">
        <v>32</v>
      </c>
      <c r="F1655" s="316">
        <f t="shared" si="268"/>
        <v>1.1851851851851851</v>
      </c>
      <c r="G1655" s="321">
        <v>4.4000000000000004</v>
      </c>
      <c r="H1655" s="321">
        <v>4.0999999999999996</v>
      </c>
      <c r="I1655" s="315">
        <f t="shared" ref="I1655" si="283">G1655*(H1655^2)*0.5</f>
        <v>36.981999999999999</v>
      </c>
      <c r="J1655" s="316">
        <f t="shared" si="270"/>
        <v>0.17677693515581866</v>
      </c>
    </row>
    <row r="1656" spans="1:10" s="316" customFormat="1">
      <c r="A1656" s="321">
        <v>65</v>
      </c>
      <c r="B1656" s="295">
        <f t="shared" si="271"/>
        <v>53</v>
      </c>
      <c r="C1656" s="321">
        <v>1.3</v>
      </c>
      <c r="D1656" s="321" t="s">
        <v>115</v>
      </c>
      <c r="E1656" s="321"/>
      <c r="F1656" s="316" t="str">
        <f t="shared" si="268"/>
        <v/>
      </c>
      <c r="G1656" s="321"/>
      <c r="H1656" s="321"/>
      <c r="I1656" s="315"/>
      <c r="J1656" s="316" t="str">
        <f t="shared" si="270"/>
        <v/>
      </c>
    </row>
    <row r="1657" spans="1:10" s="316" customFormat="1">
      <c r="A1657" s="321">
        <v>65</v>
      </c>
      <c r="B1657" s="295">
        <f t="shared" si="271"/>
        <v>53</v>
      </c>
      <c r="C1657" s="321">
        <v>1.4</v>
      </c>
      <c r="D1657" s="321" t="s">
        <v>115</v>
      </c>
      <c r="E1657" s="321"/>
      <c r="F1657" s="316" t="str">
        <f t="shared" si="268"/>
        <v/>
      </c>
      <c r="G1657" s="321"/>
      <c r="H1657" s="321"/>
      <c r="I1657" s="315"/>
      <c r="J1657" s="316" t="str">
        <f t="shared" si="270"/>
        <v/>
      </c>
    </row>
    <row r="1658" spans="1:10" s="316" customFormat="1">
      <c r="A1658" s="321">
        <v>65</v>
      </c>
      <c r="B1658" s="295">
        <f t="shared" si="271"/>
        <v>53</v>
      </c>
      <c r="C1658" s="321">
        <v>1.5</v>
      </c>
      <c r="D1658" s="321" t="s">
        <v>112</v>
      </c>
      <c r="E1658" s="321">
        <v>29</v>
      </c>
      <c r="F1658" s="316">
        <f t="shared" si="268"/>
        <v>1.0357142857142858</v>
      </c>
      <c r="G1658" s="321">
        <v>13.4</v>
      </c>
      <c r="H1658" s="321">
        <v>12.6</v>
      </c>
      <c r="I1658" s="315">
        <f t="shared" ref="I1658:I1659" si="284">G1658*(H1658^2)*0.5</f>
        <v>1063.692</v>
      </c>
      <c r="J1658" s="316">
        <f t="shared" si="270"/>
        <v>7.6379538143382346</v>
      </c>
    </row>
    <row r="1659" spans="1:10" s="316" customFormat="1">
      <c r="A1659" s="321">
        <v>65</v>
      </c>
      <c r="B1659" s="295">
        <f t="shared" si="271"/>
        <v>53</v>
      </c>
      <c r="C1659" s="321">
        <v>2.1</v>
      </c>
      <c r="D1659" s="321" t="s">
        <v>114</v>
      </c>
      <c r="E1659" s="321">
        <v>32</v>
      </c>
      <c r="F1659" s="316">
        <f t="shared" si="268"/>
        <v>1.2307692307692308</v>
      </c>
      <c r="G1659" s="321">
        <v>13.3</v>
      </c>
      <c r="H1659" s="321">
        <v>12.3</v>
      </c>
      <c r="I1659" s="315">
        <f t="shared" si="284"/>
        <v>1006.0785000000002</v>
      </c>
      <c r="J1659" s="316">
        <f t="shared" si="270"/>
        <v>5.3497882319159622</v>
      </c>
    </row>
    <row r="1660" spans="1:10" s="316" customFormat="1">
      <c r="A1660" s="321">
        <v>65</v>
      </c>
      <c r="B1660" s="295">
        <f t="shared" si="271"/>
        <v>53</v>
      </c>
      <c r="C1660" s="321">
        <v>2.2000000000000002</v>
      </c>
      <c r="D1660" s="321" t="s">
        <v>115</v>
      </c>
      <c r="E1660" s="321"/>
      <c r="F1660" s="316" t="str">
        <f t="shared" si="268"/>
        <v/>
      </c>
      <c r="G1660" s="321"/>
      <c r="H1660" s="321"/>
      <c r="I1660" s="315"/>
      <c r="J1660" s="316" t="str">
        <f t="shared" si="270"/>
        <v/>
      </c>
    </row>
    <row r="1661" spans="1:10" s="316" customFormat="1">
      <c r="A1661" s="321">
        <v>65</v>
      </c>
      <c r="B1661" s="295">
        <f t="shared" si="271"/>
        <v>53</v>
      </c>
      <c r="C1661" s="321">
        <v>2.2999999999999998</v>
      </c>
      <c r="D1661" s="321" t="s">
        <v>112</v>
      </c>
      <c r="E1661" s="321"/>
      <c r="F1661" s="316" t="str">
        <f t="shared" si="268"/>
        <v/>
      </c>
      <c r="G1661" s="321"/>
      <c r="H1661" s="321"/>
      <c r="I1661" s="315"/>
      <c r="J1661" s="316" t="str">
        <f t="shared" si="270"/>
        <v/>
      </c>
    </row>
    <row r="1662" spans="1:10" s="316" customFormat="1">
      <c r="A1662" s="321">
        <v>65</v>
      </c>
      <c r="B1662" s="295">
        <f t="shared" si="271"/>
        <v>53</v>
      </c>
      <c r="C1662" s="321">
        <v>2.4</v>
      </c>
      <c r="D1662" s="321" t="s">
        <v>114</v>
      </c>
      <c r="E1662" s="321">
        <v>29</v>
      </c>
      <c r="F1662" s="316">
        <f t="shared" si="268"/>
        <v>1.1599999999999999</v>
      </c>
      <c r="G1662" s="321">
        <v>10.5</v>
      </c>
      <c r="H1662" s="321">
        <v>9.6</v>
      </c>
      <c r="I1662" s="315">
        <f t="shared" ref="I1662:I1666" si="285">G1662*(H1662^2)*0.5</f>
        <v>483.84</v>
      </c>
      <c r="J1662" s="316">
        <f t="shared" si="270"/>
        <v>4.5008372093023254</v>
      </c>
    </row>
    <row r="1663" spans="1:10" s="316" customFormat="1">
      <c r="A1663" s="321">
        <v>65</v>
      </c>
      <c r="B1663" s="295">
        <f t="shared" si="271"/>
        <v>53</v>
      </c>
      <c r="C1663" s="321">
        <v>2.5</v>
      </c>
      <c r="D1663" s="321" t="s">
        <v>113</v>
      </c>
      <c r="E1663" s="321">
        <v>32</v>
      </c>
      <c r="F1663" s="316">
        <f t="shared" si="268"/>
        <v>1.1851851851851851</v>
      </c>
      <c r="G1663" s="321">
        <v>7.2</v>
      </c>
      <c r="H1663" s="321">
        <v>6.6</v>
      </c>
      <c r="I1663" s="315">
        <f t="shared" si="285"/>
        <v>156.81599999999997</v>
      </c>
      <c r="J1663" s="316">
        <f t="shared" si="270"/>
        <v>0.91929980888956619</v>
      </c>
    </row>
    <row r="1664" spans="1:10" s="316" customFormat="1">
      <c r="A1664" s="321">
        <v>65</v>
      </c>
      <c r="B1664" s="295">
        <f t="shared" si="271"/>
        <v>53</v>
      </c>
      <c r="C1664" s="321">
        <v>3.1</v>
      </c>
      <c r="D1664" s="321" t="s">
        <v>115</v>
      </c>
      <c r="E1664" s="321">
        <v>29</v>
      </c>
      <c r="F1664" s="316">
        <f t="shared" si="268"/>
        <v>1.2083333333333333</v>
      </c>
      <c r="G1664" s="321">
        <v>6.2</v>
      </c>
      <c r="H1664" s="321">
        <v>5.8</v>
      </c>
      <c r="I1664" s="315">
        <f t="shared" si="285"/>
        <v>104.28400000000001</v>
      </c>
      <c r="J1664" s="316">
        <f t="shared" si="270"/>
        <v>0.57401403605339218</v>
      </c>
    </row>
    <row r="1665" spans="1:10" s="316" customFormat="1">
      <c r="A1665" s="321">
        <v>65</v>
      </c>
      <c r="B1665" s="295">
        <f t="shared" si="271"/>
        <v>53</v>
      </c>
      <c r="C1665" s="321">
        <v>3.2</v>
      </c>
      <c r="D1665" s="321" t="s">
        <v>113</v>
      </c>
      <c r="E1665" s="321">
        <v>35</v>
      </c>
      <c r="F1665" s="316">
        <f t="shared" si="268"/>
        <v>1.1666666666666667</v>
      </c>
      <c r="G1665" s="321">
        <v>6.5</v>
      </c>
      <c r="H1665" s="321">
        <v>5.3</v>
      </c>
      <c r="I1665" s="315">
        <f t="shared" si="285"/>
        <v>91.292500000000004</v>
      </c>
      <c r="J1665" s="316">
        <f t="shared" si="270"/>
        <v>0.47573946304248138</v>
      </c>
    </row>
    <row r="1666" spans="1:10" s="316" customFormat="1">
      <c r="A1666" s="321">
        <v>65</v>
      </c>
      <c r="B1666" s="295">
        <f t="shared" si="271"/>
        <v>53</v>
      </c>
      <c r="C1666" s="321">
        <v>3.3</v>
      </c>
      <c r="D1666" s="321" t="s">
        <v>114</v>
      </c>
      <c r="E1666" s="321">
        <v>29</v>
      </c>
      <c r="F1666" s="316">
        <f t="shared" si="268"/>
        <v>1.1599999999999999</v>
      </c>
      <c r="G1666" s="321">
        <v>12.8</v>
      </c>
      <c r="H1666" s="321">
        <v>12.3</v>
      </c>
      <c r="I1666" s="315">
        <f t="shared" si="285"/>
        <v>968.2560000000002</v>
      </c>
      <c r="J1666" s="316">
        <f t="shared" si="270"/>
        <v>4.7048396501457734</v>
      </c>
    </row>
    <row r="1667" spans="1:10" s="316" customFormat="1">
      <c r="A1667" s="321">
        <v>65</v>
      </c>
      <c r="B1667" s="295">
        <f t="shared" si="271"/>
        <v>53</v>
      </c>
      <c r="C1667" s="321">
        <v>3.4</v>
      </c>
      <c r="D1667" s="321" t="s">
        <v>114</v>
      </c>
      <c r="E1667" s="321"/>
      <c r="F1667" s="316" t="str">
        <f t="shared" si="268"/>
        <v/>
      </c>
      <c r="G1667" s="321"/>
      <c r="H1667" s="321"/>
      <c r="I1667" s="315"/>
      <c r="J1667" s="316" t="str">
        <f t="shared" si="270"/>
        <v/>
      </c>
    </row>
    <row r="1668" spans="1:10" s="316" customFormat="1">
      <c r="A1668" s="321">
        <v>65</v>
      </c>
      <c r="B1668" s="295">
        <f t="shared" si="271"/>
        <v>53</v>
      </c>
      <c r="C1668" s="321">
        <v>3.5</v>
      </c>
      <c r="D1668" s="321" t="s">
        <v>115</v>
      </c>
      <c r="E1668" s="321"/>
      <c r="F1668" s="316" t="str">
        <f t="shared" si="268"/>
        <v/>
      </c>
      <c r="G1668" s="321"/>
      <c r="H1668" s="321"/>
      <c r="I1668" s="315"/>
      <c r="J1668" s="316" t="str">
        <f t="shared" si="270"/>
        <v/>
      </c>
    </row>
    <row r="1669" spans="1:10" s="316" customFormat="1">
      <c r="A1669" s="321">
        <v>65</v>
      </c>
      <c r="B1669" s="295">
        <f t="shared" si="271"/>
        <v>53</v>
      </c>
      <c r="C1669" s="321">
        <v>4.0999999999999996</v>
      </c>
      <c r="D1669" s="321" t="s">
        <v>111</v>
      </c>
      <c r="E1669" s="321"/>
      <c r="F1669" s="316" t="str">
        <f t="shared" si="268"/>
        <v/>
      </c>
      <c r="G1669" s="321"/>
      <c r="H1669" s="321"/>
      <c r="I1669" s="315"/>
      <c r="J1669" s="316" t="str">
        <f t="shared" si="270"/>
        <v/>
      </c>
    </row>
    <row r="1670" spans="1:10" s="316" customFormat="1">
      <c r="A1670" s="321">
        <v>65</v>
      </c>
      <c r="B1670" s="295">
        <f t="shared" si="271"/>
        <v>53</v>
      </c>
      <c r="C1670" s="321">
        <v>4.2</v>
      </c>
      <c r="D1670" s="321" t="s">
        <v>112</v>
      </c>
      <c r="E1670" s="321"/>
      <c r="F1670" s="316" t="str">
        <f t="shared" si="268"/>
        <v/>
      </c>
      <c r="G1670" s="321"/>
      <c r="H1670" s="321"/>
      <c r="I1670" s="315"/>
      <c r="J1670" s="316" t="str">
        <f t="shared" si="270"/>
        <v/>
      </c>
    </row>
    <row r="1671" spans="1:10" s="316" customFormat="1">
      <c r="A1671" s="321">
        <v>65</v>
      </c>
      <c r="B1671" s="295">
        <f t="shared" si="271"/>
        <v>53</v>
      </c>
      <c r="C1671" s="321">
        <v>4.3</v>
      </c>
      <c r="D1671" s="321" t="s">
        <v>113</v>
      </c>
      <c r="E1671" s="321">
        <v>30</v>
      </c>
      <c r="F1671" s="316">
        <f t="shared" si="268"/>
        <v>1.1538461538461537</v>
      </c>
      <c r="G1671" s="321">
        <v>10.7</v>
      </c>
      <c r="H1671" s="321">
        <v>9.3000000000000007</v>
      </c>
      <c r="I1671" s="315">
        <f t="shared" ref="I1671" si="286">G1671*(H1671^2)*0.5</f>
        <v>462.72149999999999</v>
      </c>
      <c r="J1671" s="316">
        <f t="shared" si="270"/>
        <v>3.3226210650275734</v>
      </c>
    </row>
    <row r="1672" spans="1:10" s="316" customFormat="1">
      <c r="A1672" s="321">
        <v>65</v>
      </c>
      <c r="B1672" s="295">
        <f t="shared" si="271"/>
        <v>53</v>
      </c>
      <c r="C1672" s="321">
        <v>4.4000000000000004</v>
      </c>
      <c r="D1672" s="321" t="s">
        <v>112</v>
      </c>
      <c r="E1672" s="321"/>
      <c r="F1672" s="316" t="str">
        <f t="shared" si="268"/>
        <v/>
      </c>
      <c r="G1672" s="321"/>
      <c r="H1672" s="321"/>
      <c r="I1672" s="315"/>
      <c r="J1672" s="316" t="str">
        <f t="shared" si="270"/>
        <v/>
      </c>
    </row>
    <row r="1673" spans="1:10" s="316" customFormat="1">
      <c r="A1673" s="321">
        <v>65</v>
      </c>
      <c r="B1673" s="295">
        <f t="shared" si="271"/>
        <v>53</v>
      </c>
      <c r="C1673" s="321">
        <v>4.5</v>
      </c>
      <c r="D1673" s="321" t="s">
        <v>112</v>
      </c>
      <c r="E1673" s="321"/>
      <c r="F1673" s="316" t="str">
        <f t="shared" ref="F1673:F1736" si="287">IF(ISBLANK(E1673),"",E1673/SUMIFS(E:E,C:C,C1673,B:B,"0"))</f>
        <v/>
      </c>
      <c r="G1673" s="321"/>
      <c r="H1673" s="321"/>
      <c r="I1673" s="315"/>
      <c r="J1673" s="316" t="str">
        <f t="shared" ref="J1673:J1736" si="288">IF(ISBLANK(I1673),"",I1673/SUMIFS(I:I,C:C,C1673,B:B,"0"))</f>
        <v/>
      </c>
    </row>
    <row r="1674" spans="1:10" s="316" customFormat="1">
      <c r="A1674" s="321">
        <v>65</v>
      </c>
      <c r="B1674" s="295">
        <f t="shared" ref="B1674:B1737" si="289">A1674-12</f>
        <v>53</v>
      </c>
      <c r="C1674" s="321">
        <v>5.0999999999999996</v>
      </c>
      <c r="D1674" s="321" t="s">
        <v>113</v>
      </c>
      <c r="E1674" s="321">
        <v>25</v>
      </c>
      <c r="F1674" s="316">
        <f t="shared" si="287"/>
        <v>1.0416666666666667</v>
      </c>
      <c r="G1674" s="321">
        <v>8</v>
      </c>
      <c r="H1674" s="321">
        <v>7.3</v>
      </c>
      <c r="I1674" s="315">
        <f t="shared" ref="I1674" si="290">G1674*(H1674^2)*0.5</f>
        <v>213.16</v>
      </c>
      <c r="J1674" s="316">
        <f t="shared" si="288"/>
        <v>1.2833773849590289</v>
      </c>
    </row>
    <row r="1675" spans="1:10" s="316" customFormat="1">
      <c r="A1675" s="321">
        <v>65</v>
      </c>
      <c r="B1675" s="295">
        <f t="shared" si="289"/>
        <v>53</v>
      </c>
      <c r="C1675" s="321">
        <v>5.2</v>
      </c>
      <c r="D1675" s="321" t="s">
        <v>114</v>
      </c>
      <c r="E1675" s="321"/>
      <c r="F1675" s="316" t="str">
        <f t="shared" si="287"/>
        <v/>
      </c>
      <c r="G1675" s="321"/>
      <c r="H1675" s="321"/>
      <c r="I1675" s="315"/>
      <c r="J1675" s="316" t="str">
        <f t="shared" si="288"/>
        <v/>
      </c>
    </row>
    <row r="1676" spans="1:10" s="316" customFormat="1">
      <c r="A1676" s="321">
        <v>65</v>
      </c>
      <c r="B1676" s="295">
        <f t="shared" si="289"/>
        <v>53</v>
      </c>
      <c r="C1676" s="321">
        <v>5.3</v>
      </c>
      <c r="D1676" s="321" t="s">
        <v>112</v>
      </c>
      <c r="E1676" s="295"/>
      <c r="F1676" s="316" t="str">
        <f t="shared" si="287"/>
        <v/>
      </c>
      <c r="G1676" s="295"/>
      <c r="H1676" s="295"/>
      <c r="I1676" s="315"/>
      <c r="J1676" s="316" t="str">
        <f t="shared" si="288"/>
        <v/>
      </c>
    </row>
    <row r="1677" spans="1:10" s="316" customFormat="1">
      <c r="A1677" s="321">
        <v>65</v>
      </c>
      <c r="B1677" s="295">
        <f t="shared" si="289"/>
        <v>53</v>
      </c>
      <c r="C1677" s="321">
        <v>5.4</v>
      </c>
      <c r="D1677" s="321" t="s">
        <v>113</v>
      </c>
      <c r="E1677" s="321">
        <v>26</v>
      </c>
      <c r="F1677" s="316">
        <f t="shared" si="287"/>
        <v>1</v>
      </c>
      <c r="G1677" s="321">
        <v>6.2</v>
      </c>
      <c r="H1677" s="321">
        <v>5.7</v>
      </c>
      <c r="I1677" s="315">
        <f t="shared" ref="I1677" si="291">G1677*(H1677^2)*0.5</f>
        <v>100.71900000000001</v>
      </c>
      <c r="J1677" s="316">
        <f t="shared" si="288"/>
        <v>0.56314788929270343</v>
      </c>
    </row>
    <row r="1678" spans="1:10" s="316" customFormat="1">
      <c r="A1678" s="321">
        <v>65</v>
      </c>
      <c r="B1678" s="295">
        <f t="shared" si="289"/>
        <v>53</v>
      </c>
      <c r="C1678" s="321">
        <v>5.5</v>
      </c>
      <c r="D1678" s="321" t="s">
        <v>114</v>
      </c>
      <c r="E1678" s="321"/>
      <c r="F1678" s="316" t="str">
        <f t="shared" si="287"/>
        <v/>
      </c>
      <c r="G1678" s="321"/>
      <c r="H1678" s="321"/>
      <c r="I1678" s="315"/>
      <c r="J1678" s="316" t="str">
        <f t="shared" si="288"/>
        <v/>
      </c>
    </row>
    <row r="1679" spans="1:10" s="316" customFormat="1">
      <c r="A1679" s="321">
        <v>65</v>
      </c>
      <c r="B1679" s="295">
        <f t="shared" si="289"/>
        <v>53</v>
      </c>
      <c r="C1679" s="321">
        <v>6.1</v>
      </c>
      <c r="D1679" s="321" t="s">
        <v>115</v>
      </c>
      <c r="E1679" s="321">
        <v>31</v>
      </c>
      <c r="F1679" s="316">
        <f t="shared" si="287"/>
        <v>1.24</v>
      </c>
      <c r="G1679" s="321">
        <v>15.5</v>
      </c>
      <c r="H1679" s="321">
        <v>9.8000000000000007</v>
      </c>
      <c r="I1679" s="315">
        <f t="shared" ref="I1679" si="292">G1679*(H1679^2)*0.5</f>
        <v>744.31000000000017</v>
      </c>
      <c r="J1679" s="316">
        <f t="shared" si="288"/>
        <v>5.5322580645161299</v>
      </c>
    </row>
    <row r="1680" spans="1:10" s="316" customFormat="1">
      <c r="A1680" s="321">
        <v>65</v>
      </c>
      <c r="B1680" s="295">
        <f t="shared" si="289"/>
        <v>53</v>
      </c>
      <c r="C1680" s="321">
        <v>6.2</v>
      </c>
      <c r="D1680" s="321" t="s">
        <v>115</v>
      </c>
      <c r="E1680" s="321"/>
      <c r="F1680" s="316" t="str">
        <f t="shared" si="287"/>
        <v/>
      </c>
      <c r="G1680" s="321"/>
      <c r="H1680" s="321"/>
      <c r="I1680" s="315"/>
      <c r="J1680" s="316" t="str">
        <f t="shared" si="288"/>
        <v/>
      </c>
    </row>
    <row r="1681" spans="1:10" s="316" customFormat="1">
      <c r="A1681" s="321">
        <v>65</v>
      </c>
      <c r="B1681" s="295">
        <f t="shared" si="289"/>
        <v>53</v>
      </c>
      <c r="C1681" s="321">
        <v>6.3</v>
      </c>
      <c r="D1681" s="321" t="s">
        <v>114</v>
      </c>
      <c r="E1681" s="321"/>
      <c r="F1681" s="316" t="str">
        <f t="shared" si="287"/>
        <v/>
      </c>
      <c r="G1681" s="321"/>
      <c r="H1681" s="321"/>
      <c r="I1681" s="315"/>
      <c r="J1681" s="316" t="str">
        <f t="shared" si="288"/>
        <v/>
      </c>
    </row>
    <row r="1682" spans="1:10" s="316" customFormat="1">
      <c r="A1682" s="321">
        <v>65</v>
      </c>
      <c r="B1682" s="295">
        <f t="shared" si="289"/>
        <v>53</v>
      </c>
      <c r="C1682" s="321">
        <v>6.4</v>
      </c>
      <c r="D1682" s="321" t="s">
        <v>112</v>
      </c>
      <c r="E1682" s="321"/>
      <c r="F1682" s="316" t="str">
        <f t="shared" si="287"/>
        <v/>
      </c>
      <c r="G1682" s="321"/>
      <c r="H1682" s="321"/>
      <c r="I1682" s="315"/>
      <c r="J1682" s="316" t="str">
        <f t="shared" si="288"/>
        <v/>
      </c>
    </row>
    <row r="1683" spans="1:10" s="316" customFormat="1">
      <c r="A1683" s="321">
        <v>65</v>
      </c>
      <c r="B1683" s="295">
        <f t="shared" si="289"/>
        <v>53</v>
      </c>
      <c r="C1683" s="321">
        <v>6.5</v>
      </c>
      <c r="D1683" s="321" t="s">
        <v>113</v>
      </c>
      <c r="E1683" s="321"/>
      <c r="F1683" s="316" t="str">
        <f t="shared" si="287"/>
        <v/>
      </c>
      <c r="G1683" s="321"/>
      <c r="H1683" s="321"/>
      <c r="I1683" s="315"/>
      <c r="J1683" s="316" t="str">
        <f t="shared" si="288"/>
        <v/>
      </c>
    </row>
    <row r="1684" spans="1:10" s="316" customFormat="1">
      <c r="A1684" s="321">
        <v>65</v>
      </c>
      <c r="B1684" s="295">
        <f t="shared" si="289"/>
        <v>53</v>
      </c>
      <c r="C1684" s="321">
        <v>7.1</v>
      </c>
      <c r="D1684" s="321" t="s">
        <v>114</v>
      </c>
      <c r="E1684" s="321">
        <v>32</v>
      </c>
      <c r="F1684" s="316">
        <f t="shared" si="287"/>
        <v>1.1851851851851851</v>
      </c>
      <c r="G1684" s="321">
        <v>11.9</v>
      </c>
      <c r="H1684" s="321">
        <v>10.8</v>
      </c>
      <c r="I1684" s="315">
        <f t="shared" ref="I1684" si="293">G1684*(H1684^2)*0.5</f>
        <v>694.00800000000015</v>
      </c>
      <c r="J1684" s="316">
        <f t="shared" si="288"/>
        <v>5.1408000000000014</v>
      </c>
    </row>
    <row r="1685" spans="1:10" s="316" customFormat="1">
      <c r="A1685" s="321">
        <v>65</v>
      </c>
      <c r="B1685" s="295">
        <f t="shared" si="289"/>
        <v>53</v>
      </c>
      <c r="C1685" s="321">
        <v>7.2</v>
      </c>
      <c r="D1685" s="321" t="s">
        <v>111</v>
      </c>
      <c r="E1685" s="321"/>
      <c r="F1685" s="316" t="str">
        <f t="shared" si="287"/>
        <v/>
      </c>
      <c r="G1685" s="321"/>
      <c r="H1685" s="321"/>
      <c r="I1685" s="315"/>
      <c r="J1685" s="316" t="str">
        <f t="shared" si="288"/>
        <v/>
      </c>
    </row>
    <row r="1686" spans="1:10" s="316" customFormat="1">
      <c r="A1686" s="321">
        <v>65</v>
      </c>
      <c r="B1686" s="295">
        <f t="shared" si="289"/>
        <v>53</v>
      </c>
      <c r="C1686" s="321">
        <v>7.3</v>
      </c>
      <c r="D1686" s="321" t="s">
        <v>113</v>
      </c>
      <c r="E1686" s="321">
        <v>30</v>
      </c>
      <c r="F1686" s="316">
        <f t="shared" si="287"/>
        <v>1.1111111111111112</v>
      </c>
      <c r="G1686" s="321">
        <v>4.5999999999999996</v>
      </c>
      <c r="H1686" s="321">
        <v>4.3</v>
      </c>
      <c r="I1686" s="315">
        <f t="shared" ref="I1686" si="294">G1686*(H1686^2)*0.5</f>
        <v>42.526999999999994</v>
      </c>
      <c r="J1686" s="316">
        <f t="shared" si="288"/>
        <v>0.29763304498754234</v>
      </c>
    </row>
    <row r="1687" spans="1:10" s="316" customFormat="1">
      <c r="A1687" s="321">
        <v>65</v>
      </c>
      <c r="B1687" s="295">
        <f t="shared" si="289"/>
        <v>53</v>
      </c>
      <c r="C1687" s="321">
        <v>7.4</v>
      </c>
      <c r="D1687" s="321" t="s">
        <v>115</v>
      </c>
      <c r="E1687" s="321"/>
      <c r="F1687" s="316" t="str">
        <f t="shared" si="287"/>
        <v/>
      </c>
      <c r="G1687" s="321"/>
      <c r="H1687" s="321"/>
      <c r="I1687" s="315"/>
      <c r="J1687" s="316" t="str">
        <f t="shared" si="288"/>
        <v/>
      </c>
    </row>
    <row r="1688" spans="1:10" s="316" customFormat="1">
      <c r="A1688" s="321">
        <v>65</v>
      </c>
      <c r="B1688" s="295">
        <f t="shared" si="289"/>
        <v>53</v>
      </c>
      <c r="C1688" s="321">
        <v>7.5</v>
      </c>
      <c r="D1688" s="321" t="s">
        <v>111</v>
      </c>
      <c r="E1688" s="321"/>
      <c r="F1688" s="316" t="str">
        <f t="shared" si="287"/>
        <v/>
      </c>
      <c r="G1688" s="321"/>
      <c r="H1688" s="321"/>
      <c r="I1688" s="315"/>
      <c r="J1688" s="316" t="str">
        <f t="shared" si="288"/>
        <v/>
      </c>
    </row>
    <row r="1689" spans="1:10" s="316" customFormat="1">
      <c r="A1689" s="321">
        <v>68</v>
      </c>
      <c r="B1689" s="295">
        <f t="shared" si="289"/>
        <v>56</v>
      </c>
      <c r="C1689" s="321">
        <v>1.1000000000000001</v>
      </c>
      <c r="D1689" s="321" t="s">
        <v>112</v>
      </c>
      <c r="E1689" s="321"/>
      <c r="F1689" s="316" t="str">
        <f t="shared" si="287"/>
        <v/>
      </c>
      <c r="G1689" s="321"/>
      <c r="H1689" s="321"/>
      <c r="I1689" s="315"/>
      <c r="J1689" s="316" t="str">
        <f t="shared" si="288"/>
        <v/>
      </c>
    </row>
    <row r="1690" spans="1:10" s="316" customFormat="1">
      <c r="A1690" s="321">
        <v>68</v>
      </c>
      <c r="B1690" s="295">
        <f t="shared" si="289"/>
        <v>56</v>
      </c>
      <c r="C1690" s="321">
        <v>1.2</v>
      </c>
      <c r="D1690" s="321" t="s">
        <v>113</v>
      </c>
      <c r="E1690" s="321">
        <v>31</v>
      </c>
      <c r="F1690" s="316">
        <f t="shared" si="287"/>
        <v>1.1481481481481481</v>
      </c>
      <c r="G1690" s="321">
        <v>5.0999999999999996</v>
      </c>
      <c r="H1690" s="321">
        <v>3.6</v>
      </c>
      <c r="I1690" s="315">
        <f t="shared" ref="I1690" si="295">G1690*(H1690^2)*0.5</f>
        <v>33.048000000000002</v>
      </c>
      <c r="J1690" s="316">
        <f t="shared" si="288"/>
        <v>0.15797209867042061</v>
      </c>
    </row>
    <row r="1691" spans="1:10" s="316" customFormat="1">
      <c r="A1691" s="321">
        <v>68</v>
      </c>
      <c r="B1691" s="295">
        <f t="shared" si="289"/>
        <v>56</v>
      </c>
      <c r="C1691" s="321">
        <v>1.3</v>
      </c>
      <c r="D1691" s="321" t="s">
        <v>115</v>
      </c>
      <c r="E1691" s="321"/>
      <c r="F1691" s="316" t="str">
        <f t="shared" si="287"/>
        <v/>
      </c>
      <c r="G1691" s="321"/>
      <c r="H1691" s="321"/>
      <c r="I1691" s="315"/>
      <c r="J1691" s="316" t="str">
        <f t="shared" si="288"/>
        <v/>
      </c>
    </row>
    <row r="1692" spans="1:10" s="316" customFormat="1">
      <c r="A1692" s="321">
        <v>68</v>
      </c>
      <c r="B1692" s="295">
        <f t="shared" si="289"/>
        <v>56</v>
      </c>
      <c r="C1692" s="321">
        <v>1.4</v>
      </c>
      <c r="D1692" s="321" t="s">
        <v>115</v>
      </c>
      <c r="E1692" s="321"/>
      <c r="F1692" s="316" t="str">
        <f t="shared" si="287"/>
        <v/>
      </c>
      <c r="G1692" s="321"/>
      <c r="H1692" s="321"/>
      <c r="I1692" s="315"/>
      <c r="J1692" s="316" t="str">
        <f t="shared" si="288"/>
        <v/>
      </c>
    </row>
    <row r="1693" spans="1:10" s="316" customFormat="1">
      <c r="A1693" s="321">
        <v>68</v>
      </c>
      <c r="B1693" s="295">
        <f t="shared" si="289"/>
        <v>56</v>
      </c>
      <c r="C1693" s="321">
        <v>1.5</v>
      </c>
      <c r="D1693" s="321" t="s">
        <v>112</v>
      </c>
      <c r="E1693" s="321">
        <v>29</v>
      </c>
      <c r="F1693" s="316">
        <f t="shared" si="287"/>
        <v>1.0357142857142858</v>
      </c>
      <c r="G1693" s="321">
        <v>13.3</v>
      </c>
      <c r="H1693" s="321">
        <v>12.8</v>
      </c>
      <c r="I1693" s="315">
        <f t="shared" ref="I1693:I1694" si="296">G1693*(H1693^2)*0.5</f>
        <v>1089.5360000000003</v>
      </c>
      <c r="J1693" s="316">
        <f t="shared" si="288"/>
        <v>7.8235294117647074</v>
      </c>
    </row>
    <row r="1694" spans="1:10" s="316" customFormat="1">
      <c r="A1694" s="321">
        <v>68</v>
      </c>
      <c r="B1694" s="295">
        <f t="shared" si="289"/>
        <v>56</v>
      </c>
      <c r="C1694" s="321">
        <v>2.1</v>
      </c>
      <c r="D1694" s="321" t="s">
        <v>114</v>
      </c>
      <c r="E1694" s="321">
        <v>32</v>
      </c>
      <c r="F1694" s="316">
        <f t="shared" si="287"/>
        <v>1.2307692307692308</v>
      </c>
      <c r="G1694" s="321">
        <v>13.7</v>
      </c>
      <c r="H1694" s="321">
        <v>13.5</v>
      </c>
      <c r="I1694" s="315">
        <f t="shared" si="296"/>
        <v>1248.4124999999999</v>
      </c>
      <c r="J1694" s="316">
        <f t="shared" si="288"/>
        <v>6.6383910411332563</v>
      </c>
    </row>
    <row r="1695" spans="1:10" s="316" customFormat="1">
      <c r="A1695" s="321">
        <v>68</v>
      </c>
      <c r="B1695" s="295">
        <f t="shared" si="289"/>
        <v>56</v>
      </c>
      <c r="C1695" s="321">
        <v>2.2000000000000002</v>
      </c>
      <c r="D1695" s="321" t="s">
        <v>115</v>
      </c>
      <c r="E1695" s="321"/>
      <c r="F1695" s="316" t="str">
        <f t="shared" si="287"/>
        <v/>
      </c>
      <c r="G1695" s="321"/>
      <c r="H1695" s="321"/>
      <c r="I1695" s="315"/>
      <c r="J1695" s="316" t="str">
        <f t="shared" si="288"/>
        <v/>
      </c>
    </row>
    <row r="1696" spans="1:10" s="316" customFormat="1">
      <c r="A1696" s="321">
        <v>68</v>
      </c>
      <c r="B1696" s="295">
        <f t="shared" si="289"/>
        <v>56</v>
      </c>
      <c r="C1696" s="321">
        <v>2.2999999999999998</v>
      </c>
      <c r="D1696" s="321" t="s">
        <v>112</v>
      </c>
      <c r="E1696" s="321"/>
      <c r="F1696" s="316" t="str">
        <f t="shared" si="287"/>
        <v/>
      </c>
      <c r="G1696" s="321"/>
      <c r="H1696" s="321"/>
      <c r="I1696" s="315"/>
      <c r="J1696" s="316" t="str">
        <f t="shared" si="288"/>
        <v/>
      </c>
    </row>
    <row r="1697" spans="1:11" s="316" customFormat="1">
      <c r="A1697" s="321">
        <v>68</v>
      </c>
      <c r="B1697" s="295">
        <f t="shared" si="289"/>
        <v>56</v>
      </c>
      <c r="C1697" s="321">
        <v>2.4</v>
      </c>
      <c r="D1697" s="321" t="s">
        <v>114</v>
      </c>
      <c r="E1697" s="321">
        <v>29</v>
      </c>
      <c r="F1697" s="316">
        <f t="shared" si="287"/>
        <v>1.1599999999999999</v>
      </c>
      <c r="G1697" s="321">
        <v>10.199999999999999</v>
      </c>
      <c r="H1697" s="321">
        <v>9.6999999999999993</v>
      </c>
      <c r="I1697" s="315">
        <f t="shared" ref="I1697:I1701" si="297">G1697*(H1697^2)*0.5</f>
        <v>479.85899999999992</v>
      </c>
      <c r="J1697" s="316">
        <f t="shared" si="288"/>
        <v>4.46380465116279</v>
      </c>
    </row>
    <row r="1698" spans="1:11" s="316" customFormat="1">
      <c r="A1698" s="321">
        <v>68</v>
      </c>
      <c r="B1698" s="295">
        <f t="shared" si="289"/>
        <v>56</v>
      </c>
      <c r="C1698" s="321">
        <v>2.5</v>
      </c>
      <c r="D1698" s="321" t="s">
        <v>113</v>
      </c>
      <c r="E1698" s="321">
        <v>31</v>
      </c>
      <c r="F1698" s="316">
        <f t="shared" si="287"/>
        <v>1.1481481481481481</v>
      </c>
      <c r="G1698" s="321">
        <v>7.4</v>
      </c>
      <c r="H1698" s="321">
        <v>6.8</v>
      </c>
      <c r="I1698" s="315">
        <f t="shared" si="297"/>
        <v>171.08799999999999</v>
      </c>
      <c r="J1698" s="316">
        <f t="shared" si="288"/>
        <v>1.0029663153204911</v>
      </c>
    </row>
    <row r="1699" spans="1:11" s="316" customFormat="1">
      <c r="A1699" s="321">
        <v>68</v>
      </c>
      <c r="B1699" s="295">
        <f t="shared" si="289"/>
        <v>56</v>
      </c>
      <c r="C1699" s="321">
        <v>3.1</v>
      </c>
      <c r="D1699" s="321" t="s">
        <v>115</v>
      </c>
      <c r="E1699" s="321">
        <v>28</v>
      </c>
      <c r="F1699" s="316">
        <f t="shared" si="287"/>
        <v>1.1666666666666667</v>
      </c>
      <c r="G1699" s="321">
        <v>6.5</v>
      </c>
      <c r="H1699" s="321">
        <v>6.5</v>
      </c>
      <c r="I1699" s="315">
        <f t="shared" si="297"/>
        <v>137.3125</v>
      </c>
      <c r="J1699" s="316">
        <f t="shared" si="288"/>
        <v>0.75581395348837221</v>
      </c>
    </row>
    <row r="1700" spans="1:11">
      <c r="A1700" s="321">
        <v>68</v>
      </c>
      <c r="B1700" s="295">
        <f t="shared" si="289"/>
        <v>56</v>
      </c>
      <c r="C1700" s="321">
        <v>3.2</v>
      </c>
      <c r="D1700" s="321" t="s">
        <v>113</v>
      </c>
      <c r="E1700" s="321">
        <v>35</v>
      </c>
      <c r="F1700" s="316">
        <f t="shared" si="287"/>
        <v>1.1666666666666667</v>
      </c>
      <c r="G1700" s="321">
        <v>5.6</v>
      </c>
      <c r="H1700" s="321">
        <v>4.5</v>
      </c>
      <c r="I1700" s="315">
        <f t="shared" si="297"/>
        <v>56.699999999999996</v>
      </c>
      <c r="J1700" s="316">
        <f t="shared" si="288"/>
        <v>0.29547254762996622</v>
      </c>
    </row>
    <row r="1701" spans="1:11">
      <c r="A1701" s="321">
        <v>68</v>
      </c>
      <c r="B1701" s="295">
        <f t="shared" si="289"/>
        <v>56</v>
      </c>
      <c r="C1701" s="321">
        <v>3.3</v>
      </c>
      <c r="D1701" s="321" t="s">
        <v>114</v>
      </c>
      <c r="E1701" s="321">
        <v>29</v>
      </c>
      <c r="F1701" s="316">
        <f t="shared" si="287"/>
        <v>1.1599999999999999</v>
      </c>
      <c r="G1701" s="321">
        <v>12.7</v>
      </c>
      <c r="H1701" s="321">
        <v>12.4</v>
      </c>
      <c r="I1701" s="315">
        <f t="shared" si="297"/>
        <v>976.37600000000009</v>
      </c>
      <c r="J1701" s="316">
        <f t="shared" si="288"/>
        <v>4.7442954324586983</v>
      </c>
    </row>
    <row r="1702" spans="1:11">
      <c r="A1702" s="321">
        <v>68</v>
      </c>
      <c r="B1702" s="295">
        <f t="shared" si="289"/>
        <v>56</v>
      </c>
      <c r="C1702" s="321">
        <v>3.4</v>
      </c>
      <c r="D1702" s="321" t="s">
        <v>114</v>
      </c>
      <c r="E1702" s="321"/>
      <c r="F1702" s="316" t="str">
        <f t="shared" si="287"/>
        <v/>
      </c>
      <c r="G1702" s="321"/>
      <c r="H1702" s="321"/>
      <c r="J1702" s="316" t="str">
        <f t="shared" si="288"/>
        <v/>
      </c>
    </row>
    <row r="1703" spans="1:11">
      <c r="A1703" s="321">
        <v>68</v>
      </c>
      <c r="B1703" s="295">
        <f t="shared" si="289"/>
        <v>56</v>
      </c>
      <c r="C1703" s="321">
        <v>3.5</v>
      </c>
      <c r="D1703" s="321" t="s">
        <v>115</v>
      </c>
      <c r="E1703" s="321"/>
      <c r="F1703" s="316" t="str">
        <f t="shared" si="287"/>
        <v/>
      </c>
      <c r="G1703" s="321"/>
      <c r="H1703" s="321"/>
      <c r="J1703" s="316" t="str">
        <f t="shared" si="288"/>
        <v/>
      </c>
    </row>
    <row r="1704" spans="1:11">
      <c r="A1704" s="321">
        <v>68</v>
      </c>
      <c r="B1704" s="295">
        <f t="shared" si="289"/>
        <v>56</v>
      </c>
      <c r="C1704" s="321">
        <v>4.0999999999999996</v>
      </c>
      <c r="D1704" s="321" t="s">
        <v>111</v>
      </c>
      <c r="E1704" s="321"/>
      <c r="F1704" s="316" t="str">
        <f t="shared" si="287"/>
        <v/>
      </c>
      <c r="G1704" s="321"/>
      <c r="H1704" s="321"/>
      <c r="J1704" s="316" t="str">
        <f t="shared" si="288"/>
        <v/>
      </c>
    </row>
    <row r="1705" spans="1:11">
      <c r="A1705" s="321">
        <v>68</v>
      </c>
      <c r="B1705" s="295">
        <f t="shared" si="289"/>
        <v>56</v>
      </c>
      <c r="C1705" s="321">
        <v>4.2</v>
      </c>
      <c r="D1705" s="321" t="s">
        <v>112</v>
      </c>
      <c r="E1705" s="321"/>
      <c r="F1705" s="316" t="str">
        <f t="shared" si="287"/>
        <v/>
      </c>
      <c r="G1705" s="321"/>
      <c r="H1705" s="321"/>
      <c r="J1705" s="316" t="str">
        <f t="shared" si="288"/>
        <v/>
      </c>
    </row>
    <row r="1706" spans="1:11">
      <c r="A1706" s="321">
        <v>68</v>
      </c>
      <c r="B1706" s="295">
        <f t="shared" si="289"/>
        <v>56</v>
      </c>
      <c r="C1706" s="321">
        <v>4.3</v>
      </c>
      <c r="D1706" s="321" t="s">
        <v>113</v>
      </c>
      <c r="E1706" s="321">
        <v>31</v>
      </c>
      <c r="F1706" s="316">
        <f t="shared" si="287"/>
        <v>1.1923076923076923</v>
      </c>
      <c r="G1706" s="321">
        <v>10.3</v>
      </c>
      <c r="H1706" s="321">
        <v>9</v>
      </c>
      <c r="I1706" s="315">
        <f t="shared" ref="I1706" si="298">G1706*(H1706^2)*0.5</f>
        <v>417.15000000000003</v>
      </c>
      <c r="J1706" s="316">
        <f t="shared" si="288"/>
        <v>2.9953900505514706</v>
      </c>
    </row>
    <row r="1707" spans="1:11">
      <c r="A1707" s="321">
        <v>68</v>
      </c>
      <c r="B1707" s="295">
        <f t="shared" si="289"/>
        <v>56</v>
      </c>
      <c r="C1707" s="321">
        <v>4.4000000000000004</v>
      </c>
      <c r="D1707" s="321" t="s">
        <v>112</v>
      </c>
      <c r="E1707" s="321"/>
      <c r="F1707" s="316" t="str">
        <f t="shared" si="287"/>
        <v/>
      </c>
      <c r="G1707" s="321"/>
      <c r="H1707" s="321"/>
      <c r="J1707" s="316" t="str">
        <f t="shared" si="288"/>
        <v/>
      </c>
    </row>
    <row r="1708" spans="1:11">
      <c r="A1708" s="321">
        <v>68</v>
      </c>
      <c r="B1708" s="295">
        <f t="shared" si="289"/>
        <v>56</v>
      </c>
      <c r="C1708" s="321">
        <v>4.5</v>
      </c>
      <c r="D1708" s="321" t="s">
        <v>112</v>
      </c>
      <c r="E1708" s="321"/>
      <c r="F1708" s="316" t="str">
        <f t="shared" si="287"/>
        <v/>
      </c>
      <c r="G1708" s="321"/>
      <c r="H1708" s="321"/>
      <c r="J1708" s="316" t="str">
        <f t="shared" si="288"/>
        <v/>
      </c>
    </row>
    <row r="1709" spans="1:11">
      <c r="A1709" s="321">
        <v>68</v>
      </c>
      <c r="B1709" s="295">
        <f t="shared" si="289"/>
        <v>56</v>
      </c>
      <c r="C1709" s="321">
        <v>5.0999999999999996</v>
      </c>
      <c r="D1709" s="321" t="s">
        <v>113</v>
      </c>
      <c r="E1709" s="321">
        <v>24</v>
      </c>
      <c r="F1709" s="316">
        <f t="shared" si="287"/>
        <v>1</v>
      </c>
      <c r="G1709" s="321">
        <v>8.5</v>
      </c>
      <c r="H1709" s="321">
        <v>7.6</v>
      </c>
      <c r="I1709" s="315">
        <f t="shared" ref="I1709" si="299">G1709*(H1709^2)*0.5</f>
        <v>245.48</v>
      </c>
      <c r="J1709" s="316">
        <f t="shared" si="288"/>
        <v>1.4779671629749596</v>
      </c>
      <c r="K1709" s="316" t="s">
        <v>186</v>
      </c>
    </row>
    <row r="1710" spans="1:11">
      <c r="A1710" s="321">
        <v>68</v>
      </c>
      <c r="B1710" s="295">
        <f t="shared" si="289"/>
        <v>56</v>
      </c>
      <c r="C1710" s="321">
        <v>5.2</v>
      </c>
      <c r="D1710" s="321" t="s">
        <v>114</v>
      </c>
      <c r="E1710" s="321"/>
      <c r="F1710" s="316" t="str">
        <f t="shared" si="287"/>
        <v/>
      </c>
      <c r="G1710" s="321"/>
      <c r="H1710" s="321"/>
      <c r="J1710" s="316" t="str">
        <f t="shared" si="288"/>
        <v/>
      </c>
    </row>
    <row r="1711" spans="1:11">
      <c r="A1711" s="321">
        <v>68</v>
      </c>
      <c r="B1711" s="295">
        <f t="shared" si="289"/>
        <v>56</v>
      </c>
      <c r="C1711" s="321">
        <v>5.3</v>
      </c>
      <c r="D1711" s="321" t="s">
        <v>112</v>
      </c>
      <c r="F1711" s="316" t="str">
        <f t="shared" si="287"/>
        <v/>
      </c>
      <c r="J1711" s="316" t="str">
        <f t="shared" si="288"/>
        <v/>
      </c>
    </row>
    <row r="1712" spans="1:11">
      <c r="A1712" s="321">
        <v>68</v>
      </c>
      <c r="B1712" s="295">
        <f t="shared" si="289"/>
        <v>56</v>
      </c>
      <c r="C1712" s="321">
        <v>5.4</v>
      </c>
      <c r="D1712" s="321" t="s">
        <v>113</v>
      </c>
      <c r="E1712" s="321">
        <v>21</v>
      </c>
      <c r="F1712" s="316">
        <f t="shared" si="287"/>
        <v>0.80769230769230771</v>
      </c>
      <c r="G1712" s="321">
        <v>6.4</v>
      </c>
      <c r="H1712" s="321">
        <v>6.3</v>
      </c>
      <c r="I1712" s="315">
        <f t="shared" ref="I1712" si="300">G1712*(H1712^2)*0.5</f>
        <v>127.008</v>
      </c>
      <c r="J1712" s="316">
        <f t="shared" si="288"/>
        <v>0.7101369863013699</v>
      </c>
      <c r="K1712" s="316" t="s">
        <v>187</v>
      </c>
    </row>
    <row r="1713" spans="1:10">
      <c r="A1713" s="321">
        <v>68</v>
      </c>
      <c r="B1713" s="295">
        <f t="shared" si="289"/>
        <v>56</v>
      </c>
      <c r="C1713" s="321">
        <v>5.5</v>
      </c>
      <c r="D1713" s="321" t="s">
        <v>114</v>
      </c>
      <c r="E1713" s="321"/>
      <c r="F1713" s="316" t="str">
        <f t="shared" si="287"/>
        <v/>
      </c>
      <c r="G1713" s="321"/>
      <c r="H1713" s="321"/>
      <c r="J1713" s="316" t="str">
        <f t="shared" si="288"/>
        <v/>
      </c>
    </row>
    <row r="1714" spans="1:10">
      <c r="A1714" s="321">
        <v>68</v>
      </c>
      <c r="B1714" s="295">
        <f t="shared" si="289"/>
        <v>56</v>
      </c>
      <c r="C1714" s="321">
        <v>6.1</v>
      </c>
      <c r="D1714" s="321" t="s">
        <v>115</v>
      </c>
      <c r="E1714" s="321">
        <v>30</v>
      </c>
      <c r="F1714" s="316">
        <f t="shared" si="287"/>
        <v>1.2</v>
      </c>
      <c r="G1714" s="321">
        <v>17.600000000000001</v>
      </c>
      <c r="H1714" s="321">
        <v>12</v>
      </c>
      <c r="I1714" s="315">
        <f t="shared" ref="I1714" si="301">G1714*(H1714^2)*0.5</f>
        <v>1267.2</v>
      </c>
      <c r="J1714" s="316">
        <f t="shared" si="288"/>
        <v>9.4187602200089184</v>
      </c>
    </row>
    <row r="1715" spans="1:10">
      <c r="A1715" s="321">
        <v>68</v>
      </c>
      <c r="B1715" s="295">
        <f t="shared" si="289"/>
        <v>56</v>
      </c>
      <c r="C1715" s="321">
        <v>6.2</v>
      </c>
      <c r="D1715" s="321" t="s">
        <v>115</v>
      </c>
      <c r="E1715" s="321"/>
      <c r="F1715" s="316" t="str">
        <f t="shared" si="287"/>
        <v/>
      </c>
      <c r="G1715" s="321"/>
      <c r="H1715" s="321"/>
      <c r="J1715" s="316" t="str">
        <f t="shared" si="288"/>
        <v/>
      </c>
    </row>
    <row r="1716" spans="1:10" s="316" customFormat="1">
      <c r="A1716" s="321">
        <v>68</v>
      </c>
      <c r="B1716" s="295">
        <f t="shared" si="289"/>
        <v>56</v>
      </c>
      <c r="C1716" s="321">
        <v>6.3</v>
      </c>
      <c r="D1716" s="321" t="s">
        <v>114</v>
      </c>
      <c r="E1716" s="321"/>
      <c r="F1716" s="316" t="str">
        <f t="shared" si="287"/>
        <v/>
      </c>
      <c r="G1716" s="321"/>
      <c r="H1716" s="321"/>
      <c r="I1716" s="315"/>
      <c r="J1716" s="316" t="str">
        <f t="shared" si="288"/>
        <v/>
      </c>
    </row>
    <row r="1717" spans="1:10" s="316" customFormat="1">
      <c r="A1717" s="321">
        <v>68</v>
      </c>
      <c r="B1717" s="295">
        <f t="shared" si="289"/>
        <v>56</v>
      </c>
      <c r="C1717" s="321">
        <v>6.4</v>
      </c>
      <c r="D1717" s="321" t="s">
        <v>112</v>
      </c>
      <c r="E1717" s="321"/>
      <c r="F1717" s="316" t="str">
        <f t="shared" si="287"/>
        <v/>
      </c>
      <c r="G1717" s="321"/>
      <c r="H1717" s="321"/>
      <c r="I1717" s="315"/>
      <c r="J1717" s="316" t="str">
        <f t="shared" si="288"/>
        <v/>
      </c>
    </row>
    <row r="1718" spans="1:10" s="316" customFormat="1">
      <c r="A1718" s="321">
        <v>68</v>
      </c>
      <c r="B1718" s="295">
        <f t="shared" si="289"/>
        <v>56</v>
      </c>
      <c r="C1718" s="321">
        <v>6.5</v>
      </c>
      <c r="D1718" s="321" t="s">
        <v>113</v>
      </c>
      <c r="E1718" s="321"/>
      <c r="F1718" s="316" t="str">
        <f t="shared" si="287"/>
        <v/>
      </c>
      <c r="G1718" s="321"/>
      <c r="H1718" s="321"/>
      <c r="I1718" s="315"/>
      <c r="J1718" s="316" t="str">
        <f t="shared" si="288"/>
        <v/>
      </c>
    </row>
    <row r="1719" spans="1:10" s="316" customFormat="1">
      <c r="A1719" s="321">
        <v>68</v>
      </c>
      <c r="B1719" s="295">
        <f t="shared" si="289"/>
        <v>56</v>
      </c>
      <c r="C1719" s="321">
        <v>7.1</v>
      </c>
      <c r="D1719" s="321" t="s">
        <v>114</v>
      </c>
      <c r="E1719" s="321">
        <v>33</v>
      </c>
      <c r="F1719" s="316">
        <f t="shared" si="287"/>
        <v>1.2222222222222223</v>
      </c>
      <c r="G1719" s="321">
        <v>13.3</v>
      </c>
      <c r="H1719" s="321">
        <v>12</v>
      </c>
      <c r="I1719" s="315">
        <f t="shared" ref="I1719" si="302">G1719*(H1719^2)*0.5</f>
        <v>957.6</v>
      </c>
      <c r="J1719" s="316">
        <f t="shared" si="288"/>
        <v>7.0933333333333337</v>
      </c>
    </row>
    <row r="1720" spans="1:10" s="316" customFormat="1">
      <c r="A1720" s="321">
        <v>68</v>
      </c>
      <c r="B1720" s="295">
        <f t="shared" si="289"/>
        <v>56</v>
      </c>
      <c r="C1720" s="321">
        <v>7.2</v>
      </c>
      <c r="D1720" s="321" t="s">
        <v>111</v>
      </c>
      <c r="E1720" s="321"/>
      <c r="F1720" s="316" t="str">
        <f t="shared" si="287"/>
        <v/>
      </c>
      <c r="G1720" s="321"/>
      <c r="H1720" s="321"/>
      <c r="I1720" s="315"/>
      <c r="J1720" s="316" t="str">
        <f t="shared" si="288"/>
        <v/>
      </c>
    </row>
    <row r="1721" spans="1:10" s="316" customFormat="1">
      <c r="A1721" s="321">
        <v>68</v>
      </c>
      <c r="B1721" s="295">
        <f t="shared" si="289"/>
        <v>56</v>
      </c>
      <c r="C1721" s="321">
        <v>7.3</v>
      </c>
      <c r="D1721" s="321" t="s">
        <v>113</v>
      </c>
      <c r="E1721" s="321">
        <v>29</v>
      </c>
      <c r="F1721" s="316">
        <f t="shared" si="287"/>
        <v>1.0740740740740742</v>
      </c>
      <c r="G1721" s="321">
        <v>3.9</v>
      </c>
      <c r="H1721" s="321">
        <v>3.9</v>
      </c>
      <c r="I1721" s="315">
        <f t="shared" ref="I1721" si="303">G1721*(H1721^2)*0.5</f>
        <v>29.659499999999998</v>
      </c>
      <c r="J1721" s="316">
        <f t="shared" si="288"/>
        <v>0.2075774754346183</v>
      </c>
    </row>
    <row r="1722" spans="1:10" s="316" customFormat="1">
      <c r="A1722" s="321">
        <v>68</v>
      </c>
      <c r="B1722" s="295">
        <f t="shared" si="289"/>
        <v>56</v>
      </c>
      <c r="C1722" s="321">
        <v>7.4</v>
      </c>
      <c r="D1722" s="321" t="s">
        <v>115</v>
      </c>
      <c r="E1722" s="321"/>
      <c r="F1722" s="316" t="str">
        <f t="shared" si="287"/>
        <v/>
      </c>
      <c r="G1722" s="321"/>
      <c r="H1722" s="321"/>
      <c r="I1722" s="315"/>
      <c r="J1722" s="316" t="str">
        <f t="shared" si="288"/>
        <v/>
      </c>
    </row>
    <row r="1723" spans="1:10" s="316" customFormat="1">
      <c r="A1723" s="321">
        <v>68</v>
      </c>
      <c r="B1723" s="295">
        <f t="shared" si="289"/>
        <v>56</v>
      </c>
      <c r="C1723" s="321">
        <v>7.5</v>
      </c>
      <c r="D1723" s="321" t="s">
        <v>111</v>
      </c>
      <c r="E1723" s="321"/>
      <c r="F1723" s="316" t="str">
        <f t="shared" si="287"/>
        <v/>
      </c>
      <c r="G1723" s="321"/>
      <c r="H1723" s="321"/>
      <c r="I1723" s="315"/>
      <c r="J1723" s="316" t="str">
        <f t="shared" si="288"/>
        <v/>
      </c>
    </row>
    <row r="1724" spans="1:10" s="316" customFormat="1">
      <c r="A1724" s="321">
        <v>69</v>
      </c>
      <c r="B1724" s="295">
        <f t="shared" si="289"/>
        <v>57</v>
      </c>
      <c r="C1724" s="321">
        <v>1.1000000000000001</v>
      </c>
      <c r="D1724" s="321" t="s">
        <v>112</v>
      </c>
      <c r="E1724" s="321"/>
      <c r="F1724" s="316" t="str">
        <f t="shared" si="287"/>
        <v/>
      </c>
      <c r="G1724" s="321"/>
      <c r="H1724" s="321"/>
      <c r="I1724" s="315"/>
      <c r="J1724" s="316" t="str">
        <f t="shared" si="288"/>
        <v/>
      </c>
    </row>
    <row r="1725" spans="1:10" s="316" customFormat="1">
      <c r="A1725" s="321">
        <v>69</v>
      </c>
      <c r="B1725" s="295">
        <f t="shared" si="289"/>
        <v>57</v>
      </c>
      <c r="C1725" s="321">
        <v>1.2</v>
      </c>
      <c r="D1725" s="321" t="s">
        <v>113</v>
      </c>
      <c r="E1725" s="321">
        <v>32</v>
      </c>
      <c r="F1725" s="316">
        <f t="shared" si="287"/>
        <v>1.1851851851851851</v>
      </c>
      <c r="G1725" s="321">
        <v>4.9000000000000004</v>
      </c>
      <c r="H1725" s="321">
        <v>4.0999999999999996</v>
      </c>
      <c r="I1725" s="315">
        <f t="shared" ref="I1725" si="304">G1725*(H1725^2)*0.5</f>
        <v>41.1845</v>
      </c>
      <c r="J1725" s="316">
        <f t="shared" si="288"/>
        <v>0.19686522324170716</v>
      </c>
    </row>
    <row r="1726" spans="1:10" s="316" customFormat="1">
      <c r="A1726" s="321">
        <v>69</v>
      </c>
      <c r="B1726" s="295">
        <f t="shared" si="289"/>
        <v>57</v>
      </c>
      <c r="C1726" s="321">
        <v>1.3</v>
      </c>
      <c r="D1726" s="321" t="s">
        <v>115</v>
      </c>
      <c r="E1726" s="321"/>
      <c r="F1726" s="316" t="str">
        <f t="shared" si="287"/>
        <v/>
      </c>
      <c r="G1726" s="321"/>
      <c r="H1726" s="321"/>
      <c r="I1726" s="315"/>
      <c r="J1726" s="316" t="str">
        <f t="shared" si="288"/>
        <v/>
      </c>
    </row>
    <row r="1727" spans="1:10" s="316" customFormat="1">
      <c r="A1727" s="321">
        <v>69</v>
      </c>
      <c r="B1727" s="295">
        <f t="shared" si="289"/>
        <v>57</v>
      </c>
      <c r="C1727" s="321">
        <v>1.4</v>
      </c>
      <c r="D1727" s="321" t="s">
        <v>115</v>
      </c>
      <c r="E1727" s="321"/>
      <c r="F1727" s="316" t="str">
        <f t="shared" si="287"/>
        <v/>
      </c>
      <c r="G1727" s="321"/>
      <c r="H1727" s="321"/>
      <c r="I1727" s="315"/>
      <c r="J1727" s="316" t="str">
        <f t="shared" si="288"/>
        <v/>
      </c>
    </row>
    <row r="1728" spans="1:10" s="316" customFormat="1">
      <c r="A1728" s="321">
        <v>69</v>
      </c>
      <c r="B1728" s="295">
        <f t="shared" si="289"/>
        <v>57</v>
      </c>
      <c r="C1728" s="321">
        <v>1.5</v>
      </c>
      <c r="D1728" s="321" t="s">
        <v>112</v>
      </c>
      <c r="E1728" s="321">
        <v>29</v>
      </c>
      <c r="F1728" s="316">
        <f t="shared" si="287"/>
        <v>1.0357142857142858</v>
      </c>
      <c r="G1728" s="321">
        <v>14.2</v>
      </c>
      <c r="H1728" s="321">
        <v>13.3</v>
      </c>
      <c r="I1728" s="315">
        <f t="shared" ref="I1728:I1729" si="305">G1728*(H1728^2)*0.5</f>
        <v>1255.9190000000001</v>
      </c>
      <c r="J1728" s="316">
        <f t="shared" si="288"/>
        <v>9.0182602826286757</v>
      </c>
    </row>
    <row r="1729" spans="1:10" s="316" customFormat="1">
      <c r="A1729" s="321">
        <v>69</v>
      </c>
      <c r="B1729" s="295">
        <f t="shared" si="289"/>
        <v>57</v>
      </c>
      <c r="C1729" s="321">
        <v>2.1</v>
      </c>
      <c r="D1729" s="321" t="s">
        <v>114</v>
      </c>
      <c r="E1729" s="321">
        <v>32</v>
      </c>
      <c r="F1729" s="316">
        <f t="shared" si="287"/>
        <v>1.2307692307692308</v>
      </c>
      <c r="G1729" s="321">
        <v>14.1</v>
      </c>
      <c r="H1729" s="321">
        <v>13.3</v>
      </c>
      <c r="I1729" s="315">
        <f t="shared" si="305"/>
        <v>1247.0745000000002</v>
      </c>
      <c r="J1729" s="316">
        <f t="shared" si="288"/>
        <v>6.6312762716055289</v>
      </c>
    </row>
    <row r="1730" spans="1:10" s="316" customFormat="1">
      <c r="A1730" s="321">
        <v>69</v>
      </c>
      <c r="B1730" s="295">
        <f t="shared" si="289"/>
        <v>57</v>
      </c>
      <c r="C1730" s="321">
        <v>2.2000000000000002</v>
      </c>
      <c r="D1730" s="321" t="s">
        <v>115</v>
      </c>
      <c r="E1730" s="321"/>
      <c r="F1730" s="316" t="str">
        <f t="shared" si="287"/>
        <v/>
      </c>
      <c r="G1730" s="321"/>
      <c r="H1730" s="321"/>
      <c r="I1730" s="315"/>
      <c r="J1730" s="316" t="str">
        <f t="shared" si="288"/>
        <v/>
      </c>
    </row>
    <row r="1731" spans="1:10" s="316" customFormat="1">
      <c r="A1731" s="321">
        <v>69</v>
      </c>
      <c r="B1731" s="295">
        <f t="shared" si="289"/>
        <v>57</v>
      </c>
      <c r="C1731" s="321">
        <v>2.2999999999999998</v>
      </c>
      <c r="D1731" s="321" t="s">
        <v>112</v>
      </c>
      <c r="E1731" s="321"/>
      <c r="F1731" s="316" t="str">
        <f t="shared" si="287"/>
        <v/>
      </c>
      <c r="G1731" s="321"/>
      <c r="H1731" s="321"/>
      <c r="I1731" s="315"/>
      <c r="J1731" s="316" t="str">
        <f t="shared" si="288"/>
        <v/>
      </c>
    </row>
    <row r="1732" spans="1:10" s="316" customFormat="1">
      <c r="A1732" s="321">
        <v>69</v>
      </c>
      <c r="B1732" s="295">
        <f t="shared" si="289"/>
        <v>57</v>
      </c>
      <c r="C1732" s="321">
        <v>2.4</v>
      </c>
      <c r="D1732" s="321" t="s">
        <v>114</v>
      </c>
      <c r="E1732" s="321">
        <v>30</v>
      </c>
      <c r="F1732" s="316">
        <f t="shared" si="287"/>
        <v>1.2</v>
      </c>
      <c r="G1732" s="321">
        <v>11.4</v>
      </c>
      <c r="H1732" s="321">
        <v>10.6</v>
      </c>
      <c r="I1732" s="315">
        <f t="shared" ref="I1732:I1736" si="306">G1732*(H1732^2)*0.5</f>
        <v>640.452</v>
      </c>
      <c r="J1732" s="316">
        <f t="shared" si="288"/>
        <v>5.9576930232558141</v>
      </c>
    </row>
    <row r="1733" spans="1:10" s="316" customFormat="1">
      <c r="A1733" s="321">
        <v>69</v>
      </c>
      <c r="B1733" s="295">
        <f t="shared" si="289"/>
        <v>57</v>
      </c>
      <c r="C1733" s="321">
        <v>2.5</v>
      </c>
      <c r="D1733" s="321" t="s">
        <v>113</v>
      </c>
      <c r="E1733" s="321">
        <v>32</v>
      </c>
      <c r="F1733" s="316">
        <f t="shared" si="287"/>
        <v>1.1851851851851851</v>
      </c>
      <c r="G1733" s="321">
        <v>7.3</v>
      </c>
      <c r="H1733" s="321">
        <v>7.2</v>
      </c>
      <c r="I1733" s="315">
        <f t="shared" si="306"/>
        <v>189.21600000000001</v>
      </c>
      <c r="J1733" s="316">
        <f t="shared" si="288"/>
        <v>1.1092377859328653</v>
      </c>
    </row>
    <row r="1734" spans="1:10" s="316" customFormat="1">
      <c r="A1734" s="321">
        <v>69</v>
      </c>
      <c r="B1734" s="295">
        <f t="shared" si="289"/>
        <v>57</v>
      </c>
      <c r="C1734" s="321">
        <v>3.1</v>
      </c>
      <c r="D1734" s="321" t="s">
        <v>115</v>
      </c>
      <c r="E1734" s="321">
        <v>28</v>
      </c>
      <c r="F1734" s="316">
        <f t="shared" si="287"/>
        <v>1.1666666666666667</v>
      </c>
      <c r="G1734" s="321">
        <v>7.1</v>
      </c>
      <c r="H1734" s="321">
        <v>6.6</v>
      </c>
      <c r="I1734" s="315">
        <f t="shared" si="306"/>
        <v>154.63799999999998</v>
      </c>
      <c r="J1734" s="316">
        <f t="shared" si="288"/>
        <v>0.85117930370166506</v>
      </c>
    </row>
    <row r="1735" spans="1:10" s="316" customFormat="1">
      <c r="A1735" s="321">
        <v>69</v>
      </c>
      <c r="B1735" s="295">
        <f t="shared" si="289"/>
        <v>57</v>
      </c>
      <c r="C1735" s="321">
        <v>3.2</v>
      </c>
      <c r="D1735" s="321" t="s">
        <v>113</v>
      </c>
      <c r="E1735" s="321">
        <v>36</v>
      </c>
      <c r="F1735" s="316">
        <f t="shared" si="287"/>
        <v>1.2</v>
      </c>
      <c r="G1735" s="321">
        <v>5.2</v>
      </c>
      <c r="H1735" s="321">
        <v>4.8</v>
      </c>
      <c r="I1735" s="315">
        <f t="shared" si="306"/>
        <v>59.903999999999996</v>
      </c>
      <c r="J1735" s="316">
        <f t="shared" si="288"/>
        <v>0.31216909159127859</v>
      </c>
    </row>
    <row r="1736" spans="1:10" s="316" customFormat="1">
      <c r="A1736" s="321">
        <v>69</v>
      </c>
      <c r="B1736" s="295">
        <f t="shared" si="289"/>
        <v>57</v>
      </c>
      <c r="C1736" s="321">
        <v>3.3</v>
      </c>
      <c r="D1736" s="321" t="s">
        <v>114</v>
      </c>
      <c r="E1736" s="321">
        <v>29</v>
      </c>
      <c r="F1736" s="316">
        <f t="shared" si="287"/>
        <v>1.1599999999999999</v>
      </c>
      <c r="G1736" s="321">
        <v>14.5</v>
      </c>
      <c r="H1736" s="321">
        <v>12.1</v>
      </c>
      <c r="I1736" s="315">
        <f t="shared" si="306"/>
        <v>1061.4725000000001</v>
      </c>
      <c r="J1736" s="316">
        <f t="shared" si="288"/>
        <v>5.1577866861030124</v>
      </c>
    </row>
    <row r="1737" spans="1:10" s="316" customFormat="1">
      <c r="A1737" s="321">
        <v>69</v>
      </c>
      <c r="B1737" s="295">
        <f t="shared" si="289"/>
        <v>57</v>
      </c>
      <c r="C1737" s="321">
        <v>3.4</v>
      </c>
      <c r="D1737" s="321" t="s">
        <v>114</v>
      </c>
      <c r="E1737" s="321"/>
      <c r="F1737" s="316" t="str">
        <f t="shared" ref="F1737:F1800" si="307">IF(ISBLANK(E1737),"",E1737/SUMIFS(E:E,C:C,C1737,B:B,"0"))</f>
        <v/>
      </c>
      <c r="G1737" s="321"/>
      <c r="H1737" s="321"/>
      <c r="I1737" s="315"/>
      <c r="J1737" s="316" t="str">
        <f t="shared" ref="J1737:J1800" si="308">IF(ISBLANK(I1737),"",I1737/SUMIFS(I:I,C:C,C1737,B:B,"0"))</f>
        <v/>
      </c>
    </row>
    <row r="1738" spans="1:10" s="316" customFormat="1">
      <c r="A1738" s="321">
        <v>69</v>
      </c>
      <c r="B1738" s="295">
        <f t="shared" ref="B1738:B1801" si="309">A1738-12</f>
        <v>57</v>
      </c>
      <c r="C1738" s="321">
        <v>3.5</v>
      </c>
      <c r="D1738" s="321" t="s">
        <v>115</v>
      </c>
      <c r="E1738" s="321"/>
      <c r="F1738" s="316" t="str">
        <f t="shared" si="307"/>
        <v/>
      </c>
      <c r="G1738" s="321"/>
      <c r="H1738" s="321"/>
      <c r="I1738" s="315"/>
      <c r="J1738" s="316" t="str">
        <f t="shared" si="308"/>
        <v/>
      </c>
    </row>
    <row r="1739" spans="1:10" s="316" customFormat="1">
      <c r="A1739" s="321">
        <v>69</v>
      </c>
      <c r="B1739" s="295">
        <f t="shared" si="309"/>
        <v>57</v>
      </c>
      <c r="C1739" s="321">
        <v>4.0999999999999996</v>
      </c>
      <c r="D1739" s="321" t="s">
        <v>111</v>
      </c>
      <c r="E1739" s="321"/>
      <c r="F1739" s="316" t="str">
        <f t="shared" si="307"/>
        <v/>
      </c>
      <c r="G1739" s="321"/>
      <c r="H1739" s="321"/>
      <c r="I1739" s="315"/>
      <c r="J1739" s="316" t="str">
        <f t="shared" si="308"/>
        <v/>
      </c>
    </row>
    <row r="1740" spans="1:10" s="316" customFormat="1">
      <c r="A1740" s="321">
        <v>69</v>
      </c>
      <c r="B1740" s="295">
        <f t="shared" si="309"/>
        <v>57</v>
      </c>
      <c r="C1740" s="321">
        <v>4.2</v>
      </c>
      <c r="D1740" s="321" t="s">
        <v>112</v>
      </c>
      <c r="E1740" s="321"/>
      <c r="F1740" s="316" t="str">
        <f t="shared" si="307"/>
        <v/>
      </c>
      <c r="G1740" s="321"/>
      <c r="H1740" s="321"/>
      <c r="I1740" s="315"/>
      <c r="J1740" s="316" t="str">
        <f t="shared" si="308"/>
        <v/>
      </c>
    </row>
    <row r="1741" spans="1:10" s="316" customFormat="1">
      <c r="A1741" s="321">
        <v>69</v>
      </c>
      <c r="B1741" s="295">
        <f t="shared" si="309"/>
        <v>57</v>
      </c>
      <c r="C1741" s="321">
        <v>4.3</v>
      </c>
      <c r="D1741" s="321" t="s">
        <v>113</v>
      </c>
      <c r="E1741" s="321">
        <v>31</v>
      </c>
      <c r="F1741" s="316">
        <f t="shared" si="307"/>
        <v>1.1923076923076923</v>
      </c>
      <c r="G1741" s="321">
        <v>10.9</v>
      </c>
      <c r="H1741" s="321">
        <v>10.6</v>
      </c>
      <c r="I1741" s="315">
        <f t="shared" ref="I1741" si="310">G1741*(H1741^2)*0.5</f>
        <v>612.36199999999997</v>
      </c>
      <c r="J1741" s="316">
        <f t="shared" si="308"/>
        <v>4.3971306295955879</v>
      </c>
    </row>
    <row r="1742" spans="1:10" s="316" customFormat="1">
      <c r="A1742" s="321">
        <v>69</v>
      </c>
      <c r="B1742" s="295">
        <f t="shared" si="309"/>
        <v>57</v>
      </c>
      <c r="C1742" s="321">
        <v>4.4000000000000004</v>
      </c>
      <c r="D1742" s="321" t="s">
        <v>112</v>
      </c>
      <c r="E1742" s="321"/>
      <c r="F1742" s="316" t="str">
        <f t="shared" si="307"/>
        <v/>
      </c>
      <c r="G1742" s="321"/>
      <c r="H1742" s="321"/>
      <c r="I1742" s="315"/>
      <c r="J1742" s="316" t="str">
        <f t="shared" si="308"/>
        <v/>
      </c>
    </row>
    <row r="1743" spans="1:10" s="316" customFormat="1">
      <c r="A1743" s="321">
        <v>69</v>
      </c>
      <c r="B1743" s="295">
        <f t="shared" si="309"/>
        <v>57</v>
      </c>
      <c r="C1743" s="321">
        <v>4.5</v>
      </c>
      <c r="D1743" s="321" t="s">
        <v>112</v>
      </c>
      <c r="E1743" s="321"/>
      <c r="F1743" s="316" t="str">
        <f t="shared" si="307"/>
        <v/>
      </c>
      <c r="G1743" s="321"/>
      <c r="H1743" s="321"/>
      <c r="I1743" s="315"/>
      <c r="J1743" s="316" t="str">
        <f t="shared" si="308"/>
        <v/>
      </c>
    </row>
    <row r="1744" spans="1:10" s="316" customFormat="1">
      <c r="A1744" s="321">
        <v>69</v>
      </c>
      <c r="B1744" s="295">
        <f t="shared" si="309"/>
        <v>57</v>
      </c>
      <c r="C1744" s="321">
        <v>5.0999999999999996</v>
      </c>
      <c r="D1744" s="321" t="s">
        <v>113</v>
      </c>
      <c r="E1744" s="321">
        <v>25</v>
      </c>
      <c r="F1744" s="316">
        <f t="shared" si="307"/>
        <v>1.0416666666666667</v>
      </c>
      <c r="G1744" s="321">
        <v>8.1999999999999993</v>
      </c>
      <c r="H1744" s="321">
        <v>8.1</v>
      </c>
      <c r="I1744" s="315">
        <f t="shared" ref="I1744" si="311">G1744*(H1744^2)*0.5</f>
        <v>269.00099999999998</v>
      </c>
      <c r="J1744" s="316">
        <f t="shared" si="308"/>
        <v>1.6195805964128527</v>
      </c>
    </row>
    <row r="1745" spans="1:10" s="316" customFormat="1">
      <c r="A1745" s="321">
        <v>69</v>
      </c>
      <c r="B1745" s="295">
        <f t="shared" si="309"/>
        <v>57</v>
      </c>
      <c r="C1745" s="321">
        <v>5.2</v>
      </c>
      <c r="D1745" s="321" t="s">
        <v>114</v>
      </c>
      <c r="E1745" s="321"/>
      <c r="F1745" s="316" t="str">
        <f t="shared" si="307"/>
        <v/>
      </c>
      <c r="G1745" s="321"/>
      <c r="H1745" s="321"/>
      <c r="I1745" s="315"/>
      <c r="J1745" s="316" t="str">
        <f t="shared" si="308"/>
        <v/>
      </c>
    </row>
    <row r="1746" spans="1:10" s="316" customFormat="1">
      <c r="A1746" s="321">
        <v>69</v>
      </c>
      <c r="B1746" s="295">
        <f t="shared" si="309"/>
        <v>57</v>
      </c>
      <c r="C1746" s="321">
        <v>5.3</v>
      </c>
      <c r="D1746" s="321" t="s">
        <v>112</v>
      </c>
      <c r="E1746" s="321"/>
      <c r="F1746" s="316" t="str">
        <f t="shared" si="307"/>
        <v/>
      </c>
      <c r="G1746" s="321"/>
      <c r="H1746" s="321"/>
      <c r="I1746" s="315"/>
      <c r="J1746" s="316" t="str">
        <f t="shared" si="308"/>
        <v/>
      </c>
    </row>
    <row r="1747" spans="1:10" s="316" customFormat="1">
      <c r="A1747" s="321">
        <v>69</v>
      </c>
      <c r="B1747" s="295">
        <f t="shared" si="309"/>
        <v>57</v>
      </c>
      <c r="C1747" s="321">
        <v>5.4</v>
      </c>
      <c r="D1747" s="321" t="s">
        <v>113</v>
      </c>
      <c r="E1747" s="321"/>
      <c r="F1747" s="316" t="str">
        <f t="shared" si="307"/>
        <v/>
      </c>
      <c r="G1747" s="321"/>
      <c r="H1747" s="321"/>
      <c r="I1747" s="315"/>
      <c r="J1747" s="316" t="str">
        <f t="shared" si="308"/>
        <v/>
      </c>
    </row>
    <row r="1748" spans="1:10" s="316" customFormat="1">
      <c r="A1748" s="321">
        <v>69</v>
      </c>
      <c r="B1748" s="295">
        <f t="shared" si="309"/>
        <v>57</v>
      </c>
      <c r="C1748" s="321">
        <v>5.5</v>
      </c>
      <c r="D1748" s="321" t="s">
        <v>114</v>
      </c>
      <c r="E1748" s="321"/>
      <c r="F1748" s="316" t="str">
        <f t="shared" si="307"/>
        <v/>
      </c>
      <c r="G1748" s="321"/>
      <c r="H1748" s="321"/>
      <c r="I1748" s="315"/>
      <c r="J1748" s="316" t="str">
        <f t="shared" si="308"/>
        <v/>
      </c>
    </row>
    <row r="1749" spans="1:10" s="316" customFormat="1">
      <c r="A1749" s="321">
        <v>69</v>
      </c>
      <c r="B1749" s="295">
        <f t="shared" si="309"/>
        <v>57</v>
      </c>
      <c r="C1749" s="321">
        <v>6.1</v>
      </c>
      <c r="D1749" s="321" t="s">
        <v>115</v>
      </c>
      <c r="E1749" s="321">
        <v>30</v>
      </c>
      <c r="F1749" s="316">
        <f t="shared" si="307"/>
        <v>1.2</v>
      </c>
      <c r="G1749" s="321">
        <v>17.2</v>
      </c>
      <c r="H1749" s="321">
        <v>11.1</v>
      </c>
      <c r="I1749" s="315">
        <f t="shared" ref="I1749" si="312">G1749*(H1749^2)*0.5</f>
        <v>1059.606</v>
      </c>
      <c r="J1749" s="316">
        <f t="shared" si="308"/>
        <v>7.875769287944105</v>
      </c>
    </row>
    <row r="1750" spans="1:10" s="316" customFormat="1">
      <c r="A1750" s="321">
        <v>69</v>
      </c>
      <c r="B1750" s="295">
        <f t="shared" si="309"/>
        <v>57</v>
      </c>
      <c r="C1750" s="321">
        <v>6.2</v>
      </c>
      <c r="D1750" s="321" t="s">
        <v>115</v>
      </c>
      <c r="E1750" s="321"/>
      <c r="F1750" s="316" t="str">
        <f t="shared" si="307"/>
        <v/>
      </c>
      <c r="G1750" s="321"/>
      <c r="H1750" s="321"/>
      <c r="I1750" s="315"/>
      <c r="J1750" s="316" t="str">
        <f t="shared" si="308"/>
        <v/>
      </c>
    </row>
    <row r="1751" spans="1:10" s="316" customFormat="1">
      <c r="A1751" s="321">
        <v>69</v>
      </c>
      <c r="B1751" s="295">
        <f t="shared" si="309"/>
        <v>57</v>
      </c>
      <c r="C1751" s="321">
        <v>6.3</v>
      </c>
      <c r="D1751" s="321" t="s">
        <v>114</v>
      </c>
      <c r="E1751" s="321"/>
      <c r="F1751" s="316" t="str">
        <f t="shared" si="307"/>
        <v/>
      </c>
      <c r="G1751" s="321"/>
      <c r="H1751" s="321"/>
      <c r="I1751" s="315"/>
      <c r="J1751" s="316" t="str">
        <f t="shared" si="308"/>
        <v/>
      </c>
    </row>
    <row r="1752" spans="1:10" s="316" customFormat="1">
      <c r="A1752" s="321">
        <v>69</v>
      </c>
      <c r="B1752" s="295">
        <f t="shared" si="309"/>
        <v>57</v>
      </c>
      <c r="C1752" s="321">
        <v>6.4</v>
      </c>
      <c r="D1752" s="321" t="s">
        <v>112</v>
      </c>
      <c r="E1752" s="321"/>
      <c r="F1752" s="316" t="str">
        <f t="shared" si="307"/>
        <v/>
      </c>
      <c r="G1752" s="321"/>
      <c r="H1752" s="321"/>
      <c r="I1752" s="315"/>
      <c r="J1752" s="316" t="str">
        <f t="shared" si="308"/>
        <v/>
      </c>
    </row>
    <row r="1753" spans="1:10" s="316" customFormat="1">
      <c r="A1753" s="321">
        <v>69</v>
      </c>
      <c r="B1753" s="295">
        <f t="shared" si="309"/>
        <v>57</v>
      </c>
      <c r="C1753" s="321">
        <v>6.5</v>
      </c>
      <c r="D1753" s="321" t="s">
        <v>113</v>
      </c>
      <c r="E1753" s="321"/>
      <c r="F1753" s="316" t="str">
        <f t="shared" si="307"/>
        <v/>
      </c>
      <c r="G1753" s="321"/>
      <c r="H1753" s="321"/>
      <c r="I1753" s="315"/>
      <c r="J1753" s="316" t="str">
        <f t="shared" si="308"/>
        <v/>
      </c>
    </row>
    <row r="1754" spans="1:10" s="316" customFormat="1">
      <c r="A1754" s="321">
        <v>69</v>
      </c>
      <c r="B1754" s="295">
        <f t="shared" si="309"/>
        <v>57</v>
      </c>
      <c r="C1754" s="321">
        <v>7.1</v>
      </c>
      <c r="D1754" s="321" t="s">
        <v>114</v>
      </c>
      <c r="E1754" s="321">
        <v>33</v>
      </c>
      <c r="F1754" s="316">
        <f t="shared" si="307"/>
        <v>1.2222222222222223</v>
      </c>
      <c r="G1754" s="321">
        <v>13.2</v>
      </c>
      <c r="H1754" s="321">
        <v>11.7</v>
      </c>
      <c r="I1754" s="315">
        <f t="shared" ref="I1754" si="313">G1754*(H1754^2)*0.5</f>
        <v>903.47399999999982</v>
      </c>
      <c r="J1754" s="316">
        <f t="shared" si="308"/>
        <v>6.6923999999999984</v>
      </c>
    </row>
    <row r="1755" spans="1:10" s="316" customFormat="1">
      <c r="A1755" s="321">
        <v>69</v>
      </c>
      <c r="B1755" s="295">
        <f t="shared" si="309"/>
        <v>57</v>
      </c>
      <c r="C1755" s="321">
        <v>7.2</v>
      </c>
      <c r="D1755" s="321" t="s">
        <v>111</v>
      </c>
      <c r="E1755" s="321"/>
      <c r="F1755" s="316" t="str">
        <f t="shared" si="307"/>
        <v/>
      </c>
      <c r="G1755" s="321"/>
      <c r="H1755" s="321"/>
      <c r="I1755" s="315"/>
      <c r="J1755" s="316" t="str">
        <f t="shared" si="308"/>
        <v/>
      </c>
    </row>
    <row r="1756" spans="1:10" s="316" customFormat="1">
      <c r="A1756" s="321">
        <v>69</v>
      </c>
      <c r="B1756" s="295">
        <f t="shared" si="309"/>
        <v>57</v>
      </c>
      <c r="C1756" s="321">
        <v>7.3</v>
      </c>
      <c r="D1756" s="321" t="s">
        <v>113</v>
      </c>
      <c r="E1756" s="321">
        <v>30</v>
      </c>
      <c r="F1756" s="316">
        <f t="shared" si="307"/>
        <v>1.1111111111111112</v>
      </c>
      <c r="G1756" s="321">
        <v>4.4000000000000004</v>
      </c>
      <c r="H1756" s="321">
        <v>3.4</v>
      </c>
      <c r="I1756" s="315">
        <f t="shared" ref="I1756" si="314">G1756*(H1756^2)*0.5</f>
        <v>25.431999999999999</v>
      </c>
      <c r="J1756" s="316">
        <f t="shared" si="308"/>
        <v>0.17799053777889756</v>
      </c>
    </row>
    <row r="1757" spans="1:10" s="316" customFormat="1">
      <c r="A1757" s="321">
        <v>69</v>
      </c>
      <c r="B1757" s="295">
        <f t="shared" si="309"/>
        <v>57</v>
      </c>
      <c r="C1757" s="321">
        <v>7.4</v>
      </c>
      <c r="D1757" s="321" t="s">
        <v>115</v>
      </c>
      <c r="E1757" s="321"/>
      <c r="F1757" s="316" t="str">
        <f t="shared" si="307"/>
        <v/>
      </c>
      <c r="G1757" s="321"/>
      <c r="H1757" s="321"/>
      <c r="I1757" s="315"/>
      <c r="J1757" s="316" t="str">
        <f t="shared" si="308"/>
        <v/>
      </c>
    </row>
    <row r="1758" spans="1:10" s="316" customFormat="1">
      <c r="A1758" s="321">
        <v>69</v>
      </c>
      <c r="B1758" s="295">
        <f t="shared" si="309"/>
        <v>57</v>
      </c>
      <c r="C1758" s="321">
        <v>7.5</v>
      </c>
      <c r="D1758" s="321" t="s">
        <v>111</v>
      </c>
      <c r="E1758" s="321"/>
      <c r="F1758" s="316" t="str">
        <f t="shared" si="307"/>
        <v/>
      </c>
      <c r="G1758" s="321"/>
      <c r="H1758" s="321"/>
      <c r="I1758" s="315"/>
      <c r="J1758" s="316" t="str">
        <f t="shared" si="308"/>
        <v/>
      </c>
    </row>
    <row r="1759" spans="1:10" s="316" customFormat="1">
      <c r="A1759" s="321">
        <v>71</v>
      </c>
      <c r="B1759" s="295">
        <f t="shared" si="309"/>
        <v>59</v>
      </c>
      <c r="C1759" s="321">
        <v>1.1000000000000001</v>
      </c>
      <c r="D1759" s="321" t="s">
        <v>112</v>
      </c>
      <c r="E1759" s="321"/>
      <c r="F1759" s="316" t="str">
        <f t="shared" si="307"/>
        <v/>
      </c>
      <c r="G1759" s="321"/>
      <c r="H1759" s="321"/>
      <c r="I1759" s="315"/>
      <c r="J1759" s="316" t="str">
        <f t="shared" si="308"/>
        <v/>
      </c>
    </row>
    <row r="1760" spans="1:10" s="316" customFormat="1">
      <c r="A1760" s="321">
        <v>71</v>
      </c>
      <c r="B1760" s="295">
        <f t="shared" si="309"/>
        <v>59</v>
      </c>
      <c r="C1760" s="321">
        <v>1.2</v>
      </c>
      <c r="D1760" s="321" t="s">
        <v>113</v>
      </c>
      <c r="E1760" s="321">
        <v>30</v>
      </c>
      <c r="F1760" s="316">
        <f t="shared" si="307"/>
        <v>1.1111111111111112</v>
      </c>
      <c r="G1760" s="321">
        <v>4.8</v>
      </c>
      <c r="H1760" s="321">
        <v>3.9</v>
      </c>
      <c r="I1760" s="315">
        <f t="shared" ref="I1760" si="315">G1760*(H1760^2)*0.5</f>
        <v>36.503999999999998</v>
      </c>
      <c r="J1760" s="316">
        <f t="shared" si="308"/>
        <v>0.17449205670131426</v>
      </c>
    </row>
    <row r="1761" spans="1:10" s="316" customFormat="1">
      <c r="A1761" s="321">
        <v>71</v>
      </c>
      <c r="B1761" s="295">
        <f t="shared" si="309"/>
        <v>59</v>
      </c>
      <c r="C1761" s="321">
        <v>1.3</v>
      </c>
      <c r="D1761" s="321" t="s">
        <v>115</v>
      </c>
      <c r="E1761" s="321"/>
      <c r="F1761" s="316" t="str">
        <f t="shared" si="307"/>
        <v/>
      </c>
      <c r="G1761" s="321"/>
      <c r="H1761" s="321"/>
      <c r="I1761" s="315"/>
      <c r="J1761" s="316" t="str">
        <f t="shared" si="308"/>
        <v/>
      </c>
    </row>
    <row r="1762" spans="1:10" s="316" customFormat="1">
      <c r="A1762" s="321">
        <v>71</v>
      </c>
      <c r="B1762" s="295">
        <f t="shared" si="309"/>
        <v>59</v>
      </c>
      <c r="C1762" s="321">
        <v>1.4</v>
      </c>
      <c r="D1762" s="321" t="s">
        <v>115</v>
      </c>
      <c r="E1762" s="321"/>
      <c r="F1762" s="316" t="str">
        <f t="shared" si="307"/>
        <v/>
      </c>
      <c r="G1762" s="321"/>
      <c r="H1762" s="321"/>
      <c r="I1762" s="315"/>
      <c r="J1762" s="316" t="str">
        <f t="shared" si="308"/>
        <v/>
      </c>
    </row>
    <row r="1763" spans="1:10" s="316" customFormat="1">
      <c r="A1763" s="321">
        <v>71</v>
      </c>
      <c r="B1763" s="295">
        <f t="shared" si="309"/>
        <v>59</v>
      </c>
      <c r="C1763" s="321">
        <v>1.5</v>
      </c>
      <c r="D1763" s="321" t="s">
        <v>112</v>
      </c>
      <c r="E1763" s="321">
        <v>29</v>
      </c>
      <c r="F1763" s="316">
        <f t="shared" si="307"/>
        <v>1.0357142857142858</v>
      </c>
      <c r="G1763" s="321">
        <v>13.6</v>
      </c>
      <c r="H1763" s="321">
        <v>12.8</v>
      </c>
      <c r="I1763" s="315">
        <f t="shared" ref="I1763:I1764" si="316">G1763*(H1763^2)*0.5</f>
        <v>1114.1120000000001</v>
      </c>
      <c r="J1763" s="316">
        <f t="shared" si="308"/>
        <v>8</v>
      </c>
    </row>
    <row r="1764" spans="1:10" s="316" customFormat="1">
      <c r="A1764" s="321">
        <v>71</v>
      </c>
      <c r="B1764" s="295">
        <f t="shared" si="309"/>
        <v>59</v>
      </c>
      <c r="C1764" s="321">
        <v>2.1</v>
      </c>
      <c r="D1764" s="321" t="s">
        <v>114</v>
      </c>
      <c r="E1764" s="321">
        <v>32</v>
      </c>
      <c r="F1764" s="316">
        <f t="shared" si="307"/>
        <v>1.2307692307692308</v>
      </c>
      <c r="G1764" s="321">
        <v>14.1</v>
      </c>
      <c r="H1764" s="321">
        <v>12.7</v>
      </c>
      <c r="I1764" s="315">
        <f t="shared" si="316"/>
        <v>1137.0944999999999</v>
      </c>
      <c r="J1764" s="316">
        <f t="shared" si="308"/>
        <v>6.0464613593038354</v>
      </c>
    </row>
    <row r="1765" spans="1:10" s="316" customFormat="1">
      <c r="A1765" s="321">
        <v>71</v>
      </c>
      <c r="B1765" s="295">
        <f t="shared" si="309"/>
        <v>59</v>
      </c>
      <c r="C1765" s="321">
        <v>2.2000000000000002</v>
      </c>
      <c r="D1765" s="321" t="s">
        <v>115</v>
      </c>
      <c r="E1765" s="321"/>
      <c r="F1765" s="316" t="str">
        <f t="shared" si="307"/>
        <v/>
      </c>
      <c r="G1765" s="321"/>
      <c r="H1765" s="321"/>
      <c r="I1765" s="315"/>
      <c r="J1765" s="316" t="str">
        <f t="shared" si="308"/>
        <v/>
      </c>
    </row>
    <row r="1766" spans="1:10" s="316" customFormat="1">
      <c r="A1766" s="321">
        <v>71</v>
      </c>
      <c r="B1766" s="295">
        <f t="shared" si="309"/>
        <v>59</v>
      </c>
      <c r="C1766" s="321">
        <v>2.2999999999999998</v>
      </c>
      <c r="D1766" s="321" t="s">
        <v>112</v>
      </c>
      <c r="E1766" s="321"/>
      <c r="F1766" s="316" t="str">
        <f t="shared" si="307"/>
        <v/>
      </c>
      <c r="G1766" s="321"/>
      <c r="H1766" s="321"/>
      <c r="I1766" s="315"/>
      <c r="J1766" s="316" t="str">
        <f t="shared" si="308"/>
        <v/>
      </c>
    </row>
    <row r="1767" spans="1:10" s="316" customFormat="1">
      <c r="A1767" s="321">
        <v>71</v>
      </c>
      <c r="B1767" s="295">
        <f t="shared" si="309"/>
        <v>59</v>
      </c>
      <c r="C1767" s="321">
        <v>2.4</v>
      </c>
      <c r="D1767" s="321" t="s">
        <v>114</v>
      </c>
      <c r="E1767" s="321">
        <v>29</v>
      </c>
      <c r="F1767" s="316">
        <f t="shared" si="307"/>
        <v>1.1599999999999999</v>
      </c>
      <c r="G1767" s="321">
        <v>13.4</v>
      </c>
      <c r="H1767" s="321">
        <v>11.8</v>
      </c>
      <c r="I1767" s="315">
        <f t="shared" ref="I1767:I1771" si="317">G1767*(H1767^2)*0.5</f>
        <v>932.90800000000013</v>
      </c>
      <c r="J1767" s="316">
        <f t="shared" si="308"/>
        <v>8.678213953488374</v>
      </c>
    </row>
    <row r="1768" spans="1:10" s="316" customFormat="1">
      <c r="A1768" s="321">
        <v>71</v>
      </c>
      <c r="B1768" s="295">
        <f t="shared" si="309"/>
        <v>59</v>
      </c>
      <c r="C1768" s="321">
        <v>2.5</v>
      </c>
      <c r="D1768" s="321" t="s">
        <v>113</v>
      </c>
      <c r="E1768" s="321">
        <v>31</v>
      </c>
      <c r="F1768" s="316">
        <f t="shared" si="307"/>
        <v>1.1481481481481481</v>
      </c>
      <c r="G1768" s="321">
        <v>8.4</v>
      </c>
      <c r="H1768" s="321">
        <v>7.3</v>
      </c>
      <c r="I1768" s="315">
        <f t="shared" si="317"/>
        <v>223.81800000000001</v>
      </c>
      <c r="J1768" s="316">
        <f t="shared" si="308"/>
        <v>1.3120845106752179</v>
      </c>
    </row>
    <row r="1769" spans="1:10" s="316" customFormat="1">
      <c r="A1769" s="321">
        <v>71</v>
      </c>
      <c r="B1769" s="295">
        <f t="shared" si="309"/>
        <v>59</v>
      </c>
      <c r="C1769" s="321">
        <v>3.1</v>
      </c>
      <c r="D1769" s="321" t="s">
        <v>115</v>
      </c>
      <c r="E1769" s="321">
        <v>28</v>
      </c>
      <c r="F1769" s="316">
        <f t="shared" si="307"/>
        <v>1.1666666666666667</v>
      </c>
      <c r="G1769" s="321">
        <v>7.8</v>
      </c>
      <c r="H1769" s="321">
        <v>7.3</v>
      </c>
      <c r="I1769" s="315">
        <f t="shared" si="317"/>
        <v>207.83099999999999</v>
      </c>
      <c r="J1769" s="316">
        <f t="shared" si="308"/>
        <v>1.1439713774597495</v>
      </c>
    </row>
    <row r="1770" spans="1:10" s="316" customFormat="1">
      <c r="A1770" s="321">
        <v>71</v>
      </c>
      <c r="B1770" s="295">
        <f t="shared" si="309"/>
        <v>59</v>
      </c>
      <c r="C1770" s="321">
        <v>3.2</v>
      </c>
      <c r="D1770" s="321" t="s">
        <v>113</v>
      </c>
      <c r="E1770" s="321">
        <v>34</v>
      </c>
      <c r="F1770" s="316">
        <f t="shared" si="307"/>
        <v>1.1333333333333333</v>
      </c>
      <c r="G1770" s="321">
        <v>5.5</v>
      </c>
      <c r="H1770" s="321">
        <v>4.5999999999999996</v>
      </c>
      <c r="I1770" s="315">
        <f t="shared" si="317"/>
        <v>58.189999999999991</v>
      </c>
      <c r="J1770" s="316">
        <f t="shared" si="308"/>
        <v>0.30323717013382245</v>
      </c>
    </row>
    <row r="1771" spans="1:10" s="316" customFormat="1">
      <c r="A1771" s="321">
        <v>71</v>
      </c>
      <c r="B1771" s="295">
        <f t="shared" si="309"/>
        <v>59</v>
      </c>
      <c r="C1771" s="321">
        <v>3.3</v>
      </c>
      <c r="D1771" s="321" t="s">
        <v>114</v>
      </c>
      <c r="E1771" s="321">
        <v>28</v>
      </c>
      <c r="F1771" s="316">
        <f t="shared" si="307"/>
        <v>1.1200000000000001</v>
      </c>
      <c r="G1771" s="321">
        <v>13.8</v>
      </c>
      <c r="H1771" s="321">
        <v>12.6</v>
      </c>
      <c r="I1771" s="315">
        <f t="shared" si="317"/>
        <v>1095.444</v>
      </c>
      <c r="J1771" s="316">
        <f t="shared" si="308"/>
        <v>5.3228571428571421</v>
      </c>
    </row>
    <row r="1772" spans="1:10" s="316" customFormat="1">
      <c r="A1772" s="321">
        <v>71</v>
      </c>
      <c r="B1772" s="295">
        <f t="shared" si="309"/>
        <v>59</v>
      </c>
      <c r="C1772" s="321">
        <v>3.4</v>
      </c>
      <c r="D1772" s="321" t="s">
        <v>114</v>
      </c>
      <c r="E1772" s="321"/>
      <c r="F1772" s="316" t="str">
        <f t="shared" si="307"/>
        <v/>
      </c>
      <c r="G1772" s="321"/>
      <c r="H1772" s="321"/>
      <c r="I1772" s="315"/>
      <c r="J1772" s="316" t="str">
        <f t="shared" si="308"/>
        <v/>
      </c>
    </row>
    <row r="1773" spans="1:10" s="316" customFormat="1">
      <c r="A1773" s="321">
        <v>71</v>
      </c>
      <c r="B1773" s="295">
        <f t="shared" si="309"/>
        <v>59</v>
      </c>
      <c r="C1773" s="321">
        <v>3.5</v>
      </c>
      <c r="D1773" s="321" t="s">
        <v>115</v>
      </c>
      <c r="E1773" s="321"/>
      <c r="F1773" s="316" t="str">
        <f t="shared" si="307"/>
        <v/>
      </c>
      <c r="G1773" s="321"/>
      <c r="H1773" s="321"/>
      <c r="I1773" s="315"/>
      <c r="J1773" s="316" t="str">
        <f t="shared" si="308"/>
        <v/>
      </c>
    </row>
    <row r="1774" spans="1:10" s="316" customFormat="1">
      <c r="A1774" s="321">
        <v>71</v>
      </c>
      <c r="B1774" s="295">
        <f t="shared" si="309"/>
        <v>59</v>
      </c>
      <c r="C1774" s="321">
        <v>4.0999999999999996</v>
      </c>
      <c r="D1774" s="321" t="s">
        <v>111</v>
      </c>
      <c r="E1774" s="321"/>
      <c r="F1774" s="316" t="str">
        <f t="shared" si="307"/>
        <v/>
      </c>
      <c r="G1774" s="321"/>
      <c r="H1774" s="321"/>
      <c r="I1774" s="315"/>
      <c r="J1774" s="316" t="str">
        <f t="shared" si="308"/>
        <v/>
      </c>
    </row>
    <row r="1775" spans="1:10" s="316" customFormat="1">
      <c r="A1775" s="321">
        <v>71</v>
      </c>
      <c r="B1775" s="295">
        <f t="shared" si="309"/>
        <v>59</v>
      </c>
      <c r="C1775" s="321">
        <v>4.2</v>
      </c>
      <c r="D1775" s="321" t="s">
        <v>112</v>
      </c>
      <c r="E1775" s="321"/>
      <c r="F1775" s="316" t="str">
        <f t="shared" si="307"/>
        <v/>
      </c>
      <c r="G1775" s="321"/>
      <c r="H1775" s="321"/>
      <c r="I1775" s="315"/>
      <c r="J1775" s="316" t="str">
        <f t="shared" si="308"/>
        <v/>
      </c>
    </row>
    <row r="1776" spans="1:10" s="316" customFormat="1">
      <c r="A1776" s="321">
        <v>71</v>
      </c>
      <c r="B1776" s="295">
        <f t="shared" si="309"/>
        <v>59</v>
      </c>
      <c r="C1776" s="321">
        <v>4.3</v>
      </c>
      <c r="D1776" s="321" t="s">
        <v>113</v>
      </c>
      <c r="E1776" s="321">
        <v>30</v>
      </c>
      <c r="F1776" s="316">
        <f t="shared" si="307"/>
        <v>1.1538461538461537</v>
      </c>
      <c r="G1776" s="321">
        <v>11.8</v>
      </c>
      <c r="H1776" s="321">
        <v>10.199999999999999</v>
      </c>
      <c r="I1776" s="315">
        <f t="shared" ref="I1776" si="318">G1776*(H1776^2)*0.5</f>
        <v>613.83600000000001</v>
      </c>
      <c r="J1776" s="316">
        <f t="shared" si="308"/>
        <v>4.40771484375</v>
      </c>
    </row>
    <row r="1777" spans="1:10" s="316" customFormat="1">
      <c r="A1777" s="321">
        <v>71</v>
      </c>
      <c r="B1777" s="295">
        <f t="shared" si="309"/>
        <v>59</v>
      </c>
      <c r="C1777" s="321">
        <v>4.4000000000000004</v>
      </c>
      <c r="D1777" s="321" t="s">
        <v>112</v>
      </c>
      <c r="E1777" s="321"/>
      <c r="F1777" s="316" t="str">
        <f t="shared" si="307"/>
        <v/>
      </c>
      <c r="G1777" s="321"/>
      <c r="H1777" s="321"/>
      <c r="I1777" s="315"/>
      <c r="J1777" s="316" t="str">
        <f t="shared" si="308"/>
        <v/>
      </c>
    </row>
    <row r="1778" spans="1:10" s="316" customFormat="1">
      <c r="A1778" s="321">
        <v>71</v>
      </c>
      <c r="B1778" s="295">
        <f t="shared" si="309"/>
        <v>59</v>
      </c>
      <c r="C1778" s="321">
        <v>4.5</v>
      </c>
      <c r="D1778" s="321" t="s">
        <v>112</v>
      </c>
      <c r="E1778" s="321"/>
      <c r="F1778" s="316" t="str">
        <f t="shared" si="307"/>
        <v/>
      </c>
      <c r="G1778" s="321"/>
      <c r="H1778" s="321"/>
      <c r="I1778" s="315"/>
      <c r="J1778" s="316" t="str">
        <f t="shared" si="308"/>
        <v/>
      </c>
    </row>
    <row r="1779" spans="1:10" s="316" customFormat="1">
      <c r="A1779" s="321">
        <v>71</v>
      </c>
      <c r="B1779" s="295">
        <f t="shared" si="309"/>
        <v>59</v>
      </c>
      <c r="C1779" s="321">
        <v>5.0999999999999996</v>
      </c>
      <c r="D1779" s="321" t="s">
        <v>113</v>
      </c>
      <c r="E1779" s="321">
        <v>25</v>
      </c>
      <c r="F1779" s="316">
        <f t="shared" si="307"/>
        <v>1.0416666666666667</v>
      </c>
      <c r="G1779" s="321">
        <v>10.199999999999999</v>
      </c>
      <c r="H1779" s="321">
        <v>8.6</v>
      </c>
      <c r="I1779" s="315">
        <f t="shared" ref="I1779" si="319">G1779*(H1779^2)*0.5</f>
        <v>377.19599999999997</v>
      </c>
      <c r="J1779" s="316">
        <f t="shared" si="308"/>
        <v>2.2709927570698341</v>
      </c>
    </row>
    <row r="1780" spans="1:10" s="316" customFormat="1">
      <c r="A1780" s="321">
        <v>71</v>
      </c>
      <c r="B1780" s="295">
        <f t="shared" si="309"/>
        <v>59</v>
      </c>
      <c r="C1780" s="321">
        <v>5.2</v>
      </c>
      <c r="D1780" s="321" t="s">
        <v>114</v>
      </c>
      <c r="E1780" s="321"/>
      <c r="F1780" s="316" t="str">
        <f t="shared" si="307"/>
        <v/>
      </c>
      <c r="G1780" s="321"/>
      <c r="H1780" s="321"/>
      <c r="I1780" s="315"/>
      <c r="J1780" s="316" t="str">
        <f t="shared" si="308"/>
        <v/>
      </c>
    </row>
    <row r="1781" spans="1:10" s="316" customFormat="1">
      <c r="A1781" s="321">
        <v>71</v>
      </c>
      <c r="B1781" s="295">
        <f t="shared" si="309"/>
        <v>59</v>
      </c>
      <c r="C1781" s="321">
        <v>5.3</v>
      </c>
      <c r="D1781" s="321" t="s">
        <v>112</v>
      </c>
      <c r="E1781" s="321"/>
      <c r="F1781" s="316" t="str">
        <f t="shared" si="307"/>
        <v/>
      </c>
      <c r="G1781" s="321"/>
      <c r="H1781" s="321"/>
      <c r="I1781" s="315"/>
      <c r="J1781" s="316" t="str">
        <f t="shared" si="308"/>
        <v/>
      </c>
    </row>
    <row r="1782" spans="1:10" s="316" customFormat="1">
      <c r="A1782" s="321">
        <v>71</v>
      </c>
      <c r="B1782" s="295">
        <f t="shared" si="309"/>
        <v>59</v>
      </c>
      <c r="C1782" s="321">
        <v>5.4</v>
      </c>
      <c r="D1782" s="321" t="s">
        <v>113</v>
      </c>
      <c r="E1782" s="321"/>
      <c r="F1782" s="316" t="str">
        <f t="shared" si="307"/>
        <v/>
      </c>
      <c r="G1782" s="321"/>
      <c r="H1782" s="321"/>
      <c r="I1782" s="315"/>
      <c r="J1782" s="316" t="str">
        <f t="shared" si="308"/>
        <v/>
      </c>
    </row>
    <row r="1783" spans="1:10" s="316" customFormat="1">
      <c r="A1783" s="321">
        <v>71</v>
      </c>
      <c r="B1783" s="295">
        <f t="shared" si="309"/>
        <v>59</v>
      </c>
      <c r="C1783" s="321">
        <v>5.5</v>
      </c>
      <c r="D1783" s="321" t="s">
        <v>114</v>
      </c>
      <c r="E1783" s="321"/>
      <c r="F1783" s="316" t="str">
        <f t="shared" si="307"/>
        <v/>
      </c>
      <c r="G1783" s="321"/>
      <c r="H1783" s="321"/>
      <c r="I1783" s="315"/>
      <c r="J1783" s="316" t="str">
        <f t="shared" si="308"/>
        <v/>
      </c>
    </row>
    <row r="1784" spans="1:10" s="316" customFormat="1">
      <c r="A1784" s="321">
        <v>71</v>
      </c>
      <c r="B1784" s="295">
        <f t="shared" si="309"/>
        <v>59</v>
      </c>
      <c r="C1784" s="321">
        <v>6.1</v>
      </c>
      <c r="D1784" s="321" t="s">
        <v>115</v>
      </c>
      <c r="E1784" s="321">
        <v>30</v>
      </c>
      <c r="F1784" s="316">
        <f t="shared" si="307"/>
        <v>1.2</v>
      </c>
      <c r="G1784" s="321">
        <v>17</v>
      </c>
      <c r="H1784" s="321">
        <v>10.9</v>
      </c>
      <c r="I1784" s="315">
        <f t="shared" ref="I1784" si="320">G1784*(H1784^2)*0.5</f>
        <v>1009.885</v>
      </c>
      <c r="J1784" s="316">
        <f t="shared" si="308"/>
        <v>7.5062063326891622</v>
      </c>
    </row>
    <row r="1785" spans="1:10" s="316" customFormat="1">
      <c r="A1785" s="321">
        <v>71</v>
      </c>
      <c r="B1785" s="295">
        <f t="shared" si="309"/>
        <v>59</v>
      </c>
      <c r="C1785" s="321">
        <v>6.2</v>
      </c>
      <c r="D1785" s="321" t="s">
        <v>115</v>
      </c>
      <c r="E1785" s="321"/>
      <c r="F1785" s="316" t="str">
        <f t="shared" si="307"/>
        <v/>
      </c>
      <c r="G1785" s="321"/>
      <c r="H1785" s="321"/>
      <c r="I1785" s="315"/>
      <c r="J1785" s="316" t="str">
        <f t="shared" si="308"/>
        <v/>
      </c>
    </row>
    <row r="1786" spans="1:10" s="316" customFormat="1">
      <c r="A1786" s="321">
        <v>71</v>
      </c>
      <c r="B1786" s="295">
        <f t="shared" si="309"/>
        <v>59</v>
      </c>
      <c r="C1786" s="321">
        <v>6.3</v>
      </c>
      <c r="D1786" s="321" t="s">
        <v>114</v>
      </c>
      <c r="E1786" s="321"/>
      <c r="F1786" s="316" t="str">
        <f t="shared" si="307"/>
        <v/>
      </c>
      <c r="G1786" s="321"/>
      <c r="H1786" s="321"/>
      <c r="I1786" s="315"/>
      <c r="J1786" s="316" t="str">
        <f t="shared" si="308"/>
        <v/>
      </c>
    </row>
    <row r="1787" spans="1:10" s="316" customFormat="1">
      <c r="A1787" s="321">
        <v>71</v>
      </c>
      <c r="B1787" s="295">
        <f t="shared" si="309"/>
        <v>59</v>
      </c>
      <c r="C1787" s="321">
        <v>6.4</v>
      </c>
      <c r="D1787" s="321" t="s">
        <v>112</v>
      </c>
      <c r="E1787" s="321"/>
      <c r="F1787" s="316" t="str">
        <f t="shared" si="307"/>
        <v/>
      </c>
      <c r="G1787" s="321"/>
      <c r="H1787" s="321"/>
      <c r="I1787" s="315"/>
      <c r="J1787" s="316" t="str">
        <f t="shared" si="308"/>
        <v/>
      </c>
    </row>
    <row r="1788" spans="1:10" s="316" customFormat="1">
      <c r="A1788" s="321">
        <v>71</v>
      </c>
      <c r="B1788" s="295">
        <f t="shared" si="309"/>
        <v>59</v>
      </c>
      <c r="C1788" s="321">
        <v>6.5</v>
      </c>
      <c r="D1788" s="321" t="s">
        <v>113</v>
      </c>
      <c r="E1788" s="321"/>
      <c r="F1788" s="316" t="str">
        <f t="shared" si="307"/>
        <v/>
      </c>
      <c r="G1788" s="321"/>
      <c r="H1788" s="321"/>
      <c r="I1788" s="315"/>
      <c r="J1788" s="316" t="str">
        <f t="shared" si="308"/>
        <v/>
      </c>
    </row>
    <row r="1789" spans="1:10" s="316" customFormat="1">
      <c r="A1789" s="321">
        <v>71</v>
      </c>
      <c r="B1789" s="295">
        <f t="shared" si="309"/>
        <v>59</v>
      </c>
      <c r="C1789" s="321">
        <v>7.1</v>
      </c>
      <c r="D1789" s="321" t="s">
        <v>114</v>
      </c>
      <c r="E1789" s="321">
        <v>32</v>
      </c>
      <c r="F1789" s="316">
        <f t="shared" si="307"/>
        <v>1.1851851851851851</v>
      </c>
      <c r="G1789" s="321">
        <v>14.5</v>
      </c>
      <c r="H1789" s="321">
        <v>13.3</v>
      </c>
      <c r="I1789" s="315">
        <f t="shared" ref="I1789" si="321">G1789*(H1789^2)*0.5</f>
        <v>1282.4525000000001</v>
      </c>
      <c r="J1789" s="316">
        <f t="shared" si="308"/>
        <v>9.4996481481481485</v>
      </c>
    </row>
    <row r="1790" spans="1:10" s="316" customFormat="1">
      <c r="A1790" s="321">
        <v>71</v>
      </c>
      <c r="B1790" s="295">
        <f t="shared" si="309"/>
        <v>59</v>
      </c>
      <c r="C1790" s="321">
        <v>7.2</v>
      </c>
      <c r="D1790" s="321" t="s">
        <v>111</v>
      </c>
      <c r="E1790" s="321"/>
      <c r="F1790" s="316" t="str">
        <f t="shared" si="307"/>
        <v/>
      </c>
      <c r="G1790" s="321"/>
      <c r="H1790" s="321"/>
      <c r="I1790" s="315"/>
      <c r="J1790" s="316" t="str">
        <f t="shared" si="308"/>
        <v/>
      </c>
    </row>
    <row r="1791" spans="1:10" s="316" customFormat="1">
      <c r="A1791" s="321">
        <v>71</v>
      </c>
      <c r="B1791" s="295">
        <f t="shared" si="309"/>
        <v>59</v>
      </c>
      <c r="C1791" s="321">
        <v>7.3</v>
      </c>
      <c r="D1791" s="321" t="s">
        <v>113</v>
      </c>
      <c r="E1791" s="321">
        <v>29</v>
      </c>
      <c r="F1791" s="316">
        <f t="shared" si="307"/>
        <v>1.0740740740740742</v>
      </c>
      <c r="G1791" s="321">
        <v>4.0999999999999996</v>
      </c>
      <c r="H1791" s="321">
        <v>3.8</v>
      </c>
      <c r="I1791" s="315">
        <f t="shared" ref="I1791" si="322">G1791*(H1791^2)*0.5</f>
        <v>29.601999999999997</v>
      </c>
      <c r="J1791" s="316">
        <f t="shared" si="308"/>
        <v>0.207175051090395</v>
      </c>
    </row>
    <row r="1792" spans="1:10" s="316" customFormat="1">
      <c r="A1792" s="321">
        <v>71</v>
      </c>
      <c r="B1792" s="295">
        <f t="shared" si="309"/>
        <v>59</v>
      </c>
      <c r="C1792" s="321">
        <v>7.4</v>
      </c>
      <c r="D1792" s="321" t="s">
        <v>115</v>
      </c>
      <c r="E1792" s="321"/>
      <c r="F1792" s="316" t="str">
        <f t="shared" si="307"/>
        <v/>
      </c>
      <c r="G1792" s="321"/>
      <c r="H1792" s="321"/>
      <c r="I1792" s="315"/>
      <c r="J1792" s="316" t="str">
        <f t="shared" si="308"/>
        <v/>
      </c>
    </row>
    <row r="1793" spans="1:10" s="316" customFormat="1">
      <c r="A1793" s="321">
        <v>71</v>
      </c>
      <c r="B1793" s="295">
        <f t="shared" si="309"/>
        <v>59</v>
      </c>
      <c r="C1793" s="321">
        <v>7.5</v>
      </c>
      <c r="D1793" s="321" t="s">
        <v>111</v>
      </c>
      <c r="E1793" s="321"/>
      <c r="F1793" s="316" t="str">
        <f t="shared" si="307"/>
        <v/>
      </c>
      <c r="G1793" s="321"/>
      <c r="H1793" s="321"/>
      <c r="I1793" s="315"/>
      <c r="J1793" s="316" t="str">
        <f t="shared" si="308"/>
        <v/>
      </c>
    </row>
    <row r="1794" spans="1:10" s="316" customFormat="1">
      <c r="A1794" s="321">
        <v>72</v>
      </c>
      <c r="B1794" s="295">
        <f t="shared" si="309"/>
        <v>60</v>
      </c>
      <c r="C1794" s="321">
        <v>1.1000000000000001</v>
      </c>
      <c r="D1794" s="321" t="s">
        <v>112</v>
      </c>
      <c r="E1794" s="321"/>
      <c r="F1794" s="316" t="str">
        <f t="shared" si="307"/>
        <v/>
      </c>
      <c r="G1794" s="321"/>
      <c r="H1794" s="321"/>
      <c r="I1794" s="315"/>
      <c r="J1794" s="316" t="str">
        <f t="shared" si="308"/>
        <v/>
      </c>
    </row>
    <row r="1795" spans="1:10" s="316" customFormat="1">
      <c r="A1795" s="321">
        <v>72</v>
      </c>
      <c r="B1795" s="295">
        <f t="shared" si="309"/>
        <v>60</v>
      </c>
      <c r="C1795" s="321">
        <v>1.2</v>
      </c>
      <c r="D1795" s="321" t="s">
        <v>113</v>
      </c>
      <c r="E1795" s="321">
        <v>31</v>
      </c>
      <c r="F1795" s="316">
        <f t="shared" si="307"/>
        <v>1.1481481481481481</v>
      </c>
      <c r="G1795" s="321">
        <v>4.5</v>
      </c>
      <c r="H1795" s="321">
        <v>4.3</v>
      </c>
      <c r="I1795" s="315">
        <f t="shared" ref="I1795" si="323">G1795*(H1795^2)*0.5</f>
        <v>41.602499999999999</v>
      </c>
      <c r="J1795" s="316">
        <f t="shared" si="308"/>
        <v>0.1988632968692863</v>
      </c>
    </row>
    <row r="1796" spans="1:10" s="316" customFormat="1">
      <c r="A1796" s="321">
        <v>72</v>
      </c>
      <c r="B1796" s="295">
        <f t="shared" si="309"/>
        <v>60</v>
      </c>
      <c r="C1796" s="321">
        <v>1.3</v>
      </c>
      <c r="D1796" s="321" t="s">
        <v>115</v>
      </c>
      <c r="E1796" s="321"/>
      <c r="F1796" s="316" t="str">
        <f t="shared" si="307"/>
        <v/>
      </c>
      <c r="G1796" s="321"/>
      <c r="H1796" s="321"/>
      <c r="I1796" s="315"/>
      <c r="J1796" s="316" t="str">
        <f t="shared" si="308"/>
        <v/>
      </c>
    </row>
    <row r="1797" spans="1:10" s="316" customFormat="1">
      <c r="A1797" s="321">
        <v>72</v>
      </c>
      <c r="B1797" s="295">
        <f t="shared" si="309"/>
        <v>60</v>
      </c>
      <c r="C1797" s="321">
        <v>1.4</v>
      </c>
      <c r="D1797" s="321" t="s">
        <v>115</v>
      </c>
      <c r="E1797" s="321"/>
      <c r="F1797" s="316" t="str">
        <f t="shared" si="307"/>
        <v/>
      </c>
      <c r="G1797" s="321"/>
      <c r="H1797" s="321"/>
      <c r="I1797" s="315"/>
      <c r="J1797" s="316" t="str">
        <f t="shared" si="308"/>
        <v/>
      </c>
    </row>
    <row r="1798" spans="1:10" s="316" customFormat="1">
      <c r="A1798" s="321">
        <v>72</v>
      </c>
      <c r="B1798" s="295">
        <f t="shared" si="309"/>
        <v>60</v>
      </c>
      <c r="C1798" s="321">
        <v>1.5</v>
      </c>
      <c r="D1798" s="321" t="s">
        <v>112</v>
      </c>
      <c r="E1798" s="321">
        <v>30</v>
      </c>
      <c r="F1798" s="316">
        <f t="shared" si="307"/>
        <v>1.0714285714285714</v>
      </c>
      <c r="G1798" s="321">
        <v>13.2</v>
      </c>
      <c r="H1798" s="321">
        <v>12.7</v>
      </c>
      <c r="I1798" s="315">
        <f t="shared" ref="I1798:I1799" si="324">G1798*(H1798^2)*0.5</f>
        <v>1064.5139999999999</v>
      </c>
      <c r="J1798" s="316">
        <f t="shared" si="308"/>
        <v>7.6438562729779402</v>
      </c>
    </row>
    <row r="1799" spans="1:10" s="316" customFormat="1">
      <c r="A1799" s="321">
        <v>72</v>
      </c>
      <c r="B1799" s="295">
        <f t="shared" si="309"/>
        <v>60</v>
      </c>
      <c r="C1799" s="321">
        <v>2.1</v>
      </c>
      <c r="D1799" s="321" t="s">
        <v>114</v>
      </c>
      <c r="E1799" s="321">
        <v>32</v>
      </c>
      <c r="F1799" s="316">
        <f t="shared" si="307"/>
        <v>1.2307692307692308</v>
      </c>
      <c r="G1799" s="321">
        <v>13.7</v>
      </c>
      <c r="H1799" s="321">
        <v>13.2</v>
      </c>
      <c r="I1799" s="315">
        <f t="shared" si="324"/>
        <v>1193.5439999999999</v>
      </c>
      <c r="J1799" s="316">
        <f t="shared" si="308"/>
        <v>6.3466296571032021</v>
      </c>
    </row>
    <row r="1800" spans="1:10" s="316" customFormat="1">
      <c r="A1800" s="321">
        <v>72</v>
      </c>
      <c r="B1800" s="295">
        <f t="shared" si="309"/>
        <v>60</v>
      </c>
      <c r="C1800" s="321">
        <v>2.2000000000000002</v>
      </c>
      <c r="D1800" s="321" t="s">
        <v>115</v>
      </c>
      <c r="E1800" s="321"/>
      <c r="F1800" s="316" t="str">
        <f t="shared" si="307"/>
        <v/>
      </c>
      <c r="G1800" s="321"/>
      <c r="H1800" s="321"/>
      <c r="I1800" s="315"/>
      <c r="J1800" s="316" t="str">
        <f t="shared" si="308"/>
        <v/>
      </c>
    </row>
    <row r="1801" spans="1:10" s="316" customFormat="1">
      <c r="A1801" s="321">
        <v>72</v>
      </c>
      <c r="B1801" s="295">
        <f t="shared" si="309"/>
        <v>60</v>
      </c>
      <c r="C1801" s="321">
        <v>2.2999999999999998</v>
      </c>
      <c r="D1801" s="321" t="s">
        <v>112</v>
      </c>
      <c r="E1801" s="321"/>
      <c r="F1801" s="316" t="str">
        <f t="shared" ref="F1801:F1864" si="325">IF(ISBLANK(E1801),"",E1801/SUMIFS(E:E,C:C,C1801,B:B,"0"))</f>
        <v/>
      </c>
      <c r="G1801" s="321"/>
      <c r="H1801" s="321"/>
      <c r="I1801" s="315"/>
      <c r="J1801" s="316" t="str">
        <f t="shared" ref="J1801:J1864" si="326">IF(ISBLANK(I1801),"",I1801/SUMIFS(I:I,C:C,C1801,B:B,"0"))</f>
        <v/>
      </c>
    </row>
    <row r="1802" spans="1:10" s="316" customFormat="1">
      <c r="A1802" s="321">
        <v>72</v>
      </c>
      <c r="B1802" s="295">
        <f t="shared" ref="B1802:B1865" si="327">A1802-12</f>
        <v>60</v>
      </c>
      <c r="C1802" s="321">
        <v>2.4</v>
      </c>
      <c r="D1802" s="321" t="s">
        <v>114</v>
      </c>
      <c r="E1802" s="321">
        <v>30</v>
      </c>
      <c r="F1802" s="316">
        <f t="shared" si="325"/>
        <v>1.2</v>
      </c>
      <c r="G1802" s="321">
        <v>11.5</v>
      </c>
      <c r="H1802" s="321">
        <v>11.4</v>
      </c>
      <c r="I1802" s="315">
        <f t="shared" ref="I1802:I1806" si="328">G1802*(H1802^2)*0.5</f>
        <v>747.2700000000001</v>
      </c>
      <c r="J1802" s="316">
        <f t="shared" si="326"/>
        <v>6.9513488372093031</v>
      </c>
    </row>
    <row r="1803" spans="1:10" s="316" customFormat="1">
      <c r="A1803" s="321">
        <v>72</v>
      </c>
      <c r="B1803" s="295">
        <f t="shared" si="327"/>
        <v>60</v>
      </c>
      <c r="C1803" s="321">
        <v>2.5</v>
      </c>
      <c r="D1803" s="321" t="s">
        <v>113</v>
      </c>
      <c r="E1803" s="321">
        <v>32</v>
      </c>
      <c r="F1803" s="316">
        <f t="shared" si="325"/>
        <v>1.1851851851851851</v>
      </c>
      <c r="G1803" s="321">
        <v>7.8</v>
      </c>
      <c r="H1803" s="321">
        <v>7.5</v>
      </c>
      <c r="I1803" s="315">
        <f t="shared" si="328"/>
        <v>219.375</v>
      </c>
      <c r="J1803" s="316">
        <f t="shared" si="326"/>
        <v>1.2860383862306692</v>
      </c>
    </row>
    <row r="1804" spans="1:10" s="316" customFormat="1">
      <c r="A1804" s="321">
        <v>72</v>
      </c>
      <c r="B1804" s="295">
        <f t="shared" si="327"/>
        <v>60</v>
      </c>
      <c r="C1804" s="321">
        <v>3.1</v>
      </c>
      <c r="D1804" s="321" t="s">
        <v>115</v>
      </c>
      <c r="E1804" s="321">
        <v>27</v>
      </c>
      <c r="F1804" s="316">
        <f t="shared" si="325"/>
        <v>1.125</v>
      </c>
      <c r="G1804" s="321">
        <v>7.2</v>
      </c>
      <c r="H1804" s="321">
        <v>7</v>
      </c>
      <c r="I1804" s="315">
        <f t="shared" si="328"/>
        <v>176.4</v>
      </c>
      <c r="J1804" s="316">
        <f t="shared" si="326"/>
        <v>0.97096463464978688</v>
      </c>
    </row>
    <row r="1805" spans="1:10" s="316" customFormat="1">
      <c r="A1805" s="321">
        <v>72</v>
      </c>
      <c r="B1805" s="295">
        <f t="shared" si="327"/>
        <v>60</v>
      </c>
      <c r="C1805" s="321">
        <v>3.2</v>
      </c>
      <c r="D1805" s="321" t="s">
        <v>113</v>
      </c>
      <c r="E1805" s="321">
        <v>35</v>
      </c>
      <c r="F1805" s="316">
        <f t="shared" si="325"/>
        <v>1.1666666666666667</v>
      </c>
      <c r="G1805" s="321">
        <v>5</v>
      </c>
      <c r="H1805" s="321">
        <v>4.0999999999999996</v>
      </c>
      <c r="I1805" s="315">
        <f t="shared" si="328"/>
        <v>42.024999999999999</v>
      </c>
      <c r="J1805" s="316">
        <f t="shared" si="326"/>
        <v>0.21899883270104642</v>
      </c>
    </row>
    <row r="1806" spans="1:10" s="316" customFormat="1">
      <c r="A1806" s="321">
        <v>72</v>
      </c>
      <c r="B1806" s="295">
        <f t="shared" si="327"/>
        <v>60</v>
      </c>
      <c r="C1806" s="321">
        <v>3.3</v>
      </c>
      <c r="D1806" s="321" t="s">
        <v>114</v>
      </c>
      <c r="E1806" s="321">
        <v>29</v>
      </c>
      <c r="F1806" s="316">
        <f t="shared" si="325"/>
        <v>1.1599999999999999</v>
      </c>
      <c r="G1806" s="321">
        <v>14.4</v>
      </c>
      <c r="H1806" s="321">
        <v>12.2</v>
      </c>
      <c r="I1806" s="315">
        <f t="shared" si="328"/>
        <v>1071.6479999999999</v>
      </c>
      <c r="J1806" s="316">
        <f t="shared" si="326"/>
        <v>5.2072303206997077</v>
      </c>
    </row>
    <row r="1807" spans="1:10" s="316" customFormat="1">
      <c r="A1807" s="321">
        <v>72</v>
      </c>
      <c r="B1807" s="295">
        <f t="shared" si="327"/>
        <v>60</v>
      </c>
      <c r="C1807" s="321">
        <v>3.4</v>
      </c>
      <c r="D1807" s="321" t="s">
        <v>114</v>
      </c>
      <c r="E1807" s="321"/>
      <c r="F1807" s="316" t="str">
        <f t="shared" si="325"/>
        <v/>
      </c>
      <c r="G1807" s="321"/>
      <c r="H1807" s="321"/>
      <c r="I1807" s="315"/>
      <c r="J1807" s="316" t="str">
        <f t="shared" si="326"/>
        <v/>
      </c>
    </row>
    <row r="1808" spans="1:10" s="316" customFormat="1">
      <c r="A1808" s="321">
        <v>72</v>
      </c>
      <c r="B1808" s="295">
        <f t="shared" si="327"/>
        <v>60</v>
      </c>
      <c r="C1808" s="321">
        <v>3.5</v>
      </c>
      <c r="D1808" s="321" t="s">
        <v>115</v>
      </c>
      <c r="E1808" s="321"/>
      <c r="F1808" s="316" t="str">
        <f t="shared" si="325"/>
        <v/>
      </c>
      <c r="G1808" s="321"/>
      <c r="H1808" s="321"/>
      <c r="I1808" s="315"/>
      <c r="J1808" s="316" t="str">
        <f t="shared" si="326"/>
        <v/>
      </c>
    </row>
    <row r="1809" spans="1:10" s="316" customFormat="1">
      <c r="A1809" s="321">
        <v>72</v>
      </c>
      <c r="B1809" s="295">
        <f t="shared" si="327"/>
        <v>60</v>
      </c>
      <c r="C1809" s="321">
        <v>4.0999999999999996</v>
      </c>
      <c r="D1809" s="321" t="s">
        <v>111</v>
      </c>
      <c r="E1809" s="321"/>
      <c r="F1809" s="316" t="str">
        <f t="shared" si="325"/>
        <v/>
      </c>
      <c r="G1809" s="321"/>
      <c r="H1809" s="321"/>
      <c r="I1809" s="315"/>
      <c r="J1809" s="316" t="str">
        <f t="shared" si="326"/>
        <v/>
      </c>
    </row>
    <row r="1810" spans="1:10" s="316" customFormat="1">
      <c r="A1810" s="321">
        <v>72</v>
      </c>
      <c r="B1810" s="295">
        <f t="shared" si="327"/>
        <v>60</v>
      </c>
      <c r="C1810" s="321">
        <v>4.2</v>
      </c>
      <c r="D1810" s="321" t="s">
        <v>112</v>
      </c>
      <c r="E1810" s="321"/>
      <c r="F1810" s="316" t="str">
        <f t="shared" si="325"/>
        <v/>
      </c>
      <c r="G1810" s="321"/>
      <c r="H1810" s="321"/>
      <c r="I1810" s="315"/>
      <c r="J1810" s="316" t="str">
        <f t="shared" si="326"/>
        <v/>
      </c>
    </row>
    <row r="1811" spans="1:10" s="316" customFormat="1">
      <c r="A1811" s="321">
        <v>72</v>
      </c>
      <c r="B1811" s="295">
        <f t="shared" si="327"/>
        <v>60</v>
      </c>
      <c r="C1811" s="321">
        <v>4.3</v>
      </c>
      <c r="D1811" s="321" t="s">
        <v>113</v>
      </c>
      <c r="E1811" s="321">
        <v>31</v>
      </c>
      <c r="F1811" s="316">
        <f t="shared" si="325"/>
        <v>1.1923076923076923</v>
      </c>
      <c r="G1811" s="321">
        <v>12.1</v>
      </c>
      <c r="H1811" s="321">
        <v>9.3000000000000007</v>
      </c>
      <c r="I1811" s="315">
        <f t="shared" ref="I1811" si="329">G1811*(H1811^2)*0.5</f>
        <v>523.2645</v>
      </c>
      <c r="J1811" s="316">
        <f t="shared" si="326"/>
        <v>3.757356531479779</v>
      </c>
    </row>
    <row r="1812" spans="1:10" s="316" customFormat="1">
      <c r="A1812" s="321">
        <v>72</v>
      </c>
      <c r="B1812" s="295">
        <f t="shared" si="327"/>
        <v>60</v>
      </c>
      <c r="C1812" s="321">
        <v>4.4000000000000004</v>
      </c>
      <c r="D1812" s="321" t="s">
        <v>112</v>
      </c>
      <c r="E1812" s="321"/>
      <c r="F1812" s="316" t="str">
        <f t="shared" si="325"/>
        <v/>
      </c>
      <c r="G1812" s="321"/>
      <c r="H1812" s="321"/>
      <c r="I1812" s="315"/>
      <c r="J1812" s="316" t="str">
        <f t="shared" si="326"/>
        <v/>
      </c>
    </row>
    <row r="1813" spans="1:10" s="316" customFormat="1">
      <c r="A1813" s="321">
        <v>72</v>
      </c>
      <c r="B1813" s="295">
        <f t="shared" si="327"/>
        <v>60</v>
      </c>
      <c r="C1813" s="321">
        <v>4.5</v>
      </c>
      <c r="D1813" s="321" t="s">
        <v>112</v>
      </c>
      <c r="E1813" s="321"/>
      <c r="F1813" s="316" t="str">
        <f t="shared" si="325"/>
        <v/>
      </c>
      <c r="G1813" s="321"/>
      <c r="H1813" s="321"/>
      <c r="I1813" s="315"/>
      <c r="J1813" s="316" t="str">
        <f t="shared" si="326"/>
        <v/>
      </c>
    </row>
    <row r="1814" spans="1:10" s="316" customFormat="1">
      <c r="A1814" s="321">
        <v>72</v>
      </c>
      <c r="B1814" s="295">
        <f t="shared" si="327"/>
        <v>60</v>
      </c>
      <c r="C1814" s="321">
        <v>5.0999999999999996</v>
      </c>
      <c r="D1814" s="321" t="s">
        <v>113</v>
      </c>
      <c r="E1814" s="321">
        <v>26</v>
      </c>
      <c r="F1814" s="316">
        <f t="shared" si="325"/>
        <v>1.0833333333333333</v>
      </c>
      <c r="G1814" s="321">
        <v>9</v>
      </c>
      <c r="H1814" s="321">
        <v>8.8000000000000007</v>
      </c>
      <c r="I1814" s="315">
        <f t="shared" ref="I1814" si="330">G1814*(H1814^2)*0.5</f>
        <v>348.48000000000008</v>
      </c>
      <c r="J1814" s="316">
        <f t="shared" si="326"/>
        <v>2.0981016659341454</v>
      </c>
    </row>
    <row r="1815" spans="1:10" s="316" customFormat="1">
      <c r="A1815" s="321">
        <v>72</v>
      </c>
      <c r="B1815" s="295">
        <f t="shared" si="327"/>
        <v>60</v>
      </c>
      <c r="C1815" s="321">
        <v>5.2</v>
      </c>
      <c r="D1815" s="321" t="s">
        <v>114</v>
      </c>
      <c r="E1815" s="321"/>
      <c r="F1815" s="316" t="str">
        <f t="shared" si="325"/>
        <v/>
      </c>
      <c r="G1815" s="321"/>
      <c r="H1815" s="321"/>
      <c r="I1815" s="315"/>
      <c r="J1815" s="316" t="str">
        <f t="shared" si="326"/>
        <v/>
      </c>
    </row>
    <row r="1816" spans="1:10" s="316" customFormat="1">
      <c r="A1816" s="321">
        <v>72</v>
      </c>
      <c r="B1816" s="295">
        <f t="shared" si="327"/>
        <v>60</v>
      </c>
      <c r="C1816" s="321">
        <v>5.3</v>
      </c>
      <c r="D1816" s="321" t="s">
        <v>112</v>
      </c>
      <c r="E1816" s="321"/>
      <c r="F1816" s="316" t="str">
        <f t="shared" si="325"/>
        <v/>
      </c>
      <c r="G1816" s="321"/>
      <c r="H1816" s="321"/>
      <c r="I1816" s="315"/>
      <c r="J1816" s="316" t="str">
        <f t="shared" si="326"/>
        <v/>
      </c>
    </row>
    <row r="1817" spans="1:10" s="316" customFormat="1">
      <c r="A1817" s="321">
        <v>72</v>
      </c>
      <c r="B1817" s="295">
        <f t="shared" si="327"/>
        <v>60</v>
      </c>
      <c r="C1817" s="321">
        <v>5.4</v>
      </c>
      <c r="D1817" s="321" t="s">
        <v>113</v>
      </c>
      <c r="E1817" s="321"/>
      <c r="F1817" s="316" t="str">
        <f t="shared" si="325"/>
        <v/>
      </c>
      <c r="G1817" s="321"/>
      <c r="H1817" s="321"/>
      <c r="I1817" s="315"/>
      <c r="J1817" s="316" t="str">
        <f t="shared" si="326"/>
        <v/>
      </c>
    </row>
    <row r="1818" spans="1:10" s="316" customFormat="1">
      <c r="A1818" s="321">
        <v>72</v>
      </c>
      <c r="B1818" s="295">
        <f t="shared" si="327"/>
        <v>60</v>
      </c>
      <c r="C1818" s="321">
        <v>5.5</v>
      </c>
      <c r="D1818" s="321" t="s">
        <v>114</v>
      </c>
      <c r="E1818" s="321"/>
      <c r="F1818" s="316" t="str">
        <f t="shared" si="325"/>
        <v/>
      </c>
      <c r="G1818" s="321"/>
      <c r="H1818" s="321"/>
      <c r="I1818" s="315"/>
      <c r="J1818" s="316" t="str">
        <f t="shared" si="326"/>
        <v/>
      </c>
    </row>
    <row r="1819" spans="1:10" s="316" customFormat="1">
      <c r="A1819" s="321">
        <v>72</v>
      </c>
      <c r="B1819" s="295">
        <f t="shared" si="327"/>
        <v>60</v>
      </c>
      <c r="C1819" s="321">
        <v>6.1</v>
      </c>
      <c r="D1819" s="321" t="s">
        <v>115</v>
      </c>
      <c r="E1819" s="321">
        <v>31</v>
      </c>
      <c r="F1819" s="316">
        <f t="shared" si="325"/>
        <v>1.24</v>
      </c>
      <c r="G1819" s="321">
        <v>18</v>
      </c>
      <c r="H1819" s="321">
        <v>12.3</v>
      </c>
      <c r="I1819" s="315">
        <f t="shared" ref="I1819" si="331">G1819*(H1819^2)*0.5</f>
        <v>1361.6100000000001</v>
      </c>
      <c r="J1819" s="316">
        <f t="shared" si="326"/>
        <v>10.120484614241118</v>
      </c>
    </row>
    <row r="1820" spans="1:10" s="316" customFormat="1">
      <c r="A1820" s="321">
        <v>72</v>
      </c>
      <c r="B1820" s="295">
        <f t="shared" si="327"/>
        <v>60</v>
      </c>
      <c r="C1820" s="321">
        <v>6.2</v>
      </c>
      <c r="D1820" s="321" t="s">
        <v>115</v>
      </c>
      <c r="E1820" s="321"/>
      <c r="F1820" s="316" t="str">
        <f t="shared" si="325"/>
        <v/>
      </c>
      <c r="G1820" s="321"/>
      <c r="H1820" s="321"/>
      <c r="I1820" s="315"/>
      <c r="J1820" s="316" t="str">
        <f t="shared" si="326"/>
        <v/>
      </c>
    </row>
    <row r="1821" spans="1:10" s="316" customFormat="1">
      <c r="A1821" s="321">
        <v>72</v>
      </c>
      <c r="B1821" s="295">
        <f t="shared" si="327"/>
        <v>60</v>
      </c>
      <c r="C1821" s="321">
        <v>6.3</v>
      </c>
      <c r="D1821" s="321" t="s">
        <v>114</v>
      </c>
      <c r="E1821" s="321"/>
      <c r="F1821" s="316" t="str">
        <f t="shared" si="325"/>
        <v/>
      </c>
      <c r="G1821" s="321"/>
      <c r="H1821" s="321"/>
      <c r="I1821" s="315"/>
      <c r="J1821" s="316" t="str">
        <f t="shared" si="326"/>
        <v/>
      </c>
    </row>
    <row r="1822" spans="1:10" s="316" customFormat="1">
      <c r="A1822" s="321">
        <v>72</v>
      </c>
      <c r="B1822" s="295">
        <f t="shared" si="327"/>
        <v>60</v>
      </c>
      <c r="C1822" s="321">
        <v>6.4</v>
      </c>
      <c r="D1822" s="321" t="s">
        <v>112</v>
      </c>
      <c r="E1822" s="321"/>
      <c r="F1822" s="316" t="str">
        <f t="shared" si="325"/>
        <v/>
      </c>
      <c r="G1822" s="321"/>
      <c r="H1822" s="321"/>
      <c r="I1822" s="315"/>
      <c r="J1822" s="316" t="str">
        <f t="shared" si="326"/>
        <v/>
      </c>
    </row>
    <row r="1823" spans="1:10" s="316" customFormat="1">
      <c r="A1823" s="321">
        <v>72</v>
      </c>
      <c r="B1823" s="295">
        <f t="shared" si="327"/>
        <v>60</v>
      </c>
      <c r="C1823" s="321">
        <v>6.5</v>
      </c>
      <c r="D1823" s="321" t="s">
        <v>113</v>
      </c>
      <c r="E1823" s="321"/>
      <c r="F1823" s="316" t="str">
        <f t="shared" si="325"/>
        <v/>
      </c>
      <c r="G1823" s="321"/>
      <c r="H1823" s="321"/>
      <c r="I1823" s="315"/>
      <c r="J1823" s="316" t="str">
        <f t="shared" si="326"/>
        <v/>
      </c>
    </row>
    <row r="1824" spans="1:10" s="316" customFormat="1">
      <c r="A1824" s="321">
        <v>72</v>
      </c>
      <c r="B1824" s="295">
        <f t="shared" si="327"/>
        <v>60</v>
      </c>
      <c r="C1824" s="321">
        <v>7.1</v>
      </c>
      <c r="D1824" s="321" t="s">
        <v>114</v>
      </c>
      <c r="E1824" s="321">
        <v>32</v>
      </c>
      <c r="F1824" s="316">
        <f t="shared" si="325"/>
        <v>1.1851851851851851</v>
      </c>
      <c r="G1824" s="321">
        <v>13.7</v>
      </c>
      <c r="H1824" s="321">
        <v>12.1</v>
      </c>
      <c r="I1824" s="315">
        <f t="shared" ref="I1824" si="332">G1824*(H1824^2)*0.5</f>
        <v>1002.9084999999999</v>
      </c>
      <c r="J1824" s="316">
        <f t="shared" si="326"/>
        <v>7.4289518518518509</v>
      </c>
    </row>
    <row r="1825" spans="1:10" s="316" customFormat="1">
      <c r="A1825" s="321">
        <v>72</v>
      </c>
      <c r="B1825" s="295">
        <f t="shared" si="327"/>
        <v>60</v>
      </c>
      <c r="C1825" s="321">
        <v>7.2</v>
      </c>
      <c r="D1825" s="321" t="s">
        <v>111</v>
      </c>
      <c r="E1825" s="321"/>
      <c r="F1825" s="316" t="str">
        <f t="shared" si="325"/>
        <v/>
      </c>
      <c r="G1825" s="321"/>
      <c r="H1825" s="321"/>
      <c r="I1825" s="315"/>
      <c r="J1825" s="316" t="str">
        <f t="shared" si="326"/>
        <v/>
      </c>
    </row>
    <row r="1826" spans="1:10" s="316" customFormat="1">
      <c r="A1826" s="321">
        <v>72</v>
      </c>
      <c r="B1826" s="295">
        <f t="shared" si="327"/>
        <v>60</v>
      </c>
      <c r="C1826" s="321">
        <v>7.3</v>
      </c>
      <c r="D1826" s="321" t="s">
        <v>113</v>
      </c>
      <c r="E1826" s="321">
        <v>30</v>
      </c>
      <c r="F1826" s="316">
        <f t="shared" si="325"/>
        <v>1.1111111111111112</v>
      </c>
      <c r="G1826" s="321">
        <v>4.5</v>
      </c>
      <c r="H1826" s="321">
        <v>4.2</v>
      </c>
      <c r="I1826" s="315">
        <f t="shared" ref="I1826" si="333">G1826*(H1826^2)*0.5</f>
        <v>39.69</v>
      </c>
      <c r="J1826" s="316">
        <f t="shared" si="326"/>
        <v>0.27777777777777779</v>
      </c>
    </row>
    <row r="1827" spans="1:10" s="316" customFormat="1">
      <c r="A1827" s="321">
        <v>72</v>
      </c>
      <c r="B1827" s="295">
        <f t="shared" si="327"/>
        <v>60</v>
      </c>
      <c r="C1827" s="321">
        <v>7.4</v>
      </c>
      <c r="D1827" s="321" t="s">
        <v>115</v>
      </c>
      <c r="E1827" s="321"/>
      <c r="F1827" s="316" t="str">
        <f t="shared" si="325"/>
        <v/>
      </c>
      <c r="G1827" s="321"/>
      <c r="H1827" s="321"/>
      <c r="I1827" s="315"/>
      <c r="J1827" s="316" t="str">
        <f t="shared" si="326"/>
        <v/>
      </c>
    </row>
    <row r="1828" spans="1:10" s="316" customFormat="1">
      <c r="A1828" s="321">
        <v>72</v>
      </c>
      <c r="B1828" s="295">
        <f t="shared" si="327"/>
        <v>60</v>
      </c>
      <c r="C1828" s="321">
        <v>7.5</v>
      </c>
      <c r="D1828" s="321" t="s">
        <v>111</v>
      </c>
      <c r="E1828" s="321"/>
      <c r="F1828" s="316" t="str">
        <f t="shared" si="325"/>
        <v/>
      </c>
      <c r="G1828" s="321"/>
      <c r="H1828" s="321"/>
      <c r="I1828" s="315"/>
      <c r="J1828" s="316" t="str">
        <f t="shared" si="326"/>
        <v/>
      </c>
    </row>
    <row r="1829" spans="1:10" s="316" customFormat="1">
      <c r="A1829" s="321">
        <v>75</v>
      </c>
      <c r="B1829" s="295">
        <f t="shared" si="327"/>
        <v>63</v>
      </c>
      <c r="C1829" s="321">
        <v>1.1000000000000001</v>
      </c>
      <c r="D1829" s="321" t="s">
        <v>112</v>
      </c>
      <c r="E1829" s="321"/>
      <c r="F1829" s="316" t="str">
        <f t="shared" si="325"/>
        <v/>
      </c>
      <c r="G1829" s="321"/>
      <c r="H1829" s="321"/>
      <c r="I1829" s="315"/>
      <c r="J1829" s="316" t="str">
        <f t="shared" si="326"/>
        <v/>
      </c>
    </row>
    <row r="1830" spans="1:10" s="316" customFormat="1">
      <c r="A1830" s="321">
        <v>75</v>
      </c>
      <c r="B1830" s="295">
        <f t="shared" si="327"/>
        <v>63</v>
      </c>
      <c r="C1830" s="321">
        <v>1.2</v>
      </c>
      <c r="D1830" s="321" t="s">
        <v>113</v>
      </c>
      <c r="E1830" s="321">
        <v>33</v>
      </c>
      <c r="F1830" s="316">
        <f t="shared" si="325"/>
        <v>1.2222222222222223</v>
      </c>
      <c r="G1830" s="321">
        <v>5</v>
      </c>
      <c r="H1830" s="321">
        <v>4.5</v>
      </c>
      <c r="I1830" s="315">
        <f t="shared" ref="I1830" si="334">G1830*(H1830^2)*0.5</f>
        <v>50.625</v>
      </c>
      <c r="J1830" s="316">
        <f t="shared" si="326"/>
        <v>0.24199157271816885</v>
      </c>
    </row>
    <row r="1831" spans="1:10" s="316" customFormat="1">
      <c r="A1831" s="321">
        <v>75</v>
      </c>
      <c r="B1831" s="295">
        <f t="shared" si="327"/>
        <v>63</v>
      </c>
      <c r="C1831" s="321">
        <v>1.3</v>
      </c>
      <c r="D1831" s="321" t="s">
        <v>115</v>
      </c>
      <c r="E1831" s="321"/>
      <c r="F1831" s="316" t="str">
        <f t="shared" si="325"/>
        <v/>
      </c>
      <c r="G1831" s="321"/>
      <c r="H1831" s="321"/>
      <c r="I1831" s="315"/>
      <c r="J1831" s="316" t="str">
        <f t="shared" si="326"/>
        <v/>
      </c>
    </row>
    <row r="1832" spans="1:10" s="316" customFormat="1">
      <c r="A1832" s="321">
        <v>75</v>
      </c>
      <c r="B1832" s="295">
        <f t="shared" si="327"/>
        <v>63</v>
      </c>
      <c r="C1832" s="321">
        <v>1.4</v>
      </c>
      <c r="D1832" s="321" t="s">
        <v>115</v>
      </c>
      <c r="E1832" s="321"/>
      <c r="F1832" s="316" t="str">
        <f t="shared" si="325"/>
        <v/>
      </c>
      <c r="G1832" s="321"/>
      <c r="H1832" s="321"/>
      <c r="I1832" s="315"/>
      <c r="J1832" s="316" t="str">
        <f t="shared" si="326"/>
        <v/>
      </c>
    </row>
    <row r="1833" spans="1:10" s="316" customFormat="1">
      <c r="A1833" s="321">
        <v>75</v>
      </c>
      <c r="B1833" s="295">
        <f t="shared" si="327"/>
        <v>63</v>
      </c>
      <c r="C1833" s="321">
        <v>1.5</v>
      </c>
      <c r="D1833" s="321" t="s">
        <v>112</v>
      </c>
      <c r="E1833" s="321">
        <v>30</v>
      </c>
      <c r="F1833" s="316">
        <f t="shared" si="325"/>
        <v>1.0714285714285714</v>
      </c>
      <c r="G1833" s="321">
        <v>14</v>
      </c>
      <c r="H1833" s="321">
        <v>13.4</v>
      </c>
      <c r="I1833" s="315">
        <f t="shared" ref="I1833:I1834" si="335">G1833*(H1833^2)*0.5</f>
        <v>1256.92</v>
      </c>
      <c r="J1833" s="316">
        <f t="shared" si="326"/>
        <v>9.0254480698529402</v>
      </c>
    </row>
    <row r="1834" spans="1:10" s="316" customFormat="1">
      <c r="A1834" s="321">
        <v>75</v>
      </c>
      <c r="B1834" s="295">
        <f t="shared" si="327"/>
        <v>63</v>
      </c>
      <c r="C1834" s="321">
        <v>2.1</v>
      </c>
      <c r="D1834" s="321" t="s">
        <v>114</v>
      </c>
      <c r="E1834" s="321">
        <v>31</v>
      </c>
      <c r="F1834" s="316">
        <f t="shared" si="325"/>
        <v>1.1923076923076923</v>
      </c>
      <c r="G1834" s="321">
        <v>14.2</v>
      </c>
      <c r="H1834" s="321">
        <v>13.4</v>
      </c>
      <c r="I1834" s="315">
        <f t="shared" si="335"/>
        <v>1274.876</v>
      </c>
      <c r="J1834" s="316">
        <f t="shared" si="326"/>
        <v>6.7791098030144701</v>
      </c>
    </row>
    <row r="1835" spans="1:10" s="316" customFormat="1">
      <c r="A1835" s="321">
        <v>75</v>
      </c>
      <c r="B1835" s="295">
        <f t="shared" si="327"/>
        <v>63</v>
      </c>
      <c r="C1835" s="321">
        <v>2.2000000000000002</v>
      </c>
      <c r="D1835" s="321" t="s">
        <v>115</v>
      </c>
      <c r="E1835" s="321"/>
      <c r="F1835" s="316" t="str">
        <f t="shared" si="325"/>
        <v/>
      </c>
      <c r="G1835" s="321"/>
      <c r="H1835" s="321"/>
      <c r="I1835" s="315"/>
      <c r="J1835" s="316" t="str">
        <f t="shared" si="326"/>
        <v/>
      </c>
    </row>
    <row r="1836" spans="1:10" s="316" customFormat="1">
      <c r="A1836" s="321">
        <v>75</v>
      </c>
      <c r="B1836" s="295">
        <f t="shared" si="327"/>
        <v>63</v>
      </c>
      <c r="C1836" s="321">
        <v>2.2999999999999998</v>
      </c>
      <c r="D1836" s="321" t="s">
        <v>112</v>
      </c>
      <c r="E1836" s="321"/>
      <c r="F1836" s="316" t="str">
        <f t="shared" si="325"/>
        <v/>
      </c>
      <c r="G1836" s="321"/>
      <c r="H1836" s="321"/>
      <c r="I1836" s="315"/>
      <c r="J1836" s="316" t="str">
        <f t="shared" si="326"/>
        <v/>
      </c>
    </row>
    <row r="1837" spans="1:10" s="316" customFormat="1">
      <c r="A1837" s="321">
        <v>75</v>
      </c>
      <c r="B1837" s="295">
        <f t="shared" si="327"/>
        <v>63</v>
      </c>
      <c r="C1837" s="321">
        <v>2.4</v>
      </c>
      <c r="D1837" s="321" t="s">
        <v>114</v>
      </c>
      <c r="E1837" s="321">
        <v>30</v>
      </c>
      <c r="F1837" s="316">
        <f t="shared" si="325"/>
        <v>1.2</v>
      </c>
      <c r="G1837" s="321">
        <v>13.4</v>
      </c>
      <c r="H1837" s="321">
        <v>12.4</v>
      </c>
      <c r="I1837" s="315">
        <f t="shared" ref="I1837:I1841" si="336">G1837*(H1837^2)*0.5</f>
        <v>1030.1920000000002</v>
      </c>
      <c r="J1837" s="316">
        <f t="shared" si="326"/>
        <v>9.5831813953488396</v>
      </c>
    </row>
    <row r="1838" spans="1:10" s="316" customFormat="1">
      <c r="A1838" s="321">
        <v>75</v>
      </c>
      <c r="B1838" s="295">
        <f t="shared" si="327"/>
        <v>63</v>
      </c>
      <c r="C1838" s="321">
        <v>2.5</v>
      </c>
      <c r="D1838" s="321" t="s">
        <v>113</v>
      </c>
      <c r="E1838" s="321">
        <v>31</v>
      </c>
      <c r="F1838" s="316">
        <f t="shared" si="325"/>
        <v>1.1481481481481481</v>
      </c>
      <c r="G1838" s="321">
        <v>9.3000000000000007</v>
      </c>
      <c r="H1838" s="321">
        <v>8.4</v>
      </c>
      <c r="I1838" s="315">
        <f t="shared" si="336"/>
        <v>328.10400000000004</v>
      </c>
      <c r="J1838" s="316">
        <f t="shared" si="326"/>
        <v>1.9234385808584731</v>
      </c>
    </row>
    <row r="1839" spans="1:10" s="316" customFormat="1">
      <c r="A1839" s="321">
        <v>75</v>
      </c>
      <c r="B1839" s="295">
        <f t="shared" si="327"/>
        <v>63</v>
      </c>
      <c r="C1839" s="321">
        <v>3.1</v>
      </c>
      <c r="D1839" s="321" t="s">
        <v>115</v>
      </c>
      <c r="E1839" s="321">
        <v>28</v>
      </c>
      <c r="F1839" s="316">
        <f t="shared" si="325"/>
        <v>1.1666666666666667</v>
      </c>
      <c r="G1839" s="321">
        <v>7.8</v>
      </c>
      <c r="H1839" s="321">
        <v>7.4</v>
      </c>
      <c r="I1839" s="315">
        <f t="shared" si="336"/>
        <v>213.56400000000002</v>
      </c>
      <c r="J1839" s="316">
        <f t="shared" si="326"/>
        <v>1.1755277280858678</v>
      </c>
    </row>
    <row r="1840" spans="1:10" s="316" customFormat="1">
      <c r="A1840" s="321">
        <v>75</v>
      </c>
      <c r="B1840" s="295">
        <f t="shared" si="327"/>
        <v>63</v>
      </c>
      <c r="C1840" s="321">
        <v>3.2</v>
      </c>
      <c r="D1840" s="321" t="s">
        <v>113</v>
      </c>
      <c r="E1840" s="321">
        <v>36</v>
      </c>
      <c r="F1840" s="316">
        <f t="shared" si="325"/>
        <v>1.2</v>
      </c>
      <c r="G1840" s="321">
        <v>5.6</v>
      </c>
      <c r="H1840" s="321">
        <v>5.5</v>
      </c>
      <c r="I1840" s="315">
        <f t="shared" si="336"/>
        <v>84.699999999999989</v>
      </c>
      <c r="J1840" s="316">
        <f t="shared" si="326"/>
        <v>0.44138491682994951</v>
      </c>
    </row>
    <row r="1841" spans="1:10" s="316" customFormat="1">
      <c r="A1841" s="321">
        <v>75</v>
      </c>
      <c r="B1841" s="295">
        <f t="shared" si="327"/>
        <v>63</v>
      </c>
      <c r="C1841" s="321">
        <v>3.3</v>
      </c>
      <c r="D1841" s="321" t="s">
        <v>114</v>
      </c>
      <c r="E1841" s="321">
        <v>30</v>
      </c>
      <c r="F1841" s="316">
        <f t="shared" si="325"/>
        <v>1.2</v>
      </c>
      <c r="G1841" s="321">
        <v>14.1</v>
      </c>
      <c r="H1841" s="321">
        <v>13.5</v>
      </c>
      <c r="I1841" s="315">
        <f t="shared" si="336"/>
        <v>1284.8625</v>
      </c>
      <c r="J1841" s="316">
        <f t="shared" si="326"/>
        <v>6.2432580174927104</v>
      </c>
    </row>
    <row r="1842" spans="1:10" s="316" customFormat="1">
      <c r="A1842" s="321">
        <v>75</v>
      </c>
      <c r="B1842" s="295">
        <f t="shared" si="327"/>
        <v>63</v>
      </c>
      <c r="C1842" s="321">
        <v>3.4</v>
      </c>
      <c r="D1842" s="321" t="s">
        <v>114</v>
      </c>
      <c r="E1842" s="321"/>
      <c r="F1842" s="316" t="str">
        <f t="shared" si="325"/>
        <v/>
      </c>
      <c r="G1842" s="321"/>
      <c r="H1842" s="321"/>
      <c r="I1842" s="315"/>
      <c r="J1842" s="316" t="str">
        <f t="shared" si="326"/>
        <v/>
      </c>
    </row>
    <row r="1843" spans="1:10" s="316" customFormat="1">
      <c r="A1843" s="321">
        <v>75</v>
      </c>
      <c r="B1843" s="295">
        <f t="shared" si="327"/>
        <v>63</v>
      </c>
      <c r="C1843" s="321">
        <v>3.5</v>
      </c>
      <c r="D1843" s="321" t="s">
        <v>115</v>
      </c>
      <c r="E1843" s="321"/>
      <c r="F1843" s="316" t="str">
        <f t="shared" si="325"/>
        <v/>
      </c>
      <c r="G1843" s="321"/>
      <c r="H1843" s="321"/>
      <c r="I1843" s="315"/>
      <c r="J1843" s="316" t="str">
        <f t="shared" si="326"/>
        <v/>
      </c>
    </row>
    <row r="1844" spans="1:10" s="316" customFormat="1">
      <c r="A1844" s="321">
        <v>75</v>
      </c>
      <c r="B1844" s="295">
        <f t="shared" si="327"/>
        <v>63</v>
      </c>
      <c r="C1844" s="321">
        <v>4.0999999999999996</v>
      </c>
      <c r="D1844" s="321" t="s">
        <v>111</v>
      </c>
      <c r="E1844" s="321"/>
      <c r="F1844" s="316" t="str">
        <f t="shared" si="325"/>
        <v/>
      </c>
      <c r="G1844" s="321"/>
      <c r="H1844" s="321"/>
      <c r="I1844" s="315"/>
      <c r="J1844" s="316" t="str">
        <f t="shared" si="326"/>
        <v/>
      </c>
    </row>
    <row r="1845" spans="1:10" s="316" customFormat="1">
      <c r="A1845" s="321">
        <v>75</v>
      </c>
      <c r="B1845" s="295">
        <f t="shared" si="327"/>
        <v>63</v>
      </c>
      <c r="C1845" s="321">
        <v>4.2</v>
      </c>
      <c r="D1845" s="321" t="s">
        <v>112</v>
      </c>
      <c r="E1845" s="321"/>
      <c r="F1845" s="316" t="str">
        <f t="shared" si="325"/>
        <v/>
      </c>
      <c r="G1845" s="321"/>
      <c r="H1845" s="321"/>
      <c r="I1845" s="315"/>
      <c r="J1845" s="316" t="str">
        <f t="shared" si="326"/>
        <v/>
      </c>
    </row>
    <row r="1846" spans="1:10" s="316" customFormat="1">
      <c r="A1846" s="321">
        <v>75</v>
      </c>
      <c r="B1846" s="295">
        <f t="shared" si="327"/>
        <v>63</v>
      </c>
      <c r="C1846" s="321">
        <v>4.3</v>
      </c>
      <c r="D1846" s="321" t="s">
        <v>113</v>
      </c>
      <c r="E1846" s="321">
        <v>32</v>
      </c>
      <c r="F1846" s="316">
        <f t="shared" si="325"/>
        <v>1.2307692307692308</v>
      </c>
      <c r="G1846" s="321">
        <v>12.1</v>
      </c>
      <c r="H1846" s="321">
        <v>10.5</v>
      </c>
      <c r="I1846" s="315">
        <f t="shared" ref="I1846" si="337">G1846*(H1846^2)*0.5</f>
        <v>667.01249999999993</v>
      </c>
      <c r="J1846" s="316">
        <f t="shared" si="326"/>
        <v>4.789554371553308</v>
      </c>
    </row>
    <row r="1847" spans="1:10" s="316" customFormat="1">
      <c r="A1847" s="321">
        <v>75</v>
      </c>
      <c r="B1847" s="295">
        <f t="shared" si="327"/>
        <v>63</v>
      </c>
      <c r="C1847" s="321">
        <v>4.4000000000000004</v>
      </c>
      <c r="D1847" s="321" t="s">
        <v>112</v>
      </c>
      <c r="E1847" s="321"/>
      <c r="F1847" s="316" t="str">
        <f t="shared" si="325"/>
        <v/>
      </c>
      <c r="G1847" s="321"/>
      <c r="H1847" s="321"/>
      <c r="I1847" s="315"/>
      <c r="J1847" s="316" t="str">
        <f t="shared" si="326"/>
        <v/>
      </c>
    </row>
    <row r="1848" spans="1:10" s="316" customFormat="1">
      <c r="A1848" s="321">
        <v>75</v>
      </c>
      <c r="B1848" s="295">
        <f t="shared" si="327"/>
        <v>63</v>
      </c>
      <c r="C1848" s="321">
        <v>4.5</v>
      </c>
      <c r="D1848" s="321" t="s">
        <v>112</v>
      </c>
      <c r="E1848" s="321"/>
      <c r="F1848" s="316" t="str">
        <f t="shared" si="325"/>
        <v/>
      </c>
      <c r="G1848" s="321"/>
      <c r="H1848" s="321"/>
      <c r="I1848" s="315"/>
      <c r="J1848" s="316" t="str">
        <f t="shared" si="326"/>
        <v/>
      </c>
    </row>
    <row r="1849" spans="1:10" s="316" customFormat="1">
      <c r="A1849" s="321">
        <v>75</v>
      </c>
      <c r="B1849" s="295">
        <f t="shared" si="327"/>
        <v>63</v>
      </c>
      <c r="C1849" s="321">
        <v>5.0999999999999996</v>
      </c>
      <c r="D1849" s="321" t="s">
        <v>113</v>
      </c>
      <c r="E1849" s="321">
        <v>26</v>
      </c>
      <c r="F1849" s="316">
        <f t="shared" si="325"/>
        <v>1.0833333333333333</v>
      </c>
      <c r="G1849" s="321">
        <v>10.3</v>
      </c>
      <c r="H1849" s="321">
        <v>8.4</v>
      </c>
      <c r="I1849" s="315">
        <f t="shared" ref="I1849" si="338">G1849*(H1849^2)*0.5</f>
        <v>363.38400000000001</v>
      </c>
      <c r="J1849" s="316">
        <f t="shared" si="326"/>
        <v>2.1878345264400063</v>
      </c>
    </row>
    <row r="1850" spans="1:10" s="316" customFormat="1">
      <c r="A1850" s="321">
        <v>75</v>
      </c>
      <c r="B1850" s="295">
        <f t="shared" si="327"/>
        <v>63</v>
      </c>
      <c r="C1850" s="321">
        <v>5.2</v>
      </c>
      <c r="D1850" s="321" t="s">
        <v>114</v>
      </c>
      <c r="E1850" s="321"/>
      <c r="F1850" s="316" t="str">
        <f t="shared" si="325"/>
        <v/>
      </c>
      <c r="G1850" s="321"/>
      <c r="H1850" s="321"/>
      <c r="I1850" s="315"/>
      <c r="J1850" s="316" t="str">
        <f t="shared" si="326"/>
        <v/>
      </c>
    </row>
    <row r="1851" spans="1:10" s="316" customFormat="1">
      <c r="A1851" s="321">
        <v>75</v>
      </c>
      <c r="B1851" s="295">
        <f t="shared" si="327"/>
        <v>63</v>
      </c>
      <c r="C1851" s="321">
        <v>5.3</v>
      </c>
      <c r="D1851" s="321" t="s">
        <v>112</v>
      </c>
      <c r="E1851" s="321"/>
      <c r="F1851" s="316" t="str">
        <f t="shared" si="325"/>
        <v/>
      </c>
      <c r="G1851" s="321"/>
      <c r="H1851" s="321"/>
      <c r="I1851" s="315"/>
      <c r="J1851" s="316" t="str">
        <f t="shared" si="326"/>
        <v/>
      </c>
    </row>
    <row r="1852" spans="1:10" s="316" customFormat="1">
      <c r="A1852" s="321">
        <v>75</v>
      </c>
      <c r="B1852" s="295">
        <f t="shared" si="327"/>
        <v>63</v>
      </c>
      <c r="C1852" s="321">
        <v>5.4</v>
      </c>
      <c r="D1852" s="321" t="s">
        <v>113</v>
      </c>
      <c r="E1852" s="321"/>
      <c r="F1852" s="316" t="str">
        <f t="shared" si="325"/>
        <v/>
      </c>
      <c r="G1852" s="321"/>
      <c r="H1852" s="321"/>
      <c r="I1852" s="315"/>
      <c r="J1852" s="316" t="str">
        <f t="shared" si="326"/>
        <v/>
      </c>
    </row>
    <row r="1853" spans="1:10" s="316" customFormat="1">
      <c r="A1853" s="321">
        <v>75</v>
      </c>
      <c r="B1853" s="295">
        <f t="shared" si="327"/>
        <v>63</v>
      </c>
      <c r="C1853" s="321">
        <v>5.5</v>
      </c>
      <c r="D1853" s="321" t="s">
        <v>114</v>
      </c>
      <c r="E1853" s="321"/>
      <c r="F1853" s="316" t="str">
        <f t="shared" si="325"/>
        <v/>
      </c>
      <c r="G1853" s="321"/>
      <c r="H1853" s="321"/>
      <c r="I1853" s="315"/>
      <c r="J1853" s="316" t="str">
        <f t="shared" si="326"/>
        <v/>
      </c>
    </row>
    <row r="1854" spans="1:10" s="316" customFormat="1">
      <c r="A1854" s="321">
        <v>75</v>
      </c>
      <c r="B1854" s="295">
        <f t="shared" si="327"/>
        <v>63</v>
      </c>
      <c r="C1854" s="321">
        <v>6.1</v>
      </c>
      <c r="D1854" s="321" t="s">
        <v>115</v>
      </c>
      <c r="E1854" s="321">
        <v>32</v>
      </c>
      <c r="F1854" s="316">
        <f t="shared" si="325"/>
        <v>1.28</v>
      </c>
      <c r="G1854" s="321">
        <v>19.3</v>
      </c>
      <c r="H1854" s="321">
        <v>12.2</v>
      </c>
      <c r="I1854" s="315">
        <f t="shared" ref="I1854" si="339">G1854*(H1854^2)*0.5</f>
        <v>1436.3059999999998</v>
      </c>
      <c r="J1854" s="316">
        <f t="shared" si="326"/>
        <v>10.67568009513899</v>
      </c>
    </row>
    <row r="1855" spans="1:10" s="316" customFormat="1">
      <c r="A1855" s="321">
        <v>75</v>
      </c>
      <c r="B1855" s="295">
        <f t="shared" si="327"/>
        <v>63</v>
      </c>
      <c r="C1855" s="321">
        <v>6.2</v>
      </c>
      <c r="D1855" s="321" t="s">
        <v>115</v>
      </c>
      <c r="E1855" s="321"/>
      <c r="F1855" s="316" t="str">
        <f t="shared" si="325"/>
        <v/>
      </c>
      <c r="G1855" s="321"/>
      <c r="H1855" s="321"/>
      <c r="I1855" s="315"/>
      <c r="J1855" s="316" t="str">
        <f t="shared" si="326"/>
        <v/>
      </c>
    </row>
    <row r="1856" spans="1:10" s="316" customFormat="1">
      <c r="A1856" s="321">
        <v>75</v>
      </c>
      <c r="B1856" s="295">
        <f t="shared" si="327"/>
        <v>63</v>
      </c>
      <c r="C1856" s="321">
        <v>6.3</v>
      </c>
      <c r="D1856" s="321" t="s">
        <v>114</v>
      </c>
      <c r="E1856" s="321"/>
      <c r="F1856" s="316" t="str">
        <f t="shared" si="325"/>
        <v/>
      </c>
      <c r="G1856" s="321"/>
      <c r="H1856" s="321"/>
      <c r="I1856" s="315"/>
      <c r="J1856" s="316" t="str">
        <f t="shared" si="326"/>
        <v/>
      </c>
    </row>
    <row r="1857" spans="1:10" s="316" customFormat="1">
      <c r="A1857" s="321">
        <v>75</v>
      </c>
      <c r="B1857" s="295">
        <f t="shared" si="327"/>
        <v>63</v>
      </c>
      <c r="C1857" s="321">
        <v>6.4</v>
      </c>
      <c r="D1857" s="321" t="s">
        <v>112</v>
      </c>
      <c r="E1857" s="321"/>
      <c r="F1857" s="316" t="str">
        <f t="shared" si="325"/>
        <v/>
      </c>
      <c r="G1857" s="321"/>
      <c r="H1857" s="321"/>
      <c r="I1857" s="315"/>
      <c r="J1857" s="316" t="str">
        <f t="shared" si="326"/>
        <v/>
      </c>
    </row>
    <row r="1858" spans="1:10" s="316" customFormat="1">
      <c r="A1858" s="321">
        <v>75</v>
      </c>
      <c r="B1858" s="295">
        <f t="shared" si="327"/>
        <v>63</v>
      </c>
      <c r="C1858" s="321">
        <v>6.5</v>
      </c>
      <c r="D1858" s="321" t="s">
        <v>113</v>
      </c>
      <c r="E1858" s="321"/>
      <c r="F1858" s="316" t="str">
        <f t="shared" si="325"/>
        <v/>
      </c>
      <c r="G1858" s="321"/>
      <c r="H1858" s="321"/>
      <c r="I1858" s="315"/>
      <c r="J1858" s="316" t="str">
        <f t="shared" si="326"/>
        <v/>
      </c>
    </row>
    <row r="1859" spans="1:10" s="316" customFormat="1">
      <c r="A1859" s="321">
        <v>75</v>
      </c>
      <c r="B1859" s="295">
        <f t="shared" si="327"/>
        <v>63</v>
      </c>
      <c r="C1859" s="321">
        <v>7.1</v>
      </c>
      <c r="D1859" s="321" t="s">
        <v>114</v>
      </c>
      <c r="E1859" s="321">
        <v>32</v>
      </c>
      <c r="F1859" s="316">
        <f t="shared" si="325"/>
        <v>1.1851851851851851</v>
      </c>
      <c r="G1859" s="321">
        <v>14.4</v>
      </c>
      <c r="H1859" s="321">
        <v>12.4</v>
      </c>
      <c r="I1859" s="315">
        <f t="shared" ref="I1859" si="340">G1859*(H1859^2)*0.5</f>
        <v>1107.0720000000001</v>
      </c>
      <c r="J1859" s="316">
        <f t="shared" si="326"/>
        <v>8.2005333333333343</v>
      </c>
    </row>
    <row r="1860" spans="1:10" s="316" customFormat="1">
      <c r="A1860" s="321">
        <v>75</v>
      </c>
      <c r="B1860" s="295">
        <f t="shared" si="327"/>
        <v>63</v>
      </c>
      <c r="C1860" s="321">
        <v>7.2</v>
      </c>
      <c r="D1860" s="321" t="s">
        <v>111</v>
      </c>
      <c r="E1860" s="321"/>
      <c r="F1860" s="316" t="str">
        <f t="shared" si="325"/>
        <v/>
      </c>
      <c r="G1860" s="321"/>
      <c r="H1860" s="321"/>
      <c r="I1860" s="315"/>
      <c r="J1860" s="316" t="str">
        <f t="shared" si="326"/>
        <v/>
      </c>
    </row>
    <row r="1861" spans="1:10" s="316" customFormat="1">
      <c r="A1861" s="321">
        <v>75</v>
      </c>
      <c r="B1861" s="295">
        <f t="shared" si="327"/>
        <v>63</v>
      </c>
      <c r="C1861" s="321">
        <v>7.3</v>
      </c>
      <c r="D1861" s="321" t="s">
        <v>113</v>
      </c>
      <c r="E1861" s="321">
        <v>30</v>
      </c>
      <c r="F1861" s="316">
        <f t="shared" si="325"/>
        <v>1.1111111111111112</v>
      </c>
      <c r="G1861" s="321">
        <v>5</v>
      </c>
      <c r="H1861" s="321">
        <v>4.2</v>
      </c>
      <c r="I1861" s="315">
        <f t="shared" ref="I1861" si="341">G1861*(H1861^2)*0.5</f>
        <v>44.1</v>
      </c>
      <c r="J1861" s="316">
        <f t="shared" si="326"/>
        <v>0.30864197530864201</v>
      </c>
    </row>
    <row r="1862" spans="1:10" s="316" customFormat="1">
      <c r="A1862" s="321">
        <v>75</v>
      </c>
      <c r="B1862" s="295">
        <f t="shared" si="327"/>
        <v>63</v>
      </c>
      <c r="C1862" s="321">
        <v>7.4</v>
      </c>
      <c r="D1862" s="321" t="s">
        <v>115</v>
      </c>
      <c r="E1862" s="321"/>
      <c r="F1862" s="316" t="str">
        <f t="shared" si="325"/>
        <v/>
      </c>
      <c r="G1862" s="321"/>
      <c r="H1862" s="321"/>
      <c r="I1862" s="315"/>
      <c r="J1862" s="316" t="str">
        <f t="shared" si="326"/>
        <v/>
      </c>
    </row>
    <row r="1863" spans="1:10" s="316" customFormat="1">
      <c r="A1863" s="321">
        <v>75</v>
      </c>
      <c r="B1863" s="295">
        <f t="shared" si="327"/>
        <v>63</v>
      </c>
      <c r="C1863" s="321">
        <v>7.5</v>
      </c>
      <c r="D1863" s="321" t="s">
        <v>111</v>
      </c>
      <c r="E1863" s="321"/>
      <c r="F1863" s="316" t="str">
        <f t="shared" si="325"/>
        <v/>
      </c>
      <c r="G1863" s="321"/>
      <c r="H1863" s="321"/>
      <c r="I1863" s="315"/>
      <c r="J1863" s="316" t="str">
        <f t="shared" si="326"/>
        <v/>
      </c>
    </row>
    <row r="1864" spans="1:10" s="316" customFormat="1">
      <c r="A1864" s="321">
        <v>77</v>
      </c>
      <c r="B1864" s="295">
        <f t="shared" si="327"/>
        <v>65</v>
      </c>
      <c r="C1864" s="321">
        <v>1.1000000000000001</v>
      </c>
      <c r="D1864" s="321" t="s">
        <v>112</v>
      </c>
      <c r="E1864" s="321"/>
      <c r="F1864" s="316" t="str">
        <f t="shared" si="325"/>
        <v/>
      </c>
      <c r="G1864" s="321"/>
      <c r="H1864" s="321"/>
      <c r="I1864" s="315"/>
      <c r="J1864" s="316" t="str">
        <f t="shared" si="326"/>
        <v/>
      </c>
    </row>
    <row r="1865" spans="1:10" s="316" customFormat="1">
      <c r="A1865" s="321">
        <v>77</v>
      </c>
      <c r="B1865" s="295">
        <f t="shared" si="327"/>
        <v>65</v>
      </c>
      <c r="C1865" s="321">
        <v>1.2</v>
      </c>
      <c r="D1865" s="321" t="s">
        <v>113</v>
      </c>
      <c r="E1865" s="321">
        <v>32</v>
      </c>
      <c r="F1865" s="316">
        <f t="shared" ref="F1865:F1928" si="342">IF(ISBLANK(E1865),"",E1865/SUMIFS(E:E,C:C,C1865,B:B,"0"))</f>
        <v>1.1851851851851851</v>
      </c>
      <c r="G1865" s="321">
        <v>5.7</v>
      </c>
      <c r="H1865" s="321">
        <v>5.5</v>
      </c>
      <c r="I1865" s="315">
        <f t="shared" ref="I1865" si="343">G1865*(H1865^2)*0.5</f>
        <v>86.212500000000006</v>
      </c>
      <c r="J1865" s="316">
        <f t="shared" ref="J1865:J1928" si="344">IF(ISBLANK(I1865),"",I1865/SUMIFS(I:I,C:C,C1865,B:B,"0"))</f>
        <v>0.41210268568820013</v>
      </c>
    </row>
    <row r="1866" spans="1:10" s="316" customFormat="1">
      <c r="A1866" s="321">
        <v>77</v>
      </c>
      <c r="B1866" s="295">
        <f t="shared" ref="B1866:B1929" si="345">A1866-12</f>
        <v>65</v>
      </c>
      <c r="C1866" s="321">
        <v>1.3</v>
      </c>
      <c r="D1866" s="321" t="s">
        <v>115</v>
      </c>
      <c r="E1866" s="321"/>
      <c r="F1866" s="316" t="str">
        <f t="shared" si="342"/>
        <v/>
      </c>
      <c r="G1866" s="321"/>
      <c r="H1866" s="321"/>
      <c r="I1866" s="315"/>
      <c r="J1866" s="316" t="str">
        <f t="shared" si="344"/>
        <v/>
      </c>
    </row>
    <row r="1867" spans="1:10" s="316" customFormat="1">
      <c r="A1867" s="321">
        <v>77</v>
      </c>
      <c r="B1867" s="295">
        <f t="shared" si="345"/>
        <v>65</v>
      </c>
      <c r="C1867" s="321">
        <v>1.4</v>
      </c>
      <c r="D1867" s="321" t="s">
        <v>115</v>
      </c>
      <c r="E1867" s="321"/>
      <c r="F1867" s="316" t="str">
        <f t="shared" si="342"/>
        <v/>
      </c>
      <c r="G1867" s="321"/>
      <c r="H1867" s="321"/>
      <c r="I1867" s="315"/>
      <c r="J1867" s="316" t="str">
        <f t="shared" si="344"/>
        <v/>
      </c>
    </row>
    <row r="1868" spans="1:10" s="316" customFormat="1">
      <c r="A1868" s="321">
        <v>77</v>
      </c>
      <c r="B1868" s="295">
        <f t="shared" si="345"/>
        <v>65</v>
      </c>
      <c r="C1868" s="321">
        <v>1.5</v>
      </c>
      <c r="D1868" s="321" t="s">
        <v>112</v>
      </c>
      <c r="E1868" s="321">
        <v>30</v>
      </c>
      <c r="F1868" s="316">
        <f t="shared" si="342"/>
        <v>1.0714285714285714</v>
      </c>
      <c r="G1868" s="321">
        <v>14.3</v>
      </c>
      <c r="H1868" s="321">
        <v>13.3</v>
      </c>
      <c r="I1868" s="315">
        <f t="shared" ref="I1868:I1869" si="346">G1868*(H1868^2)*0.5</f>
        <v>1264.7635000000002</v>
      </c>
      <c r="J1868" s="316">
        <f t="shared" si="344"/>
        <v>9.0817691578584565</v>
      </c>
    </row>
    <row r="1869" spans="1:10" s="316" customFormat="1">
      <c r="A1869" s="321">
        <v>77</v>
      </c>
      <c r="B1869" s="295">
        <f t="shared" si="345"/>
        <v>65</v>
      </c>
      <c r="C1869" s="321">
        <v>2.1</v>
      </c>
      <c r="D1869" s="321" t="s">
        <v>114</v>
      </c>
      <c r="E1869" s="321">
        <v>31</v>
      </c>
      <c r="F1869" s="316">
        <f t="shared" si="342"/>
        <v>1.1923076923076923</v>
      </c>
      <c r="G1869" s="321">
        <v>14.5</v>
      </c>
      <c r="H1869" s="321">
        <v>13.9</v>
      </c>
      <c r="I1869" s="315">
        <f t="shared" si="346"/>
        <v>1400.7725</v>
      </c>
      <c r="J1869" s="316">
        <f t="shared" si="344"/>
        <v>7.4485601631398559</v>
      </c>
    </row>
    <row r="1870" spans="1:10" s="316" customFormat="1">
      <c r="A1870" s="321">
        <v>77</v>
      </c>
      <c r="B1870" s="295">
        <f t="shared" si="345"/>
        <v>65</v>
      </c>
      <c r="C1870" s="321">
        <v>2.2000000000000002</v>
      </c>
      <c r="D1870" s="321" t="s">
        <v>115</v>
      </c>
      <c r="E1870" s="321"/>
      <c r="F1870" s="316" t="str">
        <f t="shared" si="342"/>
        <v/>
      </c>
      <c r="G1870" s="321"/>
      <c r="H1870" s="321"/>
      <c r="I1870" s="315"/>
      <c r="J1870" s="316" t="str">
        <f t="shared" si="344"/>
        <v/>
      </c>
    </row>
    <row r="1871" spans="1:10" s="316" customFormat="1">
      <c r="A1871" s="321">
        <v>77</v>
      </c>
      <c r="B1871" s="295">
        <f t="shared" si="345"/>
        <v>65</v>
      </c>
      <c r="C1871" s="321">
        <v>2.2999999999999998</v>
      </c>
      <c r="D1871" s="321" t="s">
        <v>112</v>
      </c>
      <c r="E1871" s="321"/>
      <c r="F1871" s="316" t="str">
        <f t="shared" si="342"/>
        <v/>
      </c>
      <c r="G1871" s="321"/>
      <c r="H1871" s="321"/>
      <c r="I1871" s="315"/>
      <c r="J1871" s="316" t="str">
        <f t="shared" si="344"/>
        <v/>
      </c>
    </row>
    <row r="1872" spans="1:10" s="316" customFormat="1">
      <c r="A1872" s="321">
        <v>77</v>
      </c>
      <c r="B1872" s="295">
        <f t="shared" si="345"/>
        <v>65</v>
      </c>
      <c r="C1872" s="321">
        <v>2.4</v>
      </c>
      <c r="D1872" s="321" t="s">
        <v>114</v>
      </c>
      <c r="E1872" s="321">
        <v>30</v>
      </c>
      <c r="F1872" s="316">
        <f t="shared" si="342"/>
        <v>1.2</v>
      </c>
      <c r="G1872" s="321">
        <v>12</v>
      </c>
      <c r="H1872" s="321">
        <v>11.2</v>
      </c>
      <c r="I1872" s="315">
        <f t="shared" ref="I1872:I1876" si="347">G1872*(H1872^2)*0.5</f>
        <v>752.63999999999987</v>
      </c>
      <c r="J1872" s="316">
        <f t="shared" si="344"/>
        <v>7.0013023255813938</v>
      </c>
    </row>
    <row r="1873" spans="1:10" s="316" customFormat="1">
      <c r="A1873" s="321">
        <v>77</v>
      </c>
      <c r="B1873" s="295">
        <f t="shared" si="345"/>
        <v>65</v>
      </c>
      <c r="C1873" s="321">
        <v>2.5</v>
      </c>
      <c r="D1873" s="321" t="s">
        <v>113</v>
      </c>
      <c r="E1873" s="321">
        <v>32</v>
      </c>
      <c r="F1873" s="316">
        <f t="shared" si="342"/>
        <v>1.1851851851851851</v>
      </c>
      <c r="G1873" s="321">
        <v>9.6</v>
      </c>
      <c r="H1873" s="321">
        <v>8.1999999999999993</v>
      </c>
      <c r="I1873" s="315">
        <f t="shared" si="347"/>
        <v>322.75199999999995</v>
      </c>
      <c r="J1873" s="316">
        <f t="shared" si="344"/>
        <v>1.8920636409468758</v>
      </c>
    </row>
    <row r="1874" spans="1:10" s="316" customFormat="1">
      <c r="A1874" s="321">
        <v>77</v>
      </c>
      <c r="B1874" s="295">
        <f t="shared" si="345"/>
        <v>65</v>
      </c>
      <c r="C1874" s="321">
        <v>3.1</v>
      </c>
      <c r="D1874" s="321" t="s">
        <v>115</v>
      </c>
      <c r="E1874" s="321">
        <v>27</v>
      </c>
      <c r="F1874" s="316">
        <f t="shared" si="342"/>
        <v>1.125</v>
      </c>
      <c r="G1874" s="321">
        <v>8.3000000000000007</v>
      </c>
      <c r="H1874" s="321">
        <v>6.9</v>
      </c>
      <c r="I1874" s="315">
        <f t="shared" si="347"/>
        <v>197.58150000000003</v>
      </c>
      <c r="J1874" s="316">
        <f t="shared" si="344"/>
        <v>1.0875546993257192</v>
      </c>
    </row>
    <row r="1875" spans="1:10" s="316" customFormat="1">
      <c r="A1875" s="321">
        <v>77</v>
      </c>
      <c r="B1875" s="295">
        <f t="shared" si="345"/>
        <v>65</v>
      </c>
      <c r="C1875" s="321">
        <v>3.2</v>
      </c>
      <c r="D1875" s="321" t="s">
        <v>113</v>
      </c>
      <c r="E1875" s="321">
        <v>36</v>
      </c>
      <c r="F1875" s="316">
        <f t="shared" si="342"/>
        <v>1.2</v>
      </c>
      <c r="G1875" s="321">
        <v>6.1</v>
      </c>
      <c r="H1875" s="321">
        <v>5.9</v>
      </c>
      <c r="I1875" s="315">
        <f t="shared" si="347"/>
        <v>106.1705</v>
      </c>
      <c r="J1875" s="316">
        <f t="shared" si="344"/>
        <v>0.55327104264810112</v>
      </c>
    </row>
    <row r="1876" spans="1:10">
      <c r="A1876" s="321">
        <v>77</v>
      </c>
      <c r="B1876" s="295">
        <f t="shared" si="345"/>
        <v>65</v>
      </c>
      <c r="C1876" s="321">
        <v>3.3</v>
      </c>
      <c r="D1876" s="321" t="s">
        <v>114</v>
      </c>
      <c r="E1876" s="321">
        <v>29</v>
      </c>
      <c r="F1876" s="316">
        <f t="shared" si="342"/>
        <v>1.1599999999999999</v>
      </c>
      <c r="G1876" s="321">
        <v>15.3</v>
      </c>
      <c r="H1876" s="321">
        <v>13.7</v>
      </c>
      <c r="I1876" s="315">
        <f t="shared" si="347"/>
        <v>1435.8284999999998</v>
      </c>
      <c r="J1876" s="316">
        <f t="shared" si="344"/>
        <v>6.9768148688046638</v>
      </c>
    </row>
    <row r="1877" spans="1:10">
      <c r="A1877" s="321">
        <v>77</v>
      </c>
      <c r="B1877" s="295">
        <f t="shared" si="345"/>
        <v>65</v>
      </c>
      <c r="C1877" s="321">
        <v>3.4</v>
      </c>
      <c r="D1877" s="321" t="s">
        <v>114</v>
      </c>
      <c r="E1877" s="321"/>
      <c r="F1877" s="316" t="str">
        <f t="shared" si="342"/>
        <v/>
      </c>
      <c r="G1877" s="321"/>
      <c r="H1877" s="321"/>
      <c r="J1877" s="316" t="str">
        <f t="shared" si="344"/>
        <v/>
      </c>
    </row>
    <row r="1878" spans="1:10">
      <c r="A1878" s="321">
        <v>77</v>
      </c>
      <c r="B1878" s="295">
        <f t="shared" si="345"/>
        <v>65</v>
      </c>
      <c r="C1878" s="321">
        <v>3.5</v>
      </c>
      <c r="D1878" s="321" t="s">
        <v>115</v>
      </c>
      <c r="E1878" s="321"/>
      <c r="F1878" s="316" t="str">
        <f t="shared" si="342"/>
        <v/>
      </c>
      <c r="G1878" s="321"/>
      <c r="H1878" s="321"/>
      <c r="J1878" s="316" t="str">
        <f t="shared" si="344"/>
        <v/>
      </c>
    </row>
    <row r="1879" spans="1:10">
      <c r="A1879" s="321">
        <v>77</v>
      </c>
      <c r="B1879" s="295">
        <f t="shared" si="345"/>
        <v>65</v>
      </c>
      <c r="C1879" s="321">
        <v>4.0999999999999996</v>
      </c>
      <c r="D1879" s="321" t="s">
        <v>111</v>
      </c>
      <c r="E1879" s="321"/>
      <c r="F1879" s="316" t="str">
        <f t="shared" si="342"/>
        <v/>
      </c>
      <c r="G1879" s="321"/>
      <c r="H1879" s="321"/>
      <c r="J1879" s="316" t="str">
        <f t="shared" si="344"/>
        <v/>
      </c>
    </row>
    <row r="1880" spans="1:10">
      <c r="A1880" s="321">
        <v>77</v>
      </c>
      <c r="B1880" s="295">
        <f t="shared" si="345"/>
        <v>65</v>
      </c>
      <c r="C1880" s="321">
        <v>4.2</v>
      </c>
      <c r="D1880" s="321" t="s">
        <v>112</v>
      </c>
      <c r="E1880" s="321"/>
      <c r="F1880" s="316" t="str">
        <f t="shared" si="342"/>
        <v/>
      </c>
      <c r="G1880" s="321"/>
      <c r="H1880" s="321"/>
      <c r="J1880" s="316" t="str">
        <f t="shared" si="344"/>
        <v/>
      </c>
    </row>
    <row r="1881" spans="1:10">
      <c r="A1881" s="321">
        <v>77</v>
      </c>
      <c r="B1881" s="295">
        <f t="shared" si="345"/>
        <v>65</v>
      </c>
      <c r="C1881" s="321">
        <v>4.3</v>
      </c>
      <c r="D1881" s="321" t="s">
        <v>113</v>
      </c>
      <c r="E1881" s="321">
        <v>33</v>
      </c>
      <c r="F1881" s="316">
        <f t="shared" si="342"/>
        <v>1.2692307692307692</v>
      </c>
      <c r="G1881" s="321">
        <v>12.2</v>
      </c>
      <c r="H1881" s="321">
        <v>10.9</v>
      </c>
      <c r="I1881" s="315">
        <f t="shared" ref="I1881" si="348">G1881*(H1881^2)*0.5</f>
        <v>724.74099999999999</v>
      </c>
      <c r="J1881" s="316">
        <f t="shared" si="344"/>
        <v>5.2040800206801467</v>
      </c>
    </row>
    <row r="1882" spans="1:10">
      <c r="A1882" s="321">
        <v>77</v>
      </c>
      <c r="B1882" s="295">
        <f t="shared" si="345"/>
        <v>65</v>
      </c>
      <c r="C1882" s="321">
        <v>4.4000000000000004</v>
      </c>
      <c r="D1882" s="321" t="s">
        <v>112</v>
      </c>
      <c r="E1882" s="321"/>
      <c r="F1882" s="316" t="str">
        <f t="shared" si="342"/>
        <v/>
      </c>
      <c r="G1882" s="321"/>
      <c r="H1882" s="321"/>
      <c r="J1882" s="316" t="str">
        <f t="shared" si="344"/>
        <v/>
      </c>
    </row>
    <row r="1883" spans="1:10">
      <c r="A1883" s="321">
        <v>77</v>
      </c>
      <c r="B1883" s="295">
        <f t="shared" si="345"/>
        <v>65</v>
      </c>
      <c r="C1883" s="321">
        <v>4.5</v>
      </c>
      <c r="D1883" s="321" t="s">
        <v>112</v>
      </c>
      <c r="E1883" s="321"/>
      <c r="F1883" s="316" t="str">
        <f t="shared" si="342"/>
        <v/>
      </c>
      <c r="G1883" s="321"/>
      <c r="H1883" s="321"/>
      <c r="J1883" s="316" t="str">
        <f t="shared" si="344"/>
        <v/>
      </c>
    </row>
    <row r="1884" spans="1:10">
      <c r="A1884" s="321">
        <v>77</v>
      </c>
      <c r="B1884" s="295">
        <f t="shared" si="345"/>
        <v>65</v>
      </c>
      <c r="C1884" s="321">
        <v>5.0999999999999996</v>
      </c>
      <c r="D1884" s="321" t="s">
        <v>113</v>
      </c>
      <c r="E1884" s="321">
        <v>25</v>
      </c>
      <c r="F1884" s="316">
        <f t="shared" si="342"/>
        <v>1.0416666666666667</v>
      </c>
      <c r="G1884" s="321">
        <v>9.9</v>
      </c>
      <c r="H1884" s="321">
        <v>9</v>
      </c>
      <c r="I1884" s="315">
        <f t="shared" ref="I1884" si="349">G1884*(H1884^2)*0.5</f>
        <v>400.95</v>
      </c>
      <c r="J1884" s="316">
        <f t="shared" si="344"/>
        <v>2.4140090190435477</v>
      </c>
    </row>
    <row r="1885" spans="1:10">
      <c r="A1885" s="321">
        <v>77</v>
      </c>
      <c r="B1885" s="295">
        <f t="shared" si="345"/>
        <v>65</v>
      </c>
      <c r="C1885" s="321">
        <v>5.2</v>
      </c>
      <c r="D1885" s="321" t="s">
        <v>114</v>
      </c>
      <c r="E1885" s="321"/>
      <c r="F1885" s="316" t="str">
        <f t="shared" si="342"/>
        <v/>
      </c>
      <c r="G1885" s="321"/>
      <c r="H1885" s="321"/>
      <c r="J1885" s="316" t="str">
        <f t="shared" si="344"/>
        <v/>
      </c>
    </row>
    <row r="1886" spans="1:10">
      <c r="A1886" s="321">
        <v>77</v>
      </c>
      <c r="B1886" s="295">
        <f t="shared" si="345"/>
        <v>65</v>
      </c>
      <c r="C1886" s="321">
        <v>5.3</v>
      </c>
      <c r="D1886" s="321" t="s">
        <v>112</v>
      </c>
      <c r="E1886" s="321"/>
      <c r="F1886" s="316" t="str">
        <f t="shared" si="342"/>
        <v/>
      </c>
      <c r="G1886" s="321"/>
      <c r="H1886" s="321"/>
      <c r="J1886" s="316" t="str">
        <f t="shared" si="344"/>
        <v/>
      </c>
    </row>
    <row r="1887" spans="1:10">
      <c r="A1887" s="321">
        <v>77</v>
      </c>
      <c r="B1887" s="295">
        <f t="shared" si="345"/>
        <v>65</v>
      </c>
      <c r="C1887" s="321">
        <v>5.4</v>
      </c>
      <c r="D1887" s="321" t="s">
        <v>113</v>
      </c>
      <c r="E1887" s="321"/>
      <c r="F1887" s="316" t="str">
        <f t="shared" si="342"/>
        <v/>
      </c>
      <c r="G1887" s="321"/>
      <c r="H1887" s="321"/>
      <c r="J1887" s="316" t="str">
        <f t="shared" si="344"/>
        <v/>
      </c>
    </row>
    <row r="1888" spans="1:10">
      <c r="A1888" s="321">
        <v>77</v>
      </c>
      <c r="B1888" s="295">
        <f t="shared" si="345"/>
        <v>65</v>
      </c>
      <c r="C1888" s="321">
        <v>5.5</v>
      </c>
      <c r="D1888" s="321" t="s">
        <v>114</v>
      </c>
      <c r="E1888" s="321"/>
      <c r="F1888" s="316" t="str">
        <f t="shared" si="342"/>
        <v/>
      </c>
      <c r="G1888" s="321"/>
      <c r="H1888" s="321"/>
      <c r="J1888" s="316" t="str">
        <f t="shared" si="344"/>
        <v/>
      </c>
    </row>
    <row r="1889" spans="1:11">
      <c r="A1889" s="321">
        <v>77</v>
      </c>
      <c r="B1889" s="295">
        <f t="shared" si="345"/>
        <v>65</v>
      </c>
      <c r="C1889" s="321">
        <v>6.1</v>
      </c>
      <c r="D1889" s="321" t="s">
        <v>115</v>
      </c>
      <c r="E1889" s="321">
        <v>31</v>
      </c>
      <c r="F1889" s="316">
        <f t="shared" si="342"/>
        <v>1.24</v>
      </c>
      <c r="G1889" s="321">
        <v>20.100000000000001</v>
      </c>
      <c r="H1889" s="321">
        <v>13.3</v>
      </c>
      <c r="I1889" s="315">
        <f t="shared" ref="I1889" si="350">G1889*(H1889^2)*0.5</f>
        <v>1777.7445000000002</v>
      </c>
      <c r="J1889" s="316">
        <f t="shared" si="344"/>
        <v>13.213501560874089</v>
      </c>
      <c r="K1889" s="316" t="s">
        <v>172</v>
      </c>
    </row>
    <row r="1890" spans="1:11">
      <c r="A1890" s="321">
        <v>77</v>
      </c>
      <c r="B1890" s="295">
        <f t="shared" si="345"/>
        <v>65</v>
      </c>
      <c r="C1890" s="321">
        <v>6.2</v>
      </c>
      <c r="D1890" s="321" t="s">
        <v>115</v>
      </c>
      <c r="E1890" s="321"/>
      <c r="F1890" s="316" t="str">
        <f t="shared" si="342"/>
        <v/>
      </c>
      <c r="G1890" s="321"/>
      <c r="H1890" s="321"/>
      <c r="J1890" s="316" t="str">
        <f t="shared" si="344"/>
        <v/>
      </c>
    </row>
    <row r="1891" spans="1:11">
      <c r="A1891" s="321">
        <v>77</v>
      </c>
      <c r="B1891" s="295">
        <f t="shared" si="345"/>
        <v>65</v>
      </c>
      <c r="C1891" s="321">
        <v>6.3</v>
      </c>
      <c r="D1891" s="321" t="s">
        <v>114</v>
      </c>
      <c r="E1891" s="321"/>
      <c r="F1891" s="316" t="str">
        <f t="shared" si="342"/>
        <v/>
      </c>
      <c r="G1891" s="321"/>
      <c r="H1891" s="321"/>
      <c r="J1891" s="316" t="str">
        <f t="shared" si="344"/>
        <v/>
      </c>
    </row>
    <row r="1892" spans="1:11">
      <c r="A1892" s="321">
        <v>77</v>
      </c>
      <c r="B1892" s="295">
        <f t="shared" si="345"/>
        <v>65</v>
      </c>
      <c r="C1892" s="321">
        <v>6.4</v>
      </c>
      <c r="D1892" s="321" t="s">
        <v>112</v>
      </c>
      <c r="E1892" s="321"/>
      <c r="F1892" s="316" t="str">
        <f t="shared" si="342"/>
        <v/>
      </c>
      <c r="G1892" s="321"/>
      <c r="H1892" s="321"/>
      <c r="J1892" s="316" t="str">
        <f t="shared" si="344"/>
        <v/>
      </c>
    </row>
    <row r="1893" spans="1:11">
      <c r="A1893" s="321">
        <v>77</v>
      </c>
      <c r="B1893" s="295">
        <f t="shared" si="345"/>
        <v>65</v>
      </c>
      <c r="C1893" s="321">
        <v>6.5</v>
      </c>
      <c r="D1893" s="321" t="s">
        <v>113</v>
      </c>
      <c r="E1893" s="321"/>
      <c r="F1893" s="316" t="str">
        <f t="shared" si="342"/>
        <v/>
      </c>
      <c r="G1893" s="321"/>
      <c r="H1893" s="321"/>
      <c r="J1893" s="316" t="str">
        <f t="shared" si="344"/>
        <v/>
      </c>
    </row>
    <row r="1894" spans="1:11">
      <c r="A1894" s="321">
        <v>77</v>
      </c>
      <c r="B1894" s="295">
        <f t="shared" si="345"/>
        <v>65</v>
      </c>
      <c r="C1894" s="321">
        <v>7.1</v>
      </c>
      <c r="D1894" s="321" t="s">
        <v>114</v>
      </c>
      <c r="E1894" s="321">
        <v>31</v>
      </c>
      <c r="F1894" s="316">
        <f t="shared" si="342"/>
        <v>1.1481481481481481</v>
      </c>
      <c r="G1894" s="321">
        <v>14.1</v>
      </c>
      <c r="H1894" s="321">
        <v>12.6</v>
      </c>
      <c r="I1894" s="315">
        <f t="shared" ref="I1894" si="351">G1894*(H1894^2)*0.5</f>
        <v>1119.2579999999998</v>
      </c>
      <c r="J1894" s="316">
        <f t="shared" si="344"/>
        <v>8.2907999999999991</v>
      </c>
    </row>
    <row r="1895" spans="1:11">
      <c r="A1895" s="321">
        <v>77</v>
      </c>
      <c r="B1895" s="295">
        <f t="shared" si="345"/>
        <v>65</v>
      </c>
      <c r="C1895" s="321">
        <v>7.2</v>
      </c>
      <c r="D1895" s="321" t="s">
        <v>111</v>
      </c>
      <c r="E1895" s="321"/>
      <c r="F1895" s="316" t="str">
        <f t="shared" si="342"/>
        <v/>
      </c>
      <c r="G1895" s="321"/>
      <c r="H1895" s="321"/>
      <c r="J1895" s="316" t="str">
        <f t="shared" si="344"/>
        <v/>
      </c>
    </row>
    <row r="1896" spans="1:11">
      <c r="A1896" s="321">
        <v>77</v>
      </c>
      <c r="B1896" s="295">
        <f t="shared" si="345"/>
        <v>65</v>
      </c>
      <c r="C1896" s="321">
        <v>7.3</v>
      </c>
      <c r="D1896" s="321" t="s">
        <v>113</v>
      </c>
      <c r="E1896" s="321">
        <v>30</v>
      </c>
      <c r="F1896" s="316">
        <f t="shared" si="342"/>
        <v>1.1111111111111112</v>
      </c>
      <c r="G1896" s="321">
        <v>4.5999999999999996</v>
      </c>
      <c r="H1896" s="321">
        <v>4.5</v>
      </c>
      <c r="I1896" s="315">
        <f t="shared" ref="I1896" si="352">G1896*(H1896^2)*0.5</f>
        <v>46.574999999999996</v>
      </c>
      <c r="J1896" s="316">
        <f t="shared" si="344"/>
        <v>0.32596371882086167</v>
      </c>
    </row>
    <row r="1897" spans="1:11">
      <c r="A1897" s="321">
        <v>77</v>
      </c>
      <c r="B1897" s="295">
        <f t="shared" si="345"/>
        <v>65</v>
      </c>
      <c r="C1897" s="321">
        <v>7.4</v>
      </c>
      <c r="D1897" s="321" t="s">
        <v>115</v>
      </c>
      <c r="E1897" s="321"/>
      <c r="F1897" s="316" t="str">
        <f t="shared" si="342"/>
        <v/>
      </c>
      <c r="G1897" s="321"/>
      <c r="H1897" s="321"/>
      <c r="J1897" s="316" t="str">
        <f t="shared" si="344"/>
        <v/>
      </c>
    </row>
    <row r="1898" spans="1:11">
      <c r="A1898" s="321">
        <v>77</v>
      </c>
      <c r="B1898" s="295">
        <f t="shared" si="345"/>
        <v>65</v>
      </c>
      <c r="C1898" s="321">
        <v>7.5</v>
      </c>
      <c r="D1898" s="321" t="s">
        <v>111</v>
      </c>
      <c r="E1898" s="321"/>
      <c r="F1898" s="316" t="str">
        <f t="shared" si="342"/>
        <v/>
      </c>
      <c r="G1898" s="321"/>
      <c r="H1898" s="321"/>
      <c r="J1898" s="316" t="str">
        <f t="shared" si="344"/>
        <v/>
      </c>
    </row>
    <row r="1899" spans="1:11">
      <c r="A1899" s="321">
        <v>79</v>
      </c>
      <c r="B1899" s="295">
        <f t="shared" si="345"/>
        <v>67</v>
      </c>
      <c r="C1899" s="321">
        <v>1.1000000000000001</v>
      </c>
      <c r="D1899" s="321" t="s">
        <v>112</v>
      </c>
      <c r="E1899" s="321"/>
      <c r="F1899" s="316" t="str">
        <f t="shared" si="342"/>
        <v/>
      </c>
      <c r="G1899" s="321"/>
      <c r="H1899" s="321"/>
      <c r="J1899" s="316" t="str">
        <f t="shared" si="344"/>
        <v/>
      </c>
    </row>
    <row r="1900" spans="1:11">
      <c r="A1900" s="321">
        <v>79</v>
      </c>
      <c r="B1900" s="295">
        <f t="shared" si="345"/>
        <v>67</v>
      </c>
      <c r="C1900" s="321">
        <v>1.2</v>
      </c>
      <c r="D1900" s="321" t="s">
        <v>113</v>
      </c>
      <c r="E1900" s="321">
        <v>33</v>
      </c>
      <c r="F1900" s="316">
        <f t="shared" si="342"/>
        <v>1.2222222222222223</v>
      </c>
      <c r="G1900" s="321">
        <v>8.1</v>
      </c>
      <c r="H1900" s="321">
        <v>6.6</v>
      </c>
      <c r="I1900" s="315">
        <f t="shared" ref="I1900" si="353">G1900*(H1900^2)*0.5</f>
        <v>176.41799999999998</v>
      </c>
      <c r="J1900" s="316">
        <f t="shared" si="344"/>
        <v>0.84329223260827468</v>
      </c>
    </row>
    <row r="1901" spans="1:11">
      <c r="A1901" s="321">
        <v>79</v>
      </c>
      <c r="B1901" s="295">
        <f t="shared" si="345"/>
        <v>67</v>
      </c>
      <c r="C1901" s="321">
        <v>1.3</v>
      </c>
      <c r="D1901" s="321" t="s">
        <v>115</v>
      </c>
      <c r="E1901" s="321"/>
      <c r="F1901" s="316" t="str">
        <f t="shared" si="342"/>
        <v/>
      </c>
      <c r="G1901" s="321"/>
      <c r="H1901" s="321"/>
      <c r="J1901" s="316" t="str">
        <f t="shared" si="344"/>
        <v/>
      </c>
    </row>
    <row r="1902" spans="1:11">
      <c r="A1902" s="321">
        <v>79</v>
      </c>
      <c r="B1902" s="295">
        <f t="shared" si="345"/>
        <v>67</v>
      </c>
      <c r="C1902" s="321">
        <v>1.4</v>
      </c>
      <c r="D1902" s="321" t="s">
        <v>115</v>
      </c>
      <c r="E1902" s="321"/>
      <c r="F1902" s="316" t="str">
        <f t="shared" si="342"/>
        <v/>
      </c>
      <c r="G1902" s="321"/>
      <c r="H1902" s="321"/>
      <c r="J1902" s="316" t="str">
        <f t="shared" si="344"/>
        <v/>
      </c>
    </row>
    <row r="1903" spans="1:11">
      <c r="A1903" s="321">
        <v>79</v>
      </c>
      <c r="B1903" s="295">
        <f t="shared" si="345"/>
        <v>67</v>
      </c>
      <c r="C1903" s="321">
        <v>1.5</v>
      </c>
      <c r="D1903" s="321" t="s">
        <v>112</v>
      </c>
      <c r="E1903" s="321">
        <v>31</v>
      </c>
      <c r="F1903" s="316">
        <f t="shared" si="342"/>
        <v>1.1071428571428572</v>
      </c>
      <c r="G1903" s="321">
        <v>14.5</v>
      </c>
      <c r="H1903" s="321">
        <v>13.8</v>
      </c>
      <c r="I1903" s="315">
        <f t="shared" ref="I1903:I1904" si="354">G1903*(H1903^2)*0.5</f>
        <v>1380.6900000000003</v>
      </c>
      <c r="J1903" s="316">
        <f t="shared" si="344"/>
        <v>9.9141917509191195</v>
      </c>
    </row>
    <row r="1904" spans="1:11">
      <c r="A1904" s="321">
        <v>79</v>
      </c>
      <c r="B1904" s="295">
        <f t="shared" si="345"/>
        <v>67</v>
      </c>
      <c r="C1904" s="321">
        <v>2.1</v>
      </c>
      <c r="D1904" s="321" t="s">
        <v>114</v>
      </c>
      <c r="E1904" s="321">
        <v>31</v>
      </c>
      <c r="F1904" s="316">
        <f t="shared" si="342"/>
        <v>1.1923076923076923</v>
      </c>
      <c r="G1904" s="321">
        <v>16.3</v>
      </c>
      <c r="H1904" s="321">
        <v>14.8</v>
      </c>
      <c r="I1904" s="315">
        <f t="shared" si="354"/>
        <v>1785.1760000000002</v>
      </c>
      <c r="J1904" s="316">
        <f t="shared" si="344"/>
        <v>9.4926127103390137</v>
      </c>
      <c r="K1904" s="316" t="s">
        <v>172</v>
      </c>
    </row>
    <row r="1905" spans="1:10">
      <c r="A1905" s="321">
        <v>79</v>
      </c>
      <c r="B1905" s="295">
        <f t="shared" si="345"/>
        <v>67</v>
      </c>
      <c r="C1905" s="321">
        <v>2.2000000000000002</v>
      </c>
      <c r="D1905" s="321" t="s">
        <v>115</v>
      </c>
      <c r="E1905" s="321"/>
      <c r="F1905" s="316" t="str">
        <f t="shared" si="342"/>
        <v/>
      </c>
      <c r="G1905" s="321"/>
      <c r="H1905" s="321"/>
      <c r="J1905" s="316" t="str">
        <f t="shared" si="344"/>
        <v/>
      </c>
    </row>
    <row r="1906" spans="1:10">
      <c r="A1906" s="321">
        <v>79</v>
      </c>
      <c r="B1906" s="295">
        <f t="shared" si="345"/>
        <v>67</v>
      </c>
      <c r="C1906" s="321">
        <v>2.2999999999999998</v>
      </c>
      <c r="D1906" s="321" t="s">
        <v>112</v>
      </c>
      <c r="E1906" s="321"/>
      <c r="F1906" s="316" t="str">
        <f t="shared" si="342"/>
        <v/>
      </c>
      <c r="G1906" s="321"/>
      <c r="H1906" s="321"/>
      <c r="J1906" s="316" t="str">
        <f t="shared" si="344"/>
        <v/>
      </c>
    </row>
    <row r="1907" spans="1:10">
      <c r="A1907" s="321">
        <v>79</v>
      </c>
      <c r="B1907" s="295">
        <f t="shared" si="345"/>
        <v>67</v>
      </c>
      <c r="C1907" s="321">
        <v>2.4</v>
      </c>
      <c r="D1907" s="321" t="s">
        <v>114</v>
      </c>
      <c r="E1907" s="321">
        <v>31</v>
      </c>
      <c r="F1907" s="316">
        <f t="shared" si="342"/>
        <v>1.24</v>
      </c>
      <c r="G1907" s="321">
        <v>13.7</v>
      </c>
      <c r="H1907" s="321">
        <v>11</v>
      </c>
      <c r="I1907" s="315">
        <f t="shared" ref="I1907:I1911" si="355">G1907*(H1907^2)*0.5</f>
        <v>828.84999999999991</v>
      </c>
      <c r="J1907" s="316">
        <f t="shared" si="344"/>
        <v>7.7102325581395341</v>
      </c>
    </row>
    <row r="1908" spans="1:10" s="316" customFormat="1">
      <c r="A1908" s="321">
        <v>79</v>
      </c>
      <c r="B1908" s="295">
        <f t="shared" si="345"/>
        <v>67</v>
      </c>
      <c r="C1908" s="321">
        <v>2.5</v>
      </c>
      <c r="D1908" s="321" t="s">
        <v>113</v>
      </c>
      <c r="E1908" s="321">
        <v>33</v>
      </c>
      <c r="F1908" s="316">
        <f t="shared" si="342"/>
        <v>1.2222222222222223</v>
      </c>
      <c r="G1908" s="321">
        <v>10.9</v>
      </c>
      <c r="H1908" s="321">
        <v>9.9</v>
      </c>
      <c r="I1908" s="315">
        <f t="shared" si="355"/>
        <v>534.1545000000001</v>
      </c>
      <c r="J1908" s="316">
        <f t="shared" si="344"/>
        <v>3.131364974030086</v>
      </c>
    </row>
    <row r="1909" spans="1:10" s="316" customFormat="1">
      <c r="A1909" s="321">
        <v>79</v>
      </c>
      <c r="B1909" s="295">
        <f t="shared" si="345"/>
        <v>67</v>
      </c>
      <c r="C1909" s="321">
        <v>3.1</v>
      </c>
      <c r="D1909" s="321" t="s">
        <v>115</v>
      </c>
      <c r="E1909" s="321">
        <v>31</v>
      </c>
      <c r="F1909" s="316">
        <f t="shared" si="342"/>
        <v>1.2916666666666667</v>
      </c>
      <c r="G1909" s="321">
        <v>9.1</v>
      </c>
      <c r="H1909" s="321">
        <v>8.1</v>
      </c>
      <c r="I1909" s="315">
        <f t="shared" si="355"/>
        <v>298.52549999999997</v>
      </c>
      <c r="J1909" s="316">
        <f t="shared" si="344"/>
        <v>1.6431842576028621</v>
      </c>
    </row>
    <row r="1910" spans="1:10" s="316" customFormat="1">
      <c r="A1910" s="321">
        <v>79</v>
      </c>
      <c r="B1910" s="295">
        <f t="shared" si="345"/>
        <v>67</v>
      </c>
      <c r="C1910" s="321">
        <v>3.2</v>
      </c>
      <c r="D1910" s="321" t="s">
        <v>113</v>
      </c>
      <c r="E1910" s="321">
        <v>37</v>
      </c>
      <c r="F1910" s="316">
        <f t="shared" si="342"/>
        <v>1.2333333333333334</v>
      </c>
      <c r="G1910" s="321">
        <v>7.9</v>
      </c>
      <c r="H1910" s="321">
        <v>6.5</v>
      </c>
      <c r="I1910" s="315">
        <f t="shared" si="355"/>
        <v>166.88750000000002</v>
      </c>
      <c r="J1910" s="316">
        <f t="shared" si="344"/>
        <v>0.86967680410222215</v>
      </c>
    </row>
    <row r="1911" spans="1:10" s="316" customFormat="1">
      <c r="A1911" s="321">
        <v>79</v>
      </c>
      <c r="B1911" s="295">
        <f t="shared" si="345"/>
        <v>67</v>
      </c>
      <c r="C1911" s="321">
        <v>3.3</v>
      </c>
      <c r="D1911" s="321" t="s">
        <v>114</v>
      </c>
      <c r="E1911" s="321">
        <v>28</v>
      </c>
      <c r="F1911" s="316">
        <f t="shared" si="342"/>
        <v>1.1200000000000001</v>
      </c>
      <c r="G1911" s="321">
        <v>15.9</v>
      </c>
      <c r="H1911" s="321">
        <v>13.8</v>
      </c>
      <c r="I1911" s="315">
        <f t="shared" si="355"/>
        <v>1513.9980000000003</v>
      </c>
      <c r="J1911" s="316">
        <f t="shared" si="344"/>
        <v>7.3566472303207009</v>
      </c>
    </row>
    <row r="1912" spans="1:10" s="316" customFormat="1">
      <c r="A1912" s="321">
        <v>79</v>
      </c>
      <c r="B1912" s="295">
        <f t="shared" si="345"/>
        <v>67</v>
      </c>
      <c r="C1912" s="321">
        <v>3.4</v>
      </c>
      <c r="D1912" s="321" t="s">
        <v>114</v>
      </c>
      <c r="E1912" s="321"/>
      <c r="F1912" s="316" t="str">
        <f t="shared" si="342"/>
        <v/>
      </c>
      <c r="G1912" s="321"/>
      <c r="H1912" s="321"/>
      <c r="I1912" s="315"/>
      <c r="J1912" s="316" t="str">
        <f t="shared" si="344"/>
        <v/>
      </c>
    </row>
    <row r="1913" spans="1:10" s="316" customFormat="1">
      <c r="A1913" s="321">
        <v>79</v>
      </c>
      <c r="B1913" s="295">
        <f t="shared" si="345"/>
        <v>67</v>
      </c>
      <c r="C1913" s="321">
        <v>3.5</v>
      </c>
      <c r="D1913" s="321" t="s">
        <v>115</v>
      </c>
      <c r="E1913" s="321"/>
      <c r="F1913" s="316" t="str">
        <f t="shared" si="342"/>
        <v/>
      </c>
      <c r="G1913" s="321"/>
      <c r="H1913" s="321"/>
      <c r="I1913" s="315"/>
      <c r="J1913" s="316" t="str">
        <f t="shared" si="344"/>
        <v/>
      </c>
    </row>
    <row r="1914" spans="1:10" s="316" customFormat="1">
      <c r="A1914" s="321">
        <v>79</v>
      </c>
      <c r="B1914" s="295">
        <f t="shared" si="345"/>
        <v>67</v>
      </c>
      <c r="C1914" s="321">
        <v>4.0999999999999996</v>
      </c>
      <c r="D1914" s="321" t="s">
        <v>111</v>
      </c>
      <c r="E1914" s="321"/>
      <c r="F1914" s="316" t="str">
        <f t="shared" si="342"/>
        <v/>
      </c>
      <c r="G1914" s="321"/>
      <c r="H1914" s="321"/>
      <c r="I1914" s="315"/>
      <c r="J1914" s="316" t="str">
        <f t="shared" si="344"/>
        <v/>
      </c>
    </row>
    <row r="1915" spans="1:10" s="316" customFormat="1">
      <c r="A1915" s="321">
        <v>79</v>
      </c>
      <c r="B1915" s="295">
        <f t="shared" si="345"/>
        <v>67</v>
      </c>
      <c r="C1915" s="321">
        <v>4.2</v>
      </c>
      <c r="D1915" s="321" t="s">
        <v>112</v>
      </c>
      <c r="E1915" s="321"/>
      <c r="F1915" s="316" t="str">
        <f t="shared" si="342"/>
        <v/>
      </c>
      <c r="G1915" s="321"/>
      <c r="H1915" s="321"/>
      <c r="I1915" s="315"/>
      <c r="J1915" s="316" t="str">
        <f t="shared" si="344"/>
        <v/>
      </c>
    </row>
    <row r="1916" spans="1:10" s="316" customFormat="1">
      <c r="A1916" s="321">
        <v>79</v>
      </c>
      <c r="B1916" s="295">
        <f t="shared" si="345"/>
        <v>67</v>
      </c>
      <c r="C1916" s="321">
        <v>4.3</v>
      </c>
      <c r="D1916" s="321" t="s">
        <v>113</v>
      </c>
      <c r="E1916" s="321">
        <v>32</v>
      </c>
      <c r="F1916" s="316">
        <f t="shared" si="342"/>
        <v>1.2307692307692308</v>
      </c>
      <c r="G1916" s="321">
        <v>12.5</v>
      </c>
      <c r="H1916" s="321">
        <v>11.2</v>
      </c>
      <c r="I1916" s="315">
        <f t="shared" ref="I1916" si="356">G1916*(H1916^2)*0.5</f>
        <v>783.99999999999989</v>
      </c>
      <c r="J1916" s="316">
        <f t="shared" si="344"/>
        <v>5.6295955882352926</v>
      </c>
    </row>
    <row r="1917" spans="1:10" s="316" customFormat="1">
      <c r="A1917" s="321">
        <v>79</v>
      </c>
      <c r="B1917" s="295">
        <f t="shared" si="345"/>
        <v>67</v>
      </c>
      <c r="C1917" s="321">
        <v>4.4000000000000004</v>
      </c>
      <c r="D1917" s="321" t="s">
        <v>112</v>
      </c>
      <c r="E1917" s="321"/>
      <c r="F1917" s="316" t="str">
        <f t="shared" si="342"/>
        <v/>
      </c>
      <c r="G1917" s="321"/>
      <c r="H1917" s="321"/>
      <c r="I1917" s="315"/>
      <c r="J1917" s="316" t="str">
        <f t="shared" si="344"/>
        <v/>
      </c>
    </row>
    <row r="1918" spans="1:10" s="316" customFormat="1">
      <c r="A1918" s="321">
        <v>79</v>
      </c>
      <c r="B1918" s="295">
        <f t="shared" si="345"/>
        <v>67</v>
      </c>
      <c r="C1918" s="321">
        <v>4.5</v>
      </c>
      <c r="D1918" s="321" t="s">
        <v>112</v>
      </c>
      <c r="E1918" s="321"/>
      <c r="F1918" s="316" t="str">
        <f t="shared" si="342"/>
        <v/>
      </c>
      <c r="G1918" s="321"/>
      <c r="H1918" s="321"/>
      <c r="I1918" s="315"/>
      <c r="J1918" s="316" t="str">
        <f t="shared" si="344"/>
        <v/>
      </c>
    </row>
    <row r="1919" spans="1:10" s="316" customFormat="1">
      <c r="A1919" s="321">
        <v>79</v>
      </c>
      <c r="B1919" s="295">
        <f t="shared" si="345"/>
        <v>67</v>
      </c>
      <c r="C1919" s="321">
        <v>5.0999999999999996</v>
      </c>
      <c r="D1919" s="321" t="s">
        <v>113</v>
      </c>
      <c r="E1919" s="321">
        <v>26</v>
      </c>
      <c r="F1919" s="316">
        <f t="shared" si="342"/>
        <v>1.0833333333333333</v>
      </c>
      <c r="G1919" s="321">
        <v>12.6</v>
      </c>
      <c r="H1919" s="321">
        <v>10.3</v>
      </c>
      <c r="I1919" s="315">
        <f t="shared" ref="I1919" si="357">G1919*(H1919^2)*0.5</f>
        <v>668.36700000000008</v>
      </c>
      <c r="J1919" s="316">
        <f t="shared" si="344"/>
        <v>4.0240527897021545</v>
      </c>
    </row>
    <row r="1920" spans="1:10" s="316" customFormat="1">
      <c r="A1920" s="321">
        <v>79</v>
      </c>
      <c r="B1920" s="295">
        <f t="shared" si="345"/>
        <v>67</v>
      </c>
      <c r="C1920" s="321">
        <v>5.2</v>
      </c>
      <c r="D1920" s="321" t="s">
        <v>114</v>
      </c>
      <c r="E1920" s="321"/>
      <c r="F1920" s="316" t="str">
        <f t="shared" si="342"/>
        <v/>
      </c>
      <c r="G1920" s="321"/>
      <c r="H1920" s="321"/>
      <c r="I1920" s="315"/>
      <c r="J1920" s="316" t="str">
        <f t="shared" si="344"/>
        <v/>
      </c>
    </row>
    <row r="1921" spans="1:10" s="316" customFormat="1">
      <c r="A1921" s="321">
        <v>79</v>
      </c>
      <c r="B1921" s="295">
        <f t="shared" si="345"/>
        <v>67</v>
      </c>
      <c r="C1921" s="321">
        <v>5.3</v>
      </c>
      <c r="D1921" s="321" t="s">
        <v>112</v>
      </c>
      <c r="E1921" s="321"/>
      <c r="F1921" s="316" t="str">
        <f t="shared" si="342"/>
        <v/>
      </c>
      <c r="G1921" s="321"/>
      <c r="H1921" s="321"/>
      <c r="I1921" s="315"/>
      <c r="J1921" s="316" t="str">
        <f t="shared" si="344"/>
        <v/>
      </c>
    </row>
    <row r="1922" spans="1:10" s="316" customFormat="1">
      <c r="A1922" s="321">
        <v>79</v>
      </c>
      <c r="B1922" s="295">
        <f t="shared" si="345"/>
        <v>67</v>
      </c>
      <c r="C1922" s="321">
        <v>5.4</v>
      </c>
      <c r="D1922" s="321" t="s">
        <v>113</v>
      </c>
      <c r="E1922" s="321"/>
      <c r="F1922" s="316" t="str">
        <f t="shared" si="342"/>
        <v/>
      </c>
      <c r="G1922" s="321"/>
      <c r="H1922" s="321"/>
      <c r="I1922" s="315"/>
      <c r="J1922" s="316" t="str">
        <f t="shared" si="344"/>
        <v/>
      </c>
    </row>
    <row r="1923" spans="1:10" s="316" customFormat="1">
      <c r="A1923" s="321">
        <v>79</v>
      </c>
      <c r="B1923" s="295">
        <f t="shared" si="345"/>
        <v>67</v>
      </c>
      <c r="C1923" s="321">
        <v>5.5</v>
      </c>
      <c r="D1923" s="321" t="s">
        <v>114</v>
      </c>
      <c r="E1923" s="321"/>
      <c r="F1923" s="316" t="str">
        <f t="shared" si="342"/>
        <v/>
      </c>
      <c r="G1923" s="321"/>
      <c r="H1923" s="321"/>
      <c r="I1923" s="315"/>
      <c r="J1923" s="316" t="str">
        <f t="shared" si="344"/>
        <v/>
      </c>
    </row>
    <row r="1924" spans="1:10" s="316" customFormat="1">
      <c r="A1924" s="321">
        <v>79</v>
      </c>
      <c r="B1924" s="295">
        <f t="shared" si="345"/>
        <v>67</v>
      </c>
      <c r="C1924" s="321">
        <v>6.1</v>
      </c>
      <c r="D1924" s="321" t="s">
        <v>115</v>
      </c>
      <c r="E1924" s="321"/>
      <c r="F1924" s="316" t="str">
        <f t="shared" si="342"/>
        <v/>
      </c>
      <c r="G1924" s="321"/>
      <c r="H1924" s="321"/>
      <c r="I1924" s="315"/>
      <c r="J1924" s="316" t="str">
        <f t="shared" si="344"/>
        <v/>
      </c>
    </row>
    <row r="1925" spans="1:10" s="316" customFormat="1">
      <c r="A1925" s="321">
        <v>79</v>
      </c>
      <c r="B1925" s="295">
        <f t="shared" si="345"/>
        <v>67</v>
      </c>
      <c r="C1925" s="321">
        <v>6.2</v>
      </c>
      <c r="D1925" s="321" t="s">
        <v>115</v>
      </c>
      <c r="E1925" s="321"/>
      <c r="F1925" s="316" t="str">
        <f t="shared" si="342"/>
        <v/>
      </c>
      <c r="G1925" s="321"/>
      <c r="H1925" s="321"/>
      <c r="I1925" s="315"/>
      <c r="J1925" s="316" t="str">
        <f t="shared" si="344"/>
        <v/>
      </c>
    </row>
    <row r="1926" spans="1:10" s="316" customFormat="1">
      <c r="A1926" s="321">
        <v>79</v>
      </c>
      <c r="B1926" s="295">
        <f t="shared" si="345"/>
        <v>67</v>
      </c>
      <c r="C1926" s="321">
        <v>6.3</v>
      </c>
      <c r="D1926" s="321" t="s">
        <v>114</v>
      </c>
      <c r="E1926" s="321"/>
      <c r="F1926" s="316" t="str">
        <f t="shared" si="342"/>
        <v/>
      </c>
      <c r="G1926" s="321"/>
      <c r="H1926" s="321"/>
      <c r="I1926" s="315"/>
      <c r="J1926" s="316" t="str">
        <f t="shared" si="344"/>
        <v/>
      </c>
    </row>
    <row r="1927" spans="1:10" s="316" customFormat="1">
      <c r="A1927" s="321">
        <v>79</v>
      </c>
      <c r="B1927" s="295">
        <f t="shared" si="345"/>
        <v>67</v>
      </c>
      <c r="C1927" s="321">
        <v>6.4</v>
      </c>
      <c r="D1927" s="321" t="s">
        <v>112</v>
      </c>
      <c r="E1927" s="321"/>
      <c r="F1927" s="316" t="str">
        <f t="shared" si="342"/>
        <v/>
      </c>
      <c r="G1927" s="321"/>
      <c r="H1927" s="321"/>
      <c r="I1927" s="315"/>
      <c r="J1927" s="316" t="str">
        <f t="shared" si="344"/>
        <v/>
      </c>
    </row>
    <row r="1928" spans="1:10" s="316" customFormat="1">
      <c r="A1928" s="321">
        <v>79</v>
      </c>
      <c r="B1928" s="295">
        <f t="shared" si="345"/>
        <v>67</v>
      </c>
      <c r="C1928" s="321">
        <v>6.5</v>
      </c>
      <c r="D1928" s="321" t="s">
        <v>113</v>
      </c>
      <c r="E1928" s="321"/>
      <c r="F1928" s="316" t="str">
        <f t="shared" si="342"/>
        <v/>
      </c>
      <c r="G1928" s="321"/>
      <c r="H1928" s="321"/>
      <c r="I1928" s="315"/>
      <c r="J1928" s="316" t="str">
        <f t="shared" si="344"/>
        <v/>
      </c>
    </row>
    <row r="1929" spans="1:10" s="316" customFormat="1">
      <c r="A1929" s="321">
        <v>79</v>
      </c>
      <c r="B1929" s="295">
        <f t="shared" si="345"/>
        <v>67</v>
      </c>
      <c r="C1929" s="321">
        <v>7.1</v>
      </c>
      <c r="D1929" s="321" t="s">
        <v>114</v>
      </c>
      <c r="E1929" s="321">
        <v>32</v>
      </c>
      <c r="F1929" s="316">
        <f t="shared" ref="F1929:F1992" si="358">IF(ISBLANK(E1929),"",E1929/SUMIFS(E:E,C:C,C1929,B:B,"0"))</f>
        <v>1.1851851851851851</v>
      </c>
      <c r="G1929" s="321">
        <v>15.4</v>
      </c>
      <c r="H1929" s="321">
        <v>14.1</v>
      </c>
      <c r="I1929" s="315">
        <f t="shared" ref="I1929" si="359">G1929*(H1929^2)*0.5</f>
        <v>1530.837</v>
      </c>
      <c r="J1929" s="316">
        <f t="shared" ref="J1929:J1992" si="360">IF(ISBLANK(I1929),"",I1929/SUMIFS(I:I,C:C,C1929,B:B,"0"))</f>
        <v>11.339533333333334</v>
      </c>
    </row>
    <row r="1930" spans="1:10" s="316" customFormat="1">
      <c r="A1930" s="321">
        <v>79</v>
      </c>
      <c r="B1930" s="295">
        <f t="shared" ref="B1930:B1993" si="361">A1930-12</f>
        <v>67</v>
      </c>
      <c r="C1930" s="321">
        <v>7.2</v>
      </c>
      <c r="D1930" s="321" t="s">
        <v>111</v>
      </c>
      <c r="E1930" s="321"/>
      <c r="F1930" s="316" t="str">
        <f t="shared" si="358"/>
        <v/>
      </c>
      <c r="G1930" s="321"/>
      <c r="H1930" s="321"/>
      <c r="I1930" s="315"/>
      <c r="J1930" s="316" t="str">
        <f t="shared" si="360"/>
        <v/>
      </c>
    </row>
    <row r="1931" spans="1:10" s="316" customFormat="1">
      <c r="A1931" s="321">
        <v>79</v>
      </c>
      <c r="B1931" s="295">
        <f t="shared" si="361"/>
        <v>67</v>
      </c>
      <c r="C1931" s="321">
        <v>7.3</v>
      </c>
      <c r="D1931" s="321" t="s">
        <v>113</v>
      </c>
      <c r="E1931" s="321">
        <v>30</v>
      </c>
      <c r="F1931" s="316">
        <f t="shared" si="358"/>
        <v>1.1111111111111112</v>
      </c>
      <c r="G1931" s="321">
        <v>6.3</v>
      </c>
      <c r="H1931" s="321">
        <v>5.9</v>
      </c>
      <c r="I1931" s="315">
        <f t="shared" ref="I1931" si="362">G1931*(H1931^2)*0.5</f>
        <v>109.6515</v>
      </c>
      <c r="J1931" s="316">
        <f t="shared" si="360"/>
        <v>0.76741622574955914</v>
      </c>
    </row>
    <row r="1932" spans="1:10" s="316" customFormat="1">
      <c r="A1932" s="321">
        <v>79</v>
      </c>
      <c r="B1932" s="295">
        <f t="shared" si="361"/>
        <v>67</v>
      </c>
      <c r="C1932" s="321">
        <v>7.4</v>
      </c>
      <c r="D1932" s="321" t="s">
        <v>115</v>
      </c>
      <c r="E1932" s="321"/>
      <c r="F1932" s="316" t="str">
        <f t="shared" si="358"/>
        <v/>
      </c>
      <c r="G1932" s="321"/>
      <c r="H1932" s="321"/>
      <c r="I1932" s="315"/>
      <c r="J1932" s="316" t="str">
        <f t="shared" si="360"/>
        <v/>
      </c>
    </row>
    <row r="1933" spans="1:10" s="316" customFormat="1">
      <c r="A1933" s="321">
        <v>79</v>
      </c>
      <c r="B1933" s="295">
        <f t="shared" si="361"/>
        <v>67</v>
      </c>
      <c r="C1933" s="321">
        <v>7.5</v>
      </c>
      <c r="D1933" s="321" t="s">
        <v>111</v>
      </c>
      <c r="E1933" s="321"/>
      <c r="F1933" s="316" t="str">
        <f t="shared" si="358"/>
        <v/>
      </c>
      <c r="G1933" s="321"/>
      <c r="H1933" s="321"/>
      <c r="I1933" s="315"/>
      <c r="J1933" s="316" t="str">
        <f t="shared" si="360"/>
        <v/>
      </c>
    </row>
    <row r="1934" spans="1:10" s="316" customFormat="1">
      <c r="A1934" s="321">
        <v>81</v>
      </c>
      <c r="B1934" s="295">
        <f t="shared" si="361"/>
        <v>69</v>
      </c>
      <c r="C1934" s="321">
        <v>1.1000000000000001</v>
      </c>
      <c r="D1934" s="321" t="s">
        <v>112</v>
      </c>
      <c r="E1934" s="321"/>
      <c r="F1934" s="316" t="str">
        <f t="shared" si="358"/>
        <v/>
      </c>
      <c r="G1934" s="321"/>
      <c r="H1934" s="321"/>
      <c r="I1934" s="315"/>
      <c r="J1934" s="316" t="str">
        <f t="shared" si="360"/>
        <v/>
      </c>
    </row>
    <row r="1935" spans="1:10" s="316" customFormat="1">
      <c r="A1935" s="321">
        <v>81</v>
      </c>
      <c r="B1935" s="295">
        <f t="shared" si="361"/>
        <v>69</v>
      </c>
      <c r="C1935" s="321">
        <v>1.2</v>
      </c>
      <c r="D1935" s="321" t="s">
        <v>113</v>
      </c>
      <c r="E1935" s="321">
        <v>32</v>
      </c>
      <c r="F1935" s="316">
        <f t="shared" si="358"/>
        <v>1.1851851851851851</v>
      </c>
      <c r="G1935" s="321">
        <v>8.3000000000000007</v>
      </c>
      <c r="H1935" s="321">
        <v>7.8</v>
      </c>
      <c r="I1935" s="315">
        <f t="shared" ref="I1935" si="363">G1935*(H1935^2)*0.5</f>
        <v>252.48600000000002</v>
      </c>
      <c r="J1935" s="316">
        <f t="shared" si="360"/>
        <v>1.2069033921840906</v>
      </c>
    </row>
    <row r="1936" spans="1:10" s="316" customFormat="1">
      <c r="A1936" s="321">
        <v>81</v>
      </c>
      <c r="B1936" s="295">
        <f t="shared" si="361"/>
        <v>69</v>
      </c>
      <c r="C1936" s="321">
        <v>1.3</v>
      </c>
      <c r="D1936" s="321" t="s">
        <v>115</v>
      </c>
      <c r="E1936" s="321"/>
      <c r="F1936" s="316" t="str">
        <f t="shared" si="358"/>
        <v/>
      </c>
      <c r="G1936" s="321"/>
      <c r="H1936" s="321"/>
      <c r="I1936" s="315"/>
      <c r="J1936" s="316" t="str">
        <f t="shared" si="360"/>
        <v/>
      </c>
    </row>
    <row r="1937" spans="1:11" s="316" customFormat="1">
      <c r="A1937" s="321">
        <v>81</v>
      </c>
      <c r="B1937" s="295">
        <f t="shared" si="361"/>
        <v>69</v>
      </c>
      <c r="C1937" s="321">
        <v>1.4</v>
      </c>
      <c r="D1937" s="321" t="s">
        <v>115</v>
      </c>
      <c r="E1937" s="321"/>
      <c r="F1937" s="316" t="str">
        <f t="shared" si="358"/>
        <v/>
      </c>
      <c r="G1937" s="321"/>
      <c r="H1937" s="321"/>
      <c r="I1937" s="315"/>
      <c r="J1937" s="316" t="str">
        <f t="shared" si="360"/>
        <v/>
      </c>
    </row>
    <row r="1938" spans="1:11" s="316" customFormat="1">
      <c r="A1938" s="321">
        <v>81</v>
      </c>
      <c r="B1938" s="295">
        <f t="shared" si="361"/>
        <v>69</v>
      </c>
      <c r="C1938" s="321">
        <v>1.5</v>
      </c>
      <c r="D1938" s="321" t="s">
        <v>112</v>
      </c>
      <c r="E1938" s="321">
        <v>31</v>
      </c>
      <c r="F1938" s="316">
        <f t="shared" si="358"/>
        <v>1.1071428571428572</v>
      </c>
      <c r="G1938" s="321">
        <v>14.9</v>
      </c>
      <c r="H1938" s="321">
        <v>14.7</v>
      </c>
      <c r="I1938" s="315">
        <f t="shared" ref="I1938" si="364">G1938*(H1938^2)*0.5</f>
        <v>1609.8704999999998</v>
      </c>
      <c r="J1938" s="316">
        <f t="shared" si="360"/>
        <v>11.559846765854777</v>
      </c>
    </row>
    <row r="1939" spans="1:11" s="316" customFormat="1">
      <c r="A1939" s="321">
        <v>81</v>
      </c>
      <c r="B1939" s="295">
        <f t="shared" si="361"/>
        <v>69</v>
      </c>
      <c r="C1939" s="321">
        <v>2.1</v>
      </c>
      <c r="D1939" s="321" t="s">
        <v>114</v>
      </c>
      <c r="E1939" s="321"/>
      <c r="F1939" s="316" t="str">
        <f t="shared" si="358"/>
        <v/>
      </c>
      <c r="G1939" s="321"/>
      <c r="H1939" s="321"/>
      <c r="I1939" s="315"/>
      <c r="J1939" s="316" t="str">
        <f t="shared" si="360"/>
        <v/>
      </c>
    </row>
    <row r="1940" spans="1:11">
      <c r="A1940" s="321">
        <v>81</v>
      </c>
      <c r="B1940" s="295">
        <f t="shared" si="361"/>
        <v>69</v>
      </c>
      <c r="C1940" s="321">
        <v>2.2000000000000002</v>
      </c>
      <c r="D1940" s="321" t="s">
        <v>115</v>
      </c>
      <c r="E1940" s="321"/>
      <c r="F1940" s="316" t="str">
        <f t="shared" si="358"/>
        <v/>
      </c>
      <c r="G1940" s="321"/>
      <c r="H1940" s="321"/>
      <c r="J1940" s="316" t="str">
        <f t="shared" si="360"/>
        <v/>
      </c>
    </row>
    <row r="1941" spans="1:11">
      <c r="A1941" s="321">
        <v>81</v>
      </c>
      <c r="B1941" s="295">
        <f t="shared" si="361"/>
        <v>69</v>
      </c>
      <c r="C1941" s="321">
        <v>2.2999999999999998</v>
      </c>
      <c r="D1941" s="321" t="s">
        <v>112</v>
      </c>
      <c r="E1941" s="321"/>
      <c r="F1941" s="316" t="str">
        <f t="shared" si="358"/>
        <v/>
      </c>
      <c r="G1941" s="321"/>
      <c r="H1941" s="321"/>
      <c r="J1941" s="316" t="str">
        <f t="shared" si="360"/>
        <v/>
      </c>
    </row>
    <row r="1942" spans="1:11">
      <c r="A1942" s="321">
        <v>81</v>
      </c>
      <c r="B1942" s="295">
        <f t="shared" si="361"/>
        <v>69</v>
      </c>
      <c r="C1942" s="321">
        <v>2.4</v>
      </c>
      <c r="D1942" s="321" t="s">
        <v>114</v>
      </c>
      <c r="E1942" s="321">
        <v>31</v>
      </c>
      <c r="F1942" s="316">
        <f t="shared" si="358"/>
        <v>1.24</v>
      </c>
      <c r="G1942" s="321">
        <v>14.7</v>
      </c>
      <c r="H1942" s="321">
        <v>11.3</v>
      </c>
      <c r="I1942" s="315">
        <f t="shared" ref="I1942:I1946" si="365">G1942*(H1942^2)*0.5</f>
        <v>938.52150000000006</v>
      </c>
      <c r="J1942" s="316">
        <f t="shared" si="360"/>
        <v>8.730432558139535</v>
      </c>
    </row>
    <row r="1943" spans="1:11">
      <c r="A1943" s="321">
        <v>81</v>
      </c>
      <c r="B1943" s="295">
        <f t="shared" si="361"/>
        <v>69</v>
      </c>
      <c r="C1943" s="321">
        <v>2.5</v>
      </c>
      <c r="D1943" s="321" t="s">
        <v>113</v>
      </c>
      <c r="E1943" s="321">
        <v>32</v>
      </c>
      <c r="F1943" s="316">
        <f t="shared" si="358"/>
        <v>1.1851851851851851</v>
      </c>
      <c r="G1943" s="321">
        <v>12</v>
      </c>
      <c r="H1943" s="321">
        <v>11.9</v>
      </c>
      <c r="I1943" s="315">
        <f t="shared" si="365"/>
        <v>849.66000000000008</v>
      </c>
      <c r="J1943" s="316">
        <f t="shared" si="360"/>
        <v>4.9809475794632503</v>
      </c>
    </row>
    <row r="1944" spans="1:11">
      <c r="A1944" s="321">
        <v>81</v>
      </c>
      <c r="B1944" s="295">
        <f t="shared" si="361"/>
        <v>69</v>
      </c>
      <c r="C1944" s="321">
        <v>3.1</v>
      </c>
      <c r="D1944" s="321" t="s">
        <v>115</v>
      </c>
      <c r="E1944" s="321">
        <v>28</v>
      </c>
      <c r="F1944" s="316">
        <f t="shared" si="358"/>
        <v>1.1666666666666667</v>
      </c>
      <c r="G1944" s="321">
        <v>9.1</v>
      </c>
      <c r="H1944" s="321">
        <v>9.1</v>
      </c>
      <c r="I1944" s="315">
        <f t="shared" si="365"/>
        <v>376.78549999999996</v>
      </c>
      <c r="J1944" s="316">
        <f t="shared" si="360"/>
        <v>2.0739534883720929</v>
      </c>
    </row>
    <row r="1945" spans="1:11">
      <c r="A1945" s="321">
        <v>81</v>
      </c>
      <c r="B1945" s="295">
        <f t="shared" si="361"/>
        <v>69</v>
      </c>
      <c r="C1945" s="321">
        <v>3.2</v>
      </c>
      <c r="D1945" s="321" t="s">
        <v>113</v>
      </c>
      <c r="E1945" s="321">
        <v>36</v>
      </c>
      <c r="F1945" s="316">
        <f t="shared" si="358"/>
        <v>1.2</v>
      </c>
      <c r="G1945" s="321">
        <v>11.8</v>
      </c>
      <c r="H1945" s="321">
        <v>9</v>
      </c>
      <c r="I1945" s="315">
        <f>G1945*(H1945^2)*0.5 + (6.1*36*0.5)</f>
        <v>587.70000000000005</v>
      </c>
      <c r="J1945" s="316">
        <f t="shared" si="360"/>
        <v>3.0625964063867932</v>
      </c>
      <c r="K1945" s="316" t="s">
        <v>188</v>
      </c>
    </row>
    <row r="1946" spans="1:11">
      <c r="A1946" s="321">
        <v>81</v>
      </c>
      <c r="B1946" s="295">
        <f t="shared" si="361"/>
        <v>69</v>
      </c>
      <c r="C1946" s="321">
        <v>3.3</v>
      </c>
      <c r="D1946" s="321" t="s">
        <v>114</v>
      </c>
      <c r="E1946" s="321">
        <v>29</v>
      </c>
      <c r="F1946" s="316">
        <f t="shared" si="358"/>
        <v>1.1599999999999999</v>
      </c>
      <c r="G1946" s="321">
        <v>16.100000000000001</v>
      </c>
      <c r="H1946" s="321">
        <v>14.3</v>
      </c>
      <c r="I1946" s="315">
        <f t="shared" si="365"/>
        <v>1646.1445000000001</v>
      </c>
      <c r="J1946" s="316">
        <f t="shared" si="360"/>
        <v>7.9987585034013602</v>
      </c>
      <c r="K1946" s="316" t="s">
        <v>172</v>
      </c>
    </row>
    <row r="1947" spans="1:11">
      <c r="A1947" s="321">
        <v>81</v>
      </c>
      <c r="B1947" s="295">
        <f t="shared" si="361"/>
        <v>69</v>
      </c>
      <c r="C1947" s="321">
        <v>3.4</v>
      </c>
      <c r="D1947" s="321" t="s">
        <v>114</v>
      </c>
      <c r="E1947" s="321"/>
      <c r="F1947" s="316" t="str">
        <f t="shared" si="358"/>
        <v/>
      </c>
      <c r="G1947" s="321"/>
      <c r="H1947" s="321"/>
      <c r="J1947" s="316" t="str">
        <f t="shared" si="360"/>
        <v/>
      </c>
    </row>
    <row r="1948" spans="1:11">
      <c r="A1948" s="321">
        <v>81</v>
      </c>
      <c r="B1948" s="295">
        <f t="shared" si="361"/>
        <v>69</v>
      </c>
      <c r="C1948" s="321">
        <v>3.5</v>
      </c>
      <c r="D1948" s="321" t="s">
        <v>115</v>
      </c>
      <c r="E1948" s="321"/>
      <c r="F1948" s="316" t="str">
        <f t="shared" si="358"/>
        <v/>
      </c>
      <c r="G1948" s="321"/>
      <c r="H1948" s="321"/>
      <c r="J1948" s="316" t="str">
        <f t="shared" si="360"/>
        <v/>
      </c>
    </row>
    <row r="1949" spans="1:11">
      <c r="A1949" s="321">
        <v>81</v>
      </c>
      <c r="B1949" s="295">
        <f t="shared" si="361"/>
        <v>69</v>
      </c>
      <c r="C1949" s="321">
        <v>4.0999999999999996</v>
      </c>
      <c r="D1949" s="321" t="s">
        <v>111</v>
      </c>
      <c r="E1949" s="321"/>
      <c r="F1949" s="316" t="str">
        <f t="shared" si="358"/>
        <v/>
      </c>
      <c r="G1949" s="321"/>
      <c r="H1949" s="321"/>
      <c r="J1949" s="316" t="str">
        <f t="shared" si="360"/>
        <v/>
      </c>
    </row>
    <row r="1950" spans="1:11">
      <c r="A1950" s="321">
        <v>81</v>
      </c>
      <c r="B1950" s="295">
        <f t="shared" si="361"/>
        <v>69</v>
      </c>
      <c r="C1950" s="321">
        <v>4.2</v>
      </c>
      <c r="D1950" s="321" t="s">
        <v>112</v>
      </c>
      <c r="E1950" s="321"/>
      <c r="F1950" s="316" t="str">
        <f t="shared" si="358"/>
        <v/>
      </c>
      <c r="G1950" s="321"/>
      <c r="H1950" s="321"/>
      <c r="J1950" s="316" t="str">
        <f t="shared" si="360"/>
        <v/>
      </c>
    </row>
    <row r="1951" spans="1:11">
      <c r="A1951" s="321">
        <v>81</v>
      </c>
      <c r="B1951" s="295">
        <f t="shared" si="361"/>
        <v>69</v>
      </c>
      <c r="C1951" s="321">
        <v>4.3</v>
      </c>
      <c r="D1951" s="321" t="s">
        <v>113</v>
      </c>
      <c r="E1951" s="321">
        <v>31</v>
      </c>
      <c r="F1951" s="316">
        <f t="shared" si="358"/>
        <v>1.1923076923076923</v>
      </c>
      <c r="G1951" s="321">
        <v>13</v>
      </c>
      <c r="H1951" s="321">
        <v>12.6</v>
      </c>
      <c r="I1951" s="315">
        <f t="shared" ref="I1951" si="366">G1951*(H1951^2)*0.5</f>
        <v>1031.94</v>
      </c>
      <c r="J1951" s="316">
        <f t="shared" si="360"/>
        <v>7.4099551930147056</v>
      </c>
    </row>
    <row r="1952" spans="1:11">
      <c r="A1952" s="321">
        <v>81</v>
      </c>
      <c r="B1952" s="295">
        <f t="shared" si="361"/>
        <v>69</v>
      </c>
      <c r="C1952" s="321">
        <v>4.4000000000000004</v>
      </c>
      <c r="D1952" s="321" t="s">
        <v>112</v>
      </c>
      <c r="E1952" s="321"/>
      <c r="F1952" s="316" t="str">
        <f t="shared" si="358"/>
        <v/>
      </c>
      <c r="G1952" s="321"/>
      <c r="H1952" s="321"/>
      <c r="J1952" s="316" t="str">
        <f t="shared" si="360"/>
        <v/>
      </c>
    </row>
    <row r="1953" spans="1:10">
      <c r="A1953" s="321">
        <v>81</v>
      </c>
      <c r="B1953" s="295">
        <f t="shared" si="361"/>
        <v>69</v>
      </c>
      <c r="C1953" s="321">
        <v>4.5</v>
      </c>
      <c r="D1953" s="321" t="s">
        <v>112</v>
      </c>
      <c r="E1953" s="321"/>
      <c r="F1953" s="316" t="str">
        <f t="shared" si="358"/>
        <v/>
      </c>
      <c r="G1953" s="321"/>
      <c r="H1953" s="321"/>
      <c r="J1953" s="316" t="str">
        <f t="shared" si="360"/>
        <v/>
      </c>
    </row>
    <row r="1954" spans="1:10">
      <c r="A1954" s="321">
        <v>81</v>
      </c>
      <c r="B1954" s="295">
        <f t="shared" si="361"/>
        <v>69</v>
      </c>
      <c r="C1954" s="321">
        <v>5.0999999999999996</v>
      </c>
      <c r="D1954" s="321" t="s">
        <v>113</v>
      </c>
      <c r="E1954" s="321">
        <v>25</v>
      </c>
      <c r="F1954" s="316">
        <f t="shared" si="358"/>
        <v>1.0416666666666667</v>
      </c>
      <c r="G1954" s="321">
        <v>12.3</v>
      </c>
      <c r="H1954" s="321">
        <v>10.6</v>
      </c>
      <c r="I1954" s="315">
        <f t="shared" ref="I1954" si="367">G1954*(H1954^2)*0.5</f>
        <v>691.01400000000001</v>
      </c>
      <c r="J1954" s="316">
        <f t="shared" si="360"/>
        <v>4.160404110949889</v>
      </c>
    </row>
    <row r="1955" spans="1:10">
      <c r="A1955" s="321">
        <v>81</v>
      </c>
      <c r="B1955" s="295">
        <f t="shared" si="361"/>
        <v>69</v>
      </c>
      <c r="C1955" s="321">
        <v>5.2</v>
      </c>
      <c r="D1955" s="321" t="s">
        <v>114</v>
      </c>
      <c r="E1955" s="321"/>
      <c r="F1955" s="316" t="str">
        <f t="shared" si="358"/>
        <v/>
      </c>
      <c r="G1955" s="321"/>
      <c r="H1955" s="321"/>
      <c r="J1955" s="316" t="str">
        <f t="shared" si="360"/>
        <v/>
      </c>
    </row>
    <row r="1956" spans="1:10" s="316" customFormat="1">
      <c r="A1956" s="321">
        <v>81</v>
      </c>
      <c r="B1956" s="295">
        <f t="shared" si="361"/>
        <v>69</v>
      </c>
      <c r="C1956" s="321">
        <v>5.3</v>
      </c>
      <c r="D1956" s="321" t="s">
        <v>112</v>
      </c>
      <c r="E1956" s="321"/>
      <c r="F1956" s="316" t="str">
        <f t="shared" si="358"/>
        <v/>
      </c>
      <c r="G1956" s="321"/>
      <c r="H1956" s="321"/>
      <c r="I1956" s="315"/>
      <c r="J1956" s="316" t="str">
        <f t="shared" si="360"/>
        <v/>
      </c>
    </row>
    <row r="1957" spans="1:10" s="316" customFormat="1">
      <c r="A1957" s="321">
        <v>81</v>
      </c>
      <c r="B1957" s="295">
        <f t="shared" si="361"/>
        <v>69</v>
      </c>
      <c r="C1957" s="321">
        <v>5.4</v>
      </c>
      <c r="D1957" s="321" t="s">
        <v>113</v>
      </c>
      <c r="E1957" s="321"/>
      <c r="F1957" s="316" t="str">
        <f t="shared" si="358"/>
        <v/>
      </c>
      <c r="G1957" s="321"/>
      <c r="H1957" s="321"/>
      <c r="I1957" s="315"/>
      <c r="J1957" s="316" t="str">
        <f t="shared" si="360"/>
        <v/>
      </c>
    </row>
    <row r="1958" spans="1:10" s="316" customFormat="1">
      <c r="A1958" s="321">
        <v>81</v>
      </c>
      <c r="B1958" s="295">
        <f t="shared" si="361"/>
        <v>69</v>
      </c>
      <c r="C1958" s="321">
        <v>5.5</v>
      </c>
      <c r="D1958" s="321" t="s">
        <v>114</v>
      </c>
      <c r="E1958" s="321"/>
      <c r="F1958" s="316" t="str">
        <f t="shared" si="358"/>
        <v/>
      </c>
      <c r="G1958" s="321"/>
      <c r="H1958" s="321"/>
      <c r="I1958" s="315"/>
      <c r="J1958" s="316" t="str">
        <f t="shared" si="360"/>
        <v/>
      </c>
    </row>
    <row r="1959" spans="1:10" s="316" customFormat="1">
      <c r="A1959" s="321">
        <v>81</v>
      </c>
      <c r="B1959" s="295">
        <f t="shared" si="361"/>
        <v>69</v>
      </c>
      <c r="C1959" s="321">
        <v>6.1</v>
      </c>
      <c r="D1959" s="321" t="s">
        <v>115</v>
      </c>
      <c r="E1959" s="321"/>
      <c r="F1959" s="316" t="str">
        <f t="shared" si="358"/>
        <v/>
      </c>
      <c r="G1959" s="321"/>
      <c r="H1959" s="321"/>
      <c r="I1959" s="315"/>
      <c r="J1959" s="316" t="str">
        <f t="shared" si="360"/>
        <v/>
      </c>
    </row>
    <row r="1960" spans="1:10" s="316" customFormat="1">
      <c r="A1960" s="321">
        <v>81</v>
      </c>
      <c r="B1960" s="295">
        <f t="shared" si="361"/>
        <v>69</v>
      </c>
      <c r="C1960" s="321">
        <v>6.2</v>
      </c>
      <c r="D1960" s="321" t="s">
        <v>115</v>
      </c>
      <c r="E1960" s="321"/>
      <c r="F1960" s="316" t="str">
        <f t="shared" si="358"/>
        <v/>
      </c>
      <c r="G1960" s="321"/>
      <c r="H1960" s="321"/>
      <c r="I1960" s="315"/>
      <c r="J1960" s="316" t="str">
        <f t="shared" si="360"/>
        <v/>
      </c>
    </row>
    <row r="1961" spans="1:10" s="316" customFormat="1">
      <c r="A1961" s="321">
        <v>81</v>
      </c>
      <c r="B1961" s="295">
        <f t="shared" si="361"/>
        <v>69</v>
      </c>
      <c r="C1961" s="321">
        <v>6.3</v>
      </c>
      <c r="D1961" s="321" t="s">
        <v>114</v>
      </c>
      <c r="E1961" s="321"/>
      <c r="F1961" s="316" t="str">
        <f t="shared" si="358"/>
        <v/>
      </c>
      <c r="G1961" s="321"/>
      <c r="H1961" s="321"/>
      <c r="I1961" s="315"/>
      <c r="J1961" s="316" t="str">
        <f t="shared" si="360"/>
        <v/>
      </c>
    </row>
    <row r="1962" spans="1:10" s="316" customFormat="1">
      <c r="A1962" s="321">
        <v>81</v>
      </c>
      <c r="B1962" s="295">
        <f t="shared" si="361"/>
        <v>69</v>
      </c>
      <c r="C1962" s="321">
        <v>6.4</v>
      </c>
      <c r="D1962" s="321" t="s">
        <v>112</v>
      </c>
      <c r="E1962" s="321"/>
      <c r="F1962" s="316" t="str">
        <f t="shared" si="358"/>
        <v/>
      </c>
      <c r="G1962" s="321"/>
      <c r="H1962" s="321"/>
      <c r="I1962" s="315"/>
      <c r="J1962" s="316" t="str">
        <f t="shared" si="360"/>
        <v/>
      </c>
    </row>
    <row r="1963" spans="1:10" s="316" customFormat="1">
      <c r="A1963" s="321">
        <v>81</v>
      </c>
      <c r="B1963" s="295">
        <f t="shared" si="361"/>
        <v>69</v>
      </c>
      <c r="C1963" s="321">
        <v>6.5</v>
      </c>
      <c r="D1963" s="321" t="s">
        <v>113</v>
      </c>
      <c r="E1963" s="321"/>
      <c r="F1963" s="316" t="str">
        <f t="shared" si="358"/>
        <v/>
      </c>
      <c r="G1963" s="321"/>
      <c r="H1963" s="321"/>
      <c r="I1963" s="315"/>
      <c r="J1963" s="316" t="str">
        <f t="shared" si="360"/>
        <v/>
      </c>
    </row>
    <row r="1964" spans="1:10" s="316" customFormat="1">
      <c r="A1964" s="321">
        <v>81</v>
      </c>
      <c r="B1964" s="295">
        <f t="shared" si="361"/>
        <v>69</v>
      </c>
      <c r="C1964" s="321">
        <v>7.1</v>
      </c>
      <c r="D1964" s="321" t="s">
        <v>114</v>
      </c>
      <c r="E1964" s="321">
        <v>31</v>
      </c>
      <c r="F1964" s="316">
        <f t="shared" si="358"/>
        <v>1.1481481481481481</v>
      </c>
      <c r="G1964" s="321">
        <v>15.1</v>
      </c>
      <c r="H1964" s="321">
        <v>14</v>
      </c>
      <c r="I1964" s="315">
        <f t="shared" ref="I1964" si="368">G1964*(H1964^2)*0.5</f>
        <v>1479.8</v>
      </c>
      <c r="J1964" s="316">
        <f t="shared" si="360"/>
        <v>10.961481481481481</v>
      </c>
    </row>
    <row r="1965" spans="1:10" s="316" customFormat="1">
      <c r="A1965" s="321">
        <v>81</v>
      </c>
      <c r="B1965" s="295">
        <f t="shared" si="361"/>
        <v>69</v>
      </c>
      <c r="C1965" s="321">
        <v>7.2</v>
      </c>
      <c r="D1965" s="321" t="s">
        <v>111</v>
      </c>
      <c r="E1965" s="321"/>
      <c r="F1965" s="316" t="str">
        <f t="shared" si="358"/>
        <v/>
      </c>
      <c r="G1965" s="321"/>
      <c r="H1965" s="321"/>
      <c r="I1965" s="315"/>
      <c r="J1965" s="316" t="str">
        <f t="shared" si="360"/>
        <v/>
      </c>
    </row>
    <row r="1966" spans="1:10" s="316" customFormat="1">
      <c r="A1966" s="321">
        <v>81</v>
      </c>
      <c r="B1966" s="295">
        <f t="shared" si="361"/>
        <v>69</v>
      </c>
      <c r="C1966" s="321">
        <v>7.3</v>
      </c>
      <c r="D1966" s="321" t="s">
        <v>113</v>
      </c>
      <c r="E1966" s="321">
        <v>30</v>
      </c>
      <c r="F1966" s="316">
        <f t="shared" si="358"/>
        <v>1.1111111111111112</v>
      </c>
      <c r="G1966" s="321">
        <v>7.9</v>
      </c>
      <c r="H1966" s="321">
        <v>7</v>
      </c>
      <c r="I1966" s="315">
        <f t="shared" ref="I1966" si="369">G1966*(H1966^2)*0.5</f>
        <v>193.55</v>
      </c>
      <c r="J1966" s="316">
        <f t="shared" si="360"/>
        <v>1.3545953360768177</v>
      </c>
    </row>
    <row r="1967" spans="1:10" s="316" customFormat="1">
      <c r="A1967" s="321">
        <v>81</v>
      </c>
      <c r="B1967" s="295">
        <f t="shared" si="361"/>
        <v>69</v>
      </c>
      <c r="C1967" s="321">
        <v>7.4</v>
      </c>
      <c r="D1967" s="321" t="s">
        <v>115</v>
      </c>
      <c r="E1967" s="321"/>
      <c r="F1967" s="316" t="str">
        <f t="shared" si="358"/>
        <v/>
      </c>
      <c r="G1967" s="321"/>
      <c r="H1967" s="321"/>
      <c r="I1967" s="315"/>
      <c r="J1967" s="316" t="str">
        <f t="shared" si="360"/>
        <v/>
      </c>
    </row>
    <row r="1968" spans="1:10" s="316" customFormat="1">
      <c r="A1968" s="321">
        <v>81</v>
      </c>
      <c r="B1968" s="295">
        <f t="shared" si="361"/>
        <v>69</v>
      </c>
      <c r="C1968" s="321">
        <v>7.5</v>
      </c>
      <c r="D1968" s="321" t="s">
        <v>111</v>
      </c>
      <c r="E1968" s="321"/>
      <c r="F1968" s="316" t="str">
        <f t="shared" si="358"/>
        <v/>
      </c>
      <c r="G1968" s="321"/>
      <c r="H1968" s="321"/>
      <c r="I1968" s="315"/>
      <c r="J1968" s="316" t="str">
        <f t="shared" si="360"/>
        <v/>
      </c>
    </row>
    <row r="1969" spans="1:11" s="316" customFormat="1">
      <c r="A1969" s="321">
        <v>83</v>
      </c>
      <c r="B1969" s="295">
        <f t="shared" si="361"/>
        <v>71</v>
      </c>
      <c r="C1969" s="321">
        <v>1.1000000000000001</v>
      </c>
      <c r="D1969" s="321" t="s">
        <v>112</v>
      </c>
      <c r="E1969" s="321"/>
      <c r="F1969" s="316" t="str">
        <f t="shared" si="358"/>
        <v/>
      </c>
      <c r="G1969" s="321"/>
      <c r="H1969" s="321"/>
      <c r="I1969" s="315"/>
      <c r="J1969" s="316" t="str">
        <f t="shared" si="360"/>
        <v/>
      </c>
    </row>
    <row r="1970" spans="1:11" s="316" customFormat="1">
      <c r="A1970" s="321">
        <v>83</v>
      </c>
      <c r="B1970" s="295">
        <f t="shared" si="361"/>
        <v>71</v>
      </c>
      <c r="C1970" s="321">
        <v>1.2</v>
      </c>
      <c r="D1970" s="321" t="s">
        <v>113</v>
      </c>
      <c r="E1970" s="321">
        <v>33</v>
      </c>
      <c r="F1970" s="316">
        <f t="shared" si="358"/>
        <v>1.2222222222222223</v>
      </c>
      <c r="G1970" s="321">
        <v>8.9</v>
      </c>
      <c r="H1970" s="321">
        <v>8.8000000000000007</v>
      </c>
      <c r="I1970" s="315">
        <f t="shared" ref="I1970" si="370">G1970*(H1970^2)*0.5</f>
        <v>344.60800000000006</v>
      </c>
      <c r="J1970" s="316">
        <f t="shared" si="360"/>
        <v>1.6472539632842023</v>
      </c>
    </row>
    <row r="1971" spans="1:11" s="316" customFormat="1">
      <c r="A1971" s="321">
        <v>83</v>
      </c>
      <c r="B1971" s="295">
        <f t="shared" si="361"/>
        <v>71</v>
      </c>
      <c r="C1971" s="321">
        <v>1.3</v>
      </c>
      <c r="D1971" s="321" t="s">
        <v>115</v>
      </c>
      <c r="E1971" s="321"/>
      <c r="F1971" s="316" t="str">
        <f t="shared" si="358"/>
        <v/>
      </c>
      <c r="G1971" s="321"/>
      <c r="H1971" s="321"/>
      <c r="I1971" s="315"/>
      <c r="J1971" s="316" t="str">
        <f t="shared" si="360"/>
        <v/>
      </c>
    </row>
    <row r="1972" spans="1:11">
      <c r="A1972" s="321">
        <v>83</v>
      </c>
      <c r="B1972" s="295">
        <f t="shared" si="361"/>
        <v>71</v>
      </c>
      <c r="C1972" s="321">
        <v>1.4</v>
      </c>
      <c r="D1972" s="321" t="s">
        <v>115</v>
      </c>
      <c r="E1972" s="321"/>
      <c r="F1972" s="316" t="str">
        <f t="shared" si="358"/>
        <v/>
      </c>
      <c r="G1972" s="321"/>
      <c r="H1972" s="321"/>
      <c r="J1972" s="316" t="str">
        <f t="shared" si="360"/>
        <v/>
      </c>
    </row>
    <row r="1973" spans="1:11">
      <c r="A1973" s="321">
        <v>83</v>
      </c>
      <c r="B1973" s="295">
        <f t="shared" si="361"/>
        <v>71</v>
      </c>
      <c r="C1973" s="321">
        <v>1.5</v>
      </c>
      <c r="D1973" s="321" t="s">
        <v>112</v>
      </c>
      <c r="E1973" s="321">
        <v>30</v>
      </c>
      <c r="F1973" s="316">
        <f t="shared" si="358"/>
        <v>1.0714285714285714</v>
      </c>
      <c r="G1973" s="321">
        <v>15.2</v>
      </c>
      <c r="H1973" s="321">
        <v>13.5</v>
      </c>
      <c r="I1973" s="315">
        <f t="shared" ref="I1973" si="371">G1973*(H1973^2)*0.5</f>
        <v>1385.1</v>
      </c>
      <c r="J1973" s="316">
        <f t="shared" si="360"/>
        <v>9.9458582261029402</v>
      </c>
    </row>
    <row r="1974" spans="1:11">
      <c r="A1974" s="321">
        <v>83</v>
      </c>
      <c r="B1974" s="295">
        <f t="shared" si="361"/>
        <v>71</v>
      </c>
      <c r="C1974" s="321">
        <v>2.1</v>
      </c>
      <c r="D1974" s="321" t="s">
        <v>114</v>
      </c>
      <c r="E1974" s="321"/>
      <c r="F1974" s="316" t="str">
        <f t="shared" si="358"/>
        <v/>
      </c>
      <c r="G1974" s="321"/>
      <c r="H1974" s="321"/>
      <c r="J1974" s="316" t="str">
        <f t="shared" si="360"/>
        <v/>
      </c>
    </row>
    <row r="1975" spans="1:11">
      <c r="A1975" s="321">
        <v>83</v>
      </c>
      <c r="B1975" s="295">
        <f t="shared" si="361"/>
        <v>71</v>
      </c>
      <c r="C1975" s="321">
        <v>2.2000000000000002</v>
      </c>
      <c r="D1975" s="321" t="s">
        <v>115</v>
      </c>
      <c r="E1975" s="321"/>
      <c r="F1975" s="316" t="str">
        <f t="shared" si="358"/>
        <v/>
      </c>
      <c r="G1975" s="321"/>
      <c r="H1975" s="321"/>
      <c r="J1975" s="316" t="str">
        <f t="shared" si="360"/>
        <v/>
      </c>
    </row>
    <row r="1976" spans="1:11">
      <c r="A1976" s="321">
        <v>83</v>
      </c>
      <c r="B1976" s="295">
        <f t="shared" si="361"/>
        <v>71</v>
      </c>
      <c r="C1976" s="321">
        <v>2.2999999999999998</v>
      </c>
      <c r="D1976" s="321" t="s">
        <v>112</v>
      </c>
      <c r="E1976" s="321"/>
      <c r="F1976" s="316" t="str">
        <f t="shared" si="358"/>
        <v/>
      </c>
      <c r="G1976" s="321"/>
      <c r="H1976" s="321"/>
      <c r="J1976" s="316" t="str">
        <f t="shared" si="360"/>
        <v/>
      </c>
    </row>
    <row r="1977" spans="1:11">
      <c r="A1977" s="321">
        <v>83</v>
      </c>
      <c r="B1977" s="295">
        <f t="shared" si="361"/>
        <v>71</v>
      </c>
      <c r="C1977" s="321">
        <v>2.4</v>
      </c>
      <c r="D1977" s="321" t="s">
        <v>114</v>
      </c>
      <c r="E1977" s="321">
        <v>30</v>
      </c>
      <c r="F1977" s="316">
        <f t="shared" si="358"/>
        <v>1.2</v>
      </c>
      <c r="G1977" s="321">
        <v>14.4</v>
      </c>
      <c r="H1977" s="321">
        <v>14.4</v>
      </c>
      <c r="I1977" s="315">
        <f t="shared" ref="I1977:I1979" si="372">G1977*(H1977^2)*0.5</f>
        <v>1492.9920000000002</v>
      </c>
      <c r="J1977" s="316">
        <f t="shared" si="360"/>
        <v>13.888297674418606</v>
      </c>
    </row>
    <row r="1978" spans="1:11">
      <c r="A1978" s="321">
        <v>83</v>
      </c>
      <c r="B1978" s="295">
        <f t="shared" si="361"/>
        <v>71</v>
      </c>
      <c r="C1978" s="321">
        <v>2.5</v>
      </c>
      <c r="D1978" s="321" t="s">
        <v>113</v>
      </c>
      <c r="E1978" s="321">
        <v>33</v>
      </c>
      <c r="F1978" s="316">
        <f t="shared" si="358"/>
        <v>1.2222222222222223</v>
      </c>
      <c r="G1978" s="321">
        <v>11.7</v>
      </c>
      <c r="H1978" s="321">
        <v>11.3</v>
      </c>
      <c r="I1978" s="315">
        <f t="shared" si="372"/>
        <v>746.98649999999998</v>
      </c>
      <c r="J1978" s="316">
        <f t="shared" si="360"/>
        <v>4.3790464410078433</v>
      </c>
    </row>
    <row r="1979" spans="1:11">
      <c r="A1979" s="321">
        <v>83</v>
      </c>
      <c r="B1979" s="295">
        <f t="shared" si="361"/>
        <v>71</v>
      </c>
      <c r="C1979" s="321">
        <v>3.1</v>
      </c>
      <c r="D1979" s="321" t="s">
        <v>115</v>
      </c>
      <c r="E1979" s="321">
        <v>22</v>
      </c>
      <c r="F1979" s="316">
        <f t="shared" si="358"/>
        <v>0.91666666666666663</v>
      </c>
      <c r="G1979" s="321">
        <v>9</v>
      </c>
      <c r="H1979" s="321">
        <v>8.9</v>
      </c>
      <c r="I1979" s="315">
        <f t="shared" si="372"/>
        <v>356.44500000000005</v>
      </c>
      <c r="J1979" s="316">
        <f t="shared" si="360"/>
        <v>1.9619925691482047</v>
      </c>
      <c r="K1979" s="316" t="s">
        <v>189</v>
      </c>
    </row>
    <row r="1980" spans="1:11">
      <c r="A1980" s="321">
        <v>83</v>
      </c>
      <c r="B1980" s="295">
        <f t="shared" si="361"/>
        <v>71</v>
      </c>
      <c r="C1980" s="321">
        <v>3.2</v>
      </c>
      <c r="D1980" s="321" t="s">
        <v>113</v>
      </c>
      <c r="E1980" s="321"/>
      <c r="F1980" s="316" t="str">
        <f t="shared" si="358"/>
        <v/>
      </c>
      <c r="G1980" s="321"/>
      <c r="H1980" s="321"/>
      <c r="J1980" s="316" t="str">
        <f t="shared" si="360"/>
        <v/>
      </c>
    </row>
    <row r="1981" spans="1:11">
      <c r="A1981" s="321">
        <v>83</v>
      </c>
      <c r="B1981" s="295">
        <f t="shared" si="361"/>
        <v>71</v>
      </c>
      <c r="C1981" s="321">
        <v>3.3</v>
      </c>
      <c r="D1981" s="321" t="s">
        <v>114</v>
      </c>
      <c r="E1981" s="321"/>
      <c r="F1981" s="316" t="str">
        <f t="shared" si="358"/>
        <v/>
      </c>
      <c r="G1981" s="321"/>
      <c r="H1981" s="321"/>
      <c r="J1981" s="316" t="str">
        <f t="shared" si="360"/>
        <v/>
      </c>
    </row>
    <row r="1982" spans="1:11">
      <c r="A1982" s="321">
        <v>83</v>
      </c>
      <c r="B1982" s="295">
        <f t="shared" si="361"/>
        <v>71</v>
      </c>
      <c r="C1982" s="321">
        <v>3.4</v>
      </c>
      <c r="D1982" s="321" t="s">
        <v>114</v>
      </c>
      <c r="E1982" s="321"/>
      <c r="F1982" s="316" t="str">
        <f t="shared" si="358"/>
        <v/>
      </c>
      <c r="G1982" s="321"/>
      <c r="H1982" s="321"/>
      <c r="J1982" s="316" t="str">
        <f t="shared" si="360"/>
        <v/>
      </c>
    </row>
    <row r="1983" spans="1:11">
      <c r="A1983" s="321">
        <v>83</v>
      </c>
      <c r="B1983" s="295">
        <f t="shared" si="361"/>
        <v>71</v>
      </c>
      <c r="C1983" s="321">
        <v>3.5</v>
      </c>
      <c r="D1983" s="321" t="s">
        <v>115</v>
      </c>
      <c r="E1983" s="321"/>
      <c r="F1983" s="316" t="str">
        <f t="shared" si="358"/>
        <v/>
      </c>
      <c r="G1983" s="321"/>
      <c r="H1983" s="321"/>
      <c r="J1983" s="316" t="str">
        <f t="shared" si="360"/>
        <v/>
      </c>
    </row>
    <row r="1984" spans="1:11">
      <c r="A1984" s="321">
        <v>83</v>
      </c>
      <c r="B1984" s="295">
        <f t="shared" si="361"/>
        <v>71</v>
      </c>
      <c r="C1984" s="321">
        <v>4.0999999999999996</v>
      </c>
      <c r="D1984" s="321" t="s">
        <v>111</v>
      </c>
      <c r="E1984" s="321"/>
      <c r="F1984" s="316" t="str">
        <f t="shared" si="358"/>
        <v/>
      </c>
      <c r="G1984" s="321"/>
      <c r="H1984" s="321"/>
      <c r="J1984" s="316" t="str">
        <f t="shared" si="360"/>
        <v/>
      </c>
    </row>
    <row r="1985" spans="1:11">
      <c r="A1985" s="321">
        <v>83</v>
      </c>
      <c r="B1985" s="295">
        <f t="shared" si="361"/>
        <v>71</v>
      </c>
      <c r="C1985" s="321">
        <v>4.2</v>
      </c>
      <c r="D1985" s="321" t="s">
        <v>112</v>
      </c>
      <c r="E1985" s="321"/>
      <c r="F1985" s="316" t="str">
        <f t="shared" si="358"/>
        <v/>
      </c>
      <c r="G1985" s="321"/>
      <c r="H1985" s="321"/>
      <c r="J1985" s="316" t="str">
        <f t="shared" si="360"/>
        <v/>
      </c>
    </row>
    <row r="1986" spans="1:11">
      <c r="A1986" s="321">
        <v>83</v>
      </c>
      <c r="B1986" s="295">
        <f t="shared" si="361"/>
        <v>71</v>
      </c>
      <c r="C1986" s="321">
        <v>4.3</v>
      </c>
      <c r="D1986" s="321" t="s">
        <v>113</v>
      </c>
      <c r="E1986" s="321">
        <v>31</v>
      </c>
      <c r="F1986" s="316">
        <f t="shared" si="358"/>
        <v>1.1923076923076923</v>
      </c>
      <c r="G1986" s="321">
        <v>13.1</v>
      </c>
      <c r="H1986" s="321">
        <v>12</v>
      </c>
      <c r="I1986" s="315">
        <f t="shared" ref="I1986" si="373">G1986*(H1986^2)*0.5</f>
        <v>943.19999999999993</v>
      </c>
      <c r="J1986" s="316">
        <f t="shared" si="360"/>
        <v>6.7727481617647047</v>
      </c>
    </row>
    <row r="1987" spans="1:11">
      <c r="A1987" s="321">
        <v>83</v>
      </c>
      <c r="B1987" s="295">
        <f t="shared" si="361"/>
        <v>71</v>
      </c>
      <c r="C1987" s="321">
        <v>4.4000000000000004</v>
      </c>
      <c r="D1987" s="321" t="s">
        <v>112</v>
      </c>
      <c r="E1987" s="321"/>
      <c r="F1987" s="316" t="str">
        <f t="shared" si="358"/>
        <v/>
      </c>
      <c r="G1987" s="321"/>
      <c r="H1987" s="321"/>
      <c r="J1987" s="316" t="str">
        <f t="shared" si="360"/>
        <v/>
      </c>
    </row>
    <row r="1988" spans="1:11">
      <c r="A1988" s="321">
        <v>83</v>
      </c>
      <c r="B1988" s="295">
        <f t="shared" si="361"/>
        <v>71</v>
      </c>
      <c r="C1988" s="321">
        <v>4.5</v>
      </c>
      <c r="D1988" s="321" t="s">
        <v>112</v>
      </c>
      <c r="E1988" s="321"/>
      <c r="F1988" s="316" t="str">
        <f t="shared" si="358"/>
        <v/>
      </c>
      <c r="G1988" s="321"/>
      <c r="H1988" s="321"/>
      <c r="J1988" s="316" t="str">
        <f t="shared" si="360"/>
        <v/>
      </c>
    </row>
    <row r="1989" spans="1:11">
      <c r="A1989" s="321">
        <v>83</v>
      </c>
      <c r="B1989" s="295">
        <f t="shared" si="361"/>
        <v>71</v>
      </c>
      <c r="C1989" s="321">
        <v>5.0999999999999996</v>
      </c>
      <c r="D1989" s="321" t="s">
        <v>113</v>
      </c>
      <c r="E1989" s="321">
        <v>25</v>
      </c>
      <c r="F1989" s="316">
        <f t="shared" si="358"/>
        <v>1.0416666666666667</v>
      </c>
      <c r="G1989" s="321">
        <v>12.8</v>
      </c>
      <c r="H1989" s="321">
        <v>10.4</v>
      </c>
      <c r="I1989" s="315">
        <f t="shared" ref="I1989" si="374">G1989*(H1989^2)*0.5</f>
        <v>692.22400000000016</v>
      </c>
      <c r="J1989" s="316">
        <f t="shared" si="360"/>
        <v>4.1676891861788281</v>
      </c>
    </row>
    <row r="1990" spans="1:11">
      <c r="A1990" s="321">
        <v>83</v>
      </c>
      <c r="B1990" s="295">
        <f t="shared" si="361"/>
        <v>71</v>
      </c>
      <c r="C1990" s="321">
        <v>5.2</v>
      </c>
      <c r="D1990" s="321" t="s">
        <v>114</v>
      </c>
      <c r="E1990" s="321"/>
      <c r="F1990" s="316" t="str">
        <f t="shared" si="358"/>
        <v/>
      </c>
      <c r="G1990" s="321"/>
      <c r="H1990" s="321"/>
      <c r="J1990" s="316" t="str">
        <f t="shared" si="360"/>
        <v/>
      </c>
    </row>
    <row r="1991" spans="1:11">
      <c r="A1991" s="321">
        <v>83</v>
      </c>
      <c r="B1991" s="295">
        <f t="shared" si="361"/>
        <v>71</v>
      </c>
      <c r="C1991" s="321">
        <v>5.3</v>
      </c>
      <c r="D1991" s="321" t="s">
        <v>112</v>
      </c>
      <c r="E1991" s="321"/>
      <c r="F1991" s="316" t="str">
        <f t="shared" si="358"/>
        <v/>
      </c>
      <c r="G1991" s="321"/>
      <c r="H1991" s="321"/>
      <c r="J1991" s="316" t="str">
        <f t="shared" si="360"/>
        <v/>
      </c>
    </row>
    <row r="1992" spans="1:11">
      <c r="A1992" s="321">
        <v>83</v>
      </c>
      <c r="B1992" s="295">
        <f t="shared" si="361"/>
        <v>71</v>
      </c>
      <c r="C1992" s="321">
        <v>5.4</v>
      </c>
      <c r="D1992" s="321" t="s">
        <v>113</v>
      </c>
      <c r="E1992" s="321"/>
      <c r="F1992" s="316" t="str">
        <f t="shared" si="358"/>
        <v/>
      </c>
      <c r="G1992" s="321"/>
      <c r="H1992" s="321"/>
      <c r="J1992" s="316" t="str">
        <f t="shared" si="360"/>
        <v/>
      </c>
    </row>
    <row r="1993" spans="1:11">
      <c r="A1993" s="321">
        <v>83</v>
      </c>
      <c r="B1993" s="295">
        <f t="shared" si="361"/>
        <v>71</v>
      </c>
      <c r="C1993" s="321">
        <v>5.5</v>
      </c>
      <c r="D1993" s="321" t="s">
        <v>114</v>
      </c>
      <c r="E1993" s="321"/>
      <c r="F1993" s="316" t="str">
        <f t="shared" ref="F1993:F2056" si="375">IF(ISBLANK(E1993),"",E1993/SUMIFS(E:E,C:C,C1993,B:B,"0"))</f>
        <v/>
      </c>
      <c r="G1993" s="321"/>
      <c r="H1993" s="321"/>
      <c r="J1993" s="316" t="str">
        <f t="shared" ref="J1993:J2056" si="376">IF(ISBLANK(I1993),"",I1993/SUMIFS(I:I,C:C,C1993,B:B,"0"))</f>
        <v/>
      </c>
    </row>
    <row r="1994" spans="1:11">
      <c r="A1994" s="321">
        <v>83</v>
      </c>
      <c r="B1994" s="295">
        <f t="shared" ref="B1994:B2057" si="377">A1994-12</f>
        <v>71</v>
      </c>
      <c r="C1994" s="321">
        <v>6.1</v>
      </c>
      <c r="D1994" s="321" t="s">
        <v>115</v>
      </c>
      <c r="E1994" s="321"/>
      <c r="F1994" s="316" t="str">
        <f t="shared" si="375"/>
        <v/>
      </c>
      <c r="G1994" s="321"/>
      <c r="H1994" s="321"/>
      <c r="J1994" s="316" t="str">
        <f t="shared" si="376"/>
        <v/>
      </c>
    </row>
    <row r="1995" spans="1:11">
      <c r="A1995" s="321">
        <v>83</v>
      </c>
      <c r="B1995" s="295">
        <f t="shared" si="377"/>
        <v>71</v>
      </c>
      <c r="C1995" s="321">
        <v>6.2</v>
      </c>
      <c r="D1995" s="321" t="s">
        <v>115</v>
      </c>
      <c r="E1995" s="321"/>
      <c r="F1995" s="316" t="str">
        <f t="shared" si="375"/>
        <v/>
      </c>
      <c r="G1995" s="321"/>
      <c r="H1995" s="321"/>
      <c r="J1995" s="316" t="str">
        <f t="shared" si="376"/>
        <v/>
      </c>
    </row>
    <row r="1996" spans="1:11">
      <c r="A1996" s="321">
        <v>83</v>
      </c>
      <c r="B1996" s="295">
        <f t="shared" si="377"/>
        <v>71</v>
      </c>
      <c r="C1996" s="321">
        <v>6.3</v>
      </c>
      <c r="D1996" s="321" t="s">
        <v>114</v>
      </c>
      <c r="E1996" s="321"/>
      <c r="F1996" s="316" t="str">
        <f t="shared" si="375"/>
        <v/>
      </c>
      <c r="G1996" s="321"/>
      <c r="H1996" s="321"/>
      <c r="J1996" s="316" t="str">
        <f t="shared" si="376"/>
        <v/>
      </c>
    </row>
    <row r="1997" spans="1:11">
      <c r="A1997" s="321">
        <v>83</v>
      </c>
      <c r="B1997" s="295">
        <f t="shared" si="377"/>
        <v>71</v>
      </c>
      <c r="C1997" s="321">
        <v>6.4</v>
      </c>
      <c r="D1997" s="321" t="s">
        <v>112</v>
      </c>
      <c r="E1997" s="321"/>
      <c r="F1997" s="316" t="str">
        <f t="shared" si="375"/>
        <v/>
      </c>
      <c r="G1997" s="321"/>
      <c r="H1997" s="321"/>
      <c r="J1997" s="316" t="str">
        <f t="shared" si="376"/>
        <v/>
      </c>
    </row>
    <row r="1998" spans="1:11">
      <c r="A1998" s="321">
        <v>83</v>
      </c>
      <c r="B1998" s="295">
        <f t="shared" si="377"/>
        <v>71</v>
      </c>
      <c r="C1998" s="321">
        <v>6.5</v>
      </c>
      <c r="D1998" s="321" t="s">
        <v>113</v>
      </c>
      <c r="E1998" s="321"/>
      <c r="F1998" s="316" t="str">
        <f t="shared" si="375"/>
        <v/>
      </c>
      <c r="G1998" s="321"/>
      <c r="H1998" s="321"/>
      <c r="J1998" s="316" t="str">
        <f t="shared" si="376"/>
        <v/>
      </c>
    </row>
    <row r="1999" spans="1:11">
      <c r="A1999" s="321">
        <v>83</v>
      </c>
      <c r="B1999" s="295">
        <f t="shared" si="377"/>
        <v>71</v>
      </c>
      <c r="C1999" s="321">
        <v>7.1</v>
      </c>
      <c r="D1999" s="321" t="s">
        <v>114</v>
      </c>
      <c r="E1999" s="321">
        <v>32</v>
      </c>
      <c r="F1999" s="316">
        <f t="shared" si="375"/>
        <v>1.1851851851851851</v>
      </c>
      <c r="G1999" s="321">
        <v>16.2</v>
      </c>
      <c r="H1999" s="321">
        <v>14.3</v>
      </c>
      <c r="I1999" s="315">
        <f t="shared" ref="I1999" si="378">G1999*(H1999^2)*0.5</f>
        <v>1656.3689999999999</v>
      </c>
      <c r="J1999" s="316">
        <f t="shared" si="376"/>
        <v>12.269399999999999</v>
      </c>
      <c r="K1999" s="316" t="s">
        <v>172</v>
      </c>
    </row>
    <row r="2000" spans="1:11">
      <c r="A2000" s="321">
        <v>83</v>
      </c>
      <c r="B2000" s="295">
        <f t="shared" si="377"/>
        <v>71</v>
      </c>
      <c r="C2000" s="321">
        <v>7.2</v>
      </c>
      <c r="D2000" s="321" t="s">
        <v>111</v>
      </c>
      <c r="E2000" s="321"/>
      <c r="F2000" s="316" t="str">
        <f t="shared" si="375"/>
        <v/>
      </c>
      <c r="G2000" s="321"/>
      <c r="H2000" s="321"/>
      <c r="J2000" s="316" t="str">
        <f t="shared" si="376"/>
        <v/>
      </c>
    </row>
    <row r="2001" spans="1:10">
      <c r="A2001" s="321">
        <v>83</v>
      </c>
      <c r="B2001" s="295">
        <f t="shared" si="377"/>
        <v>71</v>
      </c>
      <c r="C2001" s="321">
        <v>7.3</v>
      </c>
      <c r="D2001" s="321" t="s">
        <v>113</v>
      </c>
      <c r="E2001" s="321">
        <v>30</v>
      </c>
      <c r="F2001" s="316">
        <f t="shared" si="375"/>
        <v>1.1111111111111112</v>
      </c>
      <c r="G2001" s="321">
        <v>7.9</v>
      </c>
      <c r="H2001" s="321">
        <v>6.4</v>
      </c>
      <c r="I2001" s="315">
        <f t="shared" ref="I2001:I2036" si="379">G2001*(H2001^2)*0.5</f>
        <v>161.79200000000003</v>
      </c>
      <c r="J2001" s="316">
        <f t="shared" si="376"/>
        <v>1.1323311217491114</v>
      </c>
    </row>
    <row r="2002" spans="1:10">
      <c r="A2002" s="321">
        <v>83</v>
      </c>
      <c r="B2002" s="295">
        <f t="shared" si="377"/>
        <v>71</v>
      </c>
      <c r="C2002" s="321">
        <v>7.4</v>
      </c>
      <c r="D2002" s="321" t="s">
        <v>115</v>
      </c>
      <c r="E2002" s="321"/>
      <c r="F2002" s="316" t="str">
        <f t="shared" si="375"/>
        <v/>
      </c>
      <c r="G2002" s="321"/>
      <c r="H2002" s="321"/>
      <c r="J2002" s="316" t="str">
        <f t="shared" si="376"/>
        <v/>
      </c>
    </row>
    <row r="2003" spans="1:10">
      <c r="A2003" s="321">
        <v>83</v>
      </c>
      <c r="B2003" s="295">
        <f t="shared" si="377"/>
        <v>71</v>
      </c>
      <c r="C2003" s="321">
        <v>7.5</v>
      </c>
      <c r="D2003" s="321" t="s">
        <v>111</v>
      </c>
      <c r="E2003" s="321"/>
      <c r="F2003" s="316" t="str">
        <f t="shared" si="375"/>
        <v/>
      </c>
      <c r="G2003" s="321"/>
      <c r="H2003" s="321"/>
      <c r="J2003" s="316" t="str">
        <f t="shared" si="376"/>
        <v/>
      </c>
    </row>
    <row r="2004" spans="1:10" s="316" customFormat="1">
      <c r="A2004" s="321">
        <v>85</v>
      </c>
      <c r="B2004" s="295">
        <f t="shared" si="377"/>
        <v>73</v>
      </c>
      <c r="C2004" s="321">
        <v>1.1000000000000001</v>
      </c>
      <c r="D2004" s="321" t="s">
        <v>112</v>
      </c>
      <c r="E2004" s="321"/>
      <c r="F2004" s="316" t="str">
        <f t="shared" si="375"/>
        <v/>
      </c>
      <c r="G2004" s="321"/>
      <c r="H2004" s="321"/>
      <c r="I2004" s="315"/>
      <c r="J2004" s="316" t="str">
        <f t="shared" si="376"/>
        <v/>
      </c>
    </row>
    <row r="2005" spans="1:10" s="316" customFormat="1">
      <c r="A2005" s="321">
        <v>85</v>
      </c>
      <c r="B2005" s="295">
        <f t="shared" si="377"/>
        <v>73</v>
      </c>
      <c r="C2005" s="321">
        <v>1.2</v>
      </c>
      <c r="D2005" s="321" t="s">
        <v>113</v>
      </c>
      <c r="E2005" s="321">
        <v>32</v>
      </c>
      <c r="F2005" s="316">
        <f t="shared" si="375"/>
        <v>1.1851851851851851</v>
      </c>
      <c r="G2005" s="321">
        <v>8.9</v>
      </c>
      <c r="H2005" s="321">
        <v>8.8000000000000007</v>
      </c>
      <c r="I2005" s="315">
        <f t="shared" si="379"/>
        <v>344.60800000000006</v>
      </c>
      <c r="J2005" s="316">
        <f t="shared" si="376"/>
        <v>1.6472539632842023</v>
      </c>
    </row>
    <row r="2006" spans="1:10" s="316" customFormat="1">
      <c r="A2006" s="321">
        <v>85</v>
      </c>
      <c r="B2006" s="295">
        <f t="shared" si="377"/>
        <v>73</v>
      </c>
      <c r="C2006" s="321">
        <v>1.3</v>
      </c>
      <c r="D2006" s="321" t="s">
        <v>115</v>
      </c>
      <c r="E2006" s="321"/>
      <c r="F2006" s="316" t="str">
        <f t="shared" si="375"/>
        <v/>
      </c>
      <c r="G2006" s="321"/>
      <c r="H2006" s="321"/>
      <c r="I2006" s="315"/>
      <c r="J2006" s="316" t="str">
        <f t="shared" si="376"/>
        <v/>
      </c>
    </row>
    <row r="2007" spans="1:10" s="316" customFormat="1">
      <c r="A2007" s="321">
        <v>85</v>
      </c>
      <c r="B2007" s="295">
        <f t="shared" si="377"/>
        <v>73</v>
      </c>
      <c r="C2007" s="321">
        <v>1.4</v>
      </c>
      <c r="D2007" s="321" t="s">
        <v>115</v>
      </c>
      <c r="E2007" s="321"/>
      <c r="F2007" s="316" t="str">
        <f t="shared" si="375"/>
        <v/>
      </c>
      <c r="G2007" s="321"/>
      <c r="H2007" s="321"/>
      <c r="I2007" s="315"/>
      <c r="J2007" s="316" t="str">
        <f t="shared" si="376"/>
        <v/>
      </c>
    </row>
    <row r="2008" spans="1:10" s="316" customFormat="1">
      <c r="A2008" s="321">
        <v>85</v>
      </c>
      <c r="B2008" s="295">
        <f t="shared" si="377"/>
        <v>73</v>
      </c>
      <c r="C2008" s="321">
        <v>1.5</v>
      </c>
      <c r="D2008" s="321" t="s">
        <v>112</v>
      </c>
      <c r="E2008" s="321">
        <v>29</v>
      </c>
      <c r="F2008" s="316">
        <f t="shared" si="375"/>
        <v>1.0357142857142858</v>
      </c>
      <c r="G2008" s="321">
        <v>15.2</v>
      </c>
      <c r="H2008" s="321">
        <v>13.5</v>
      </c>
      <c r="I2008" s="315">
        <f t="shared" si="379"/>
        <v>1385.1</v>
      </c>
      <c r="J2008" s="316">
        <f t="shared" si="376"/>
        <v>9.9458582261029402</v>
      </c>
    </row>
    <row r="2009" spans="1:10" s="316" customFormat="1">
      <c r="A2009" s="321">
        <v>85</v>
      </c>
      <c r="B2009" s="295">
        <f t="shared" si="377"/>
        <v>73</v>
      </c>
      <c r="C2009" s="321">
        <v>2.1</v>
      </c>
      <c r="D2009" s="321" t="s">
        <v>114</v>
      </c>
      <c r="E2009" s="321"/>
      <c r="F2009" s="316" t="str">
        <f t="shared" si="375"/>
        <v/>
      </c>
      <c r="G2009" s="321"/>
      <c r="H2009" s="321"/>
      <c r="I2009" s="315"/>
      <c r="J2009" s="316" t="str">
        <f t="shared" si="376"/>
        <v/>
      </c>
    </row>
    <row r="2010" spans="1:10" s="316" customFormat="1">
      <c r="A2010" s="321">
        <v>85</v>
      </c>
      <c r="B2010" s="295">
        <f t="shared" si="377"/>
        <v>73</v>
      </c>
      <c r="C2010" s="321">
        <v>2.2000000000000002</v>
      </c>
      <c r="D2010" s="321" t="s">
        <v>115</v>
      </c>
      <c r="E2010" s="321"/>
      <c r="F2010" s="316" t="str">
        <f t="shared" si="375"/>
        <v/>
      </c>
      <c r="G2010" s="321"/>
      <c r="H2010" s="321"/>
      <c r="I2010" s="315"/>
      <c r="J2010" s="316" t="str">
        <f t="shared" si="376"/>
        <v/>
      </c>
    </row>
    <row r="2011" spans="1:10" s="316" customFormat="1">
      <c r="A2011" s="321">
        <v>85</v>
      </c>
      <c r="B2011" s="295">
        <f t="shared" si="377"/>
        <v>73</v>
      </c>
      <c r="C2011" s="321">
        <v>2.2999999999999998</v>
      </c>
      <c r="D2011" s="321" t="s">
        <v>112</v>
      </c>
      <c r="E2011" s="321"/>
      <c r="F2011" s="316" t="str">
        <f t="shared" si="375"/>
        <v/>
      </c>
      <c r="G2011" s="321"/>
      <c r="H2011" s="321"/>
      <c r="I2011" s="315"/>
      <c r="J2011" s="316" t="str">
        <f t="shared" si="376"/>
        <v/>
      </c>
    </row>
    <row r="2012" spans="1:10" s="316" customFormat="1">
      <c r="A2012" s="321">
        <v>85</v>
      </c>
      <c r="B2012" s="295">
        <f t="shared" si="377"/>
        <v>73</v>
      </c>
      <c r="C2012" s="321">
        <v>2.4</v>
      </c>
      <c r="D2012" s="321" t="s">
        <v>114</v>
      </c>
      <c r="E2012" s="321">
        <v>31</v>
      </c>
      <c r="F2012" s="316">
        <f t="shared" si="375"/>
        <v>1.24</v>
      </c>
      <c r="G2012" s="321">
        <v>14.4</v>
      </c>
      <c r="H2012" s="321">
        <v>14.4</v>
      </c>
      <c r="I2012" s="315">
        <f t="shared" si="379"/>
        <v>1492.9920000000002</v>
      </c>
      <c r="J2012" s="316">
        <f t="shared" si="376"/>
        <v>13.888297674418606</v>
      </c>
    </row>
    <row r="2013" spans="1:10" s="316" customFormat="1">
      <c r="A2013" s="321">
        <v>85</v>
      </c>
      <c r="B2013" s="295">
        <f t="shared" si="377"/>
        <v>73</v>
      </c>
      <c r="C2013" s="321">
        <v>2.5</v>
      </c>
      <c r="D2013" s="321" t="s">
        <v>113</v>
      </c>
      <c r="E2013" s="321">
        <v>33</v>
      </c>
      <c r="F2013" s="316">
        <f t="shared" si="375"/>
        <v>1.2222222222222223</v>
      </c>
      <c r="G2013" s="321">
        <v>11.7</v>
      </c>
      <c r="H2013" s="321">
        <v>11.3</v>
      </c>
      <c r="I2013" s="315">
        <f t="shared" si="379"/>
        <v>746.98649999999998</v>
      </c>
      <c r="J2013" s="316">
        <f t="shared" si="376"/>
        <v>4.3790464410078433</v>
      </c>
    </row>
    <row r="2014" spans="1:10" s="316" customFormat="1">
      <c r="A2014" s="321">
        <v>85</v>
      </c>
      <c r="B2014" s="295">
        <f t="shared" si="377"/>
        <v>73</v>
      </c>
      <c r="C2014" s="321">
        <v>3.1</v>
      </c>
      <c r="D2014" s="321" t="s">
        <v>115</v>
      </c>
      <c r="E2014" s="321"/>
      <c r="F2014" s="316" t="str">
        <f t="shared" si="375"/>
        <v/>
      </c>
      <c r="G2014" s="321"/>
      <c r="H2014" s="321"/>
      <c r="I2014" s="315"/>
      <c r="J2014" s="316" t="str">
        <f t="shared" si="376"/>
        <v/>
      </c>
    </row>
    <row r="2015" spans="1:10" s="316" customFormat="1">
      <c r="A2015" s="321">
        <v>85</v>
      </c>
      <c r="B2015" s="295">
        <f t="shared" si="377"/>
        <v>73</v>
      </c>
      <c r="C2015" s="321">
        <v>3.2</v>
      </c>
      <c r="D2015" s="321" t="s">
        <v>113</v>
      </c>
      <c r="E2015" s="321"/>
      <c r="F2015" s="316" t="str">
        <f t="shared" si="375"/>
        <v/>
      </c>
      <c r="G2015" s="321"/>
      <c r="H2015" s="321"/>
      <c r="I2015" s="315"/>
      <c r="J2015" s="316" t="str">
        <f t="shared" si="376"/>
        <v/>
      </c>
    </row>
    <row r="2016" spans="1:10" s="316" customFormat="1">
      <c r="A2016" s="321">
        <v>85</v>
      </c>
      <c r="B2016" s="295">
        <f t="shared" si="377"/>
        <v>73</v>
      </c>
      <c r="C2016" s="321">
        <v>3.3</v>
      </c>
      <c r="D2016" s="321" t="s">
        <v>114</v>
      </c>
      <c r="E2016" s="321"/>
      <c r="F2016" s="316" t="str">
        <f t="shared" si="375"/>
        <v/>
      </c>
      <c r="G2016" s="321"/>
      <c r="H2016" s="321"/>
      <c r="I2016" s="315"/>
      <c r="J2016" s="316" t="str">
        <f t="shared" si="376"/>
        <v/>
      </c>
    </row>
    <row r="2017" spans="1:10" s="316" customFormat="1">
      <c r="A2017" s="321">
        <v>85</v>
      </c>
      <c r="B2017" s="295">
        <f t="shared" si="377"/>
        <v>73</v>
      </c>
      <c r="C2017" s="321">
        <v>3.4</v>
      </c>
      <c r="D2017" s="321" t="s">
        <v>114</v>
      </c>
      <c r="E2017" s="321"/>
      <c r="F2017" s="316" t="str">
        <f t="shared" si="375"/>
        <v/>
      </c>
      <c r="G2017" s="321"/>
      <c r="H2017" s="321"/>
      <c r="I2017" s="315"/>
      <c r="J2017" s="316" t="str">
        <f t="shared" si="376"/>
        <v/>
      </c>
    </row>
    <row r="2018" spans="1:10" s="316" customFormat="1">
      <c r="A2018" s="321">
        <v>85</v>
      </c>
      <c r="B2018" s="295">
        <f t="shared" si="377"/>
        <v>73</v>
      </c>
      <c r="C2018" s="321">
        <v>3.5</v>
      </c>
      <c r="D2018" s="321" t="s">
        <v>115</v>
      </c>
      <c r="E2018" s="321"/>
      <c r="F2018" s="316" t="str">
        <f t="shared" si="375"/>
        <v/>
      </c>
      <c r="G2018" s="321"/>
      <c r="H2018" s="321"/>
      <c r="I2018" s="315"/>
      <c r="J2018" s="316" t="str">
        <f t="shared" si="376"/>
        <v/>
      </c>
    </row>
    <row r="2019" spans="1:10" s="316" customFormat="1">
      <c r="A2019" s="321">
        <v>85</v>
      </c>
      <c r="B2019" s="295">
        <f t="shared" si="377"/>
        <v>73</v>
      </c>
      <c r="C2019" s="321">
        <v>4.0999999999999996</v>
      </c>
      <c r="D2019" s="321" t="s">
        <v>111</v>
      </c>
      <c r="E2019" s="321"/>
      <c r="F2019" s="316" t="str">
        <f t="shared" si="375"/>
        <v/>
      </c>
      <c r="G2019" s="321"/>
      <c r="H2019" s="321"/>
      <c r="I2019" s="315"/>
      <c r="J2019" s="316" t="str">
        <f t="shared" si="376"/>
        <v/>
      </c>
    </row>
    <row r="2020" spans="1:10" s="316" customFormat="1">
      <c r="A2020" s="321">
        <v>85</v>
      </c>
      <c r="B2020" s="295">
        <f t="shared" si="377"/>
        <v>73</v>
      </c>
      <c r="C2020" s="321">
        <v>4.2</v>
      </c>
      <c r="D2020" s="321" t="s">
        <v>112</v>
      </c>
      <c r="E2020" s="321"/>
      <c r="F2020" s="316" t="str">
        <f t="shared" si="375"/>
        <v/>
      </c>
      <c r="G2020" s="321"/>
      <c r="H2020" s="321"/>
      <c r="I2020" s="315"/>
      <c r="J2020" s="316" t="str">
        <f t="shared" si="376"/>
        <v/>
      </c>
    </row>
    <row r="2021" spans="1:10" s="316" customFormat="1">
      <c r="A2021" s="321">
        <v>85</v>
      </c>
      <c r="B2021" s="295">
        <f t="shared" si="377"/>
        <v>73</v>
      </c>
      <c r="C2021" s="321">
        <v>4.3</v>
      </c>
      <c r="D2021" s="321" t="s">
        <v>113</v>
      </c>
      <c r="E2021" s="321">
        <v>32</v>
      </c>
      <c r="F2021" s="316">
        <f t="shared" si="375"/>
        <v>1.2307692307692308</v>
      </c>
      <c r="G2021" s="321">
        <v>13.1</v>
      </c>
      <c r="H2021" s="321">
        <v>12</v>
      </c>
      <c r="I2021" s="315">
        <f t="shared" si="379"/>
        <v>943.19999999999993</v>
      </c>
      <c r="J2021" s="316">
        <f t="shared" si="376"/>
        <v>6.7727481617647047</v>
      </c>
    </row>
    <row r="2022" spans="1:10" s="316" customFormat="1">
      <c r="A2022" s="321">
        <v>85</v>
      </c>
      <c r="B2022" s="295">
        <f t="shared" si="377"/>
        <v>73</v>
      </c>
      <c r="C2022" s="321">
        <v>4.4000000000000004</v>
      </c>
      <c r="D2022" s="321" t="s">
        <v>112</v>
      </c>
      <c r="E2022" s="321"/>
      <c r="F2022" s="316" t="str">
        <f t="shared" si="375"/>
        <v/>
      </c>
      <c r="G2022" s="321"/>
      <c r="H2022" s="321"/>
      <c r="I2022" s="315"/>
      <c r="J2022" s="316" t="str">
        <f t="shared" si="376"/>
        <v/>
      </c>
    </row>
    <row r="2023" spans="1:10" s="316" customFormat="1">
      <c r="A2023" s="321">
        <v>85</v>
      </c>
      <c r="B2023" s="295">
        <f t="shared" si="377"/>
        <v>73</v>
      </c>
      <c r="C2023" s="321">
        <v>4.5</v>
      </c>
      <c r="D2023" s="321" t="s">
        <v>112</v>
      </c>
      <c r="E2023" s="321"/>
      <c r="F2023" s="316" t="str">
        <f t="shared" si="375"/>
        <v/>
      </c>
      <c r="G2023" s="321"/>
      <c r="H2023" s="321"/>
      <c r="I2023" s="315"/>
      <c r="J2023" s="316" t="str">
        <f t="shared" si="376"/>
        <v/>
      </c>
    </row>
    <row r="2024" spans="1:10" s="316" customFormat="1">
      <c r="A2024" s="321">
        <v>85</v>
      </c>
      <c r="B2024" s="295">
        <f t="shared" si="377"/>
        <v>73</v>
      </c>
      <c r="C2024" s="321">
        <v>5.0999999999999996</v>
      </c>
      <c r="D2024" s="321" t="s">
        <v>113</v>
      </c>
      <c r="E2024" s="321">
        <v>25</v>
      </c>
      <c r="F2024" s="316">
        <f t="shared" si="375"/>
        <v>1.0416666666666667</v>
      </c>
      <c r="G2024" s="321">
        <v>12.8</v>
      </c>
      <c r="H2024" s="321">
        <v>10.4</v>
      </c>
      <c r="I2024" s="315">
        <f t="shared" si="379"/>
        <v>692.22400000000016</v>
      </c>
      <c r="J2024" s="316">
        <f t="shared" si="376"/>
        <v>4.1676891861788281</v>
      </c>
    </row>
    <row r="2025" spans="1:10" s="316" customFormat="1">
      <c r="A2025" s="321">
        <v>85</v>
      </c>
      <c r="B2025" s="295">
        <f t="shared" si="377"/>
        <v>73</v>
      </c>
      <c r="C2025" s="321">
        <v>5.2</v>
      </c>
      <c r="D2025" s="321" t="s">
        <v>114</v>
      </c>
      <c r="E2025" s="321"/>
      <c r="F2025" s="316" t="str">
        <f t="shared" si="375"/>
        <v/>
      </c>
      <c r="G2025" s="321"/>
      <c r="H2025" s="321"/>
      <c r="I2025" s="315"/>
      <c r="J2025" s="316" t="str">
        <f t="shared" si="376"/>
        <v/>
      </c>
    </row>
    <row r="2026" spans="1:10" s="316" customFormat="1">
      <c r="A2026" s="321">
        <v>85</v>
      </c>
      <c r="B2026" s="295">
        <f t="shared" si="377"/>
        <v>73</v>
      </c>
      <c r="C2026" s="321">
        <v>5.3</v>
      </c>
      <c r="D2026" s="321" t="s">
        <v>112</v>
      </c>
      <c r="E2026" s="321"/>
      <c r="F2026" s="316" t="str">
        <f t="shared" si="375"/>
        <v/>
      </c>
      <c r="G2026" s="321"/>
      <c r="H2026" s="321"/>
      <c r="I2026" s="315"/>
      <c r="J2026" s="316" t="str">
        <f t="shared" si="376"/>
        <v/>
      </c>
    </row>
    <row r="2027" spans="1:10" s="316" customFormat="1">
      <c r="A2027" s="321">
        <v>85</v>
      </c>
      <c r="B2027" s="295">
        <f t="shared" si="377"/>
        <v>73</v>
      </c>
      <c r="C2027" s="321">
        <v>5.4</v>
      </c>
      <c r="D2027" s="321" t="s">
        <v>113</v>
      </c>
      <c r="E2027" s="321"/>
      <c r="F2027" s="316" t="str">
        <f t="shared" si="375"/>
        <v/>
      </c>
      <c r="G2027" s="321"/>
      <c r="H2027" s="321"/>
      <c r="I2027" s="315"/>
      <c r="J2027" s="316" t="str">
        <f t="shared" si="376"/>
        <v/>
      </c>
    </row>
    <row r="2028" spans="1:10" s="316" customFormat="1">
      <c r="A2028" s="321">
        <v>85</v>
      </c>
      <c r="B2028" s="295">
        <f t="shared" si="377"/>
        <v>73</v>
      </c>
      <c r="C2028" s="321">
        <v>5.5</v>
      </c>
      <c r="D2028" s="321" t="s">
        <v>114</v>
      </c>
      <c r="E2028" s="321"/>
      <c r="F2028" s="316" t="str">
        <f t="shared" si="375"/>
        <v/>
      </c>
      <c r="G2028" s="321"/>
      <c r="H2028" s="321"/>
      <c r="I2028" s="315"/>
      <c r="J2028" s="316" t="str">
        <f t="shared" si="376"/>
        <v/>
      </c>
    </row>
    <row r="2029" spans="1:10" s="316" customFormat="1">
      <c r="A2029" s="321">
        <v>85</v>
      </c>
      <c r="B2029" s="295">
        <f t="shared" si="377"/>
        <v>73</v>
      </c>
      <c r="C2029" s="321">
        <v>6.1</v>
      </c>
      <c r="D2029" s="321" t="s">
        <v>115</v>
      </c>
      <c r="E2029" s="321"/>
      <c r="F2029" s="316" t="str">
        <f t="shared" si="375"/>
        <v/>
      </c>
      <c r="G2029" s="321"/>
      <c r="H2029" s="321"/>
      <c r="I2029" s="315"/>
      <c r="J2029" s="316" t="str">
        <f t="shared" si="376"/>
        <v/>
      </c>
    </row>
    <row r="2030" spans="1:10" s="316" customFormat="1">
      <c r="A2030" s="321">
        <v>85</v>
      </c>
      <c r="B2030" s="295">
        <f t="shared" si="377"/>
        <v>73</v>
      </c>
      <c r="C2030" s="321">
        <v>6.2</v>
      </c>
      <c r="D2030" s="321" t="s">
        <v>115</v>
      </c>
      <c r="E2030" s="321"/>
      <c r="F2030" s="316" t="str">
        <f t="shared" si="375"/>
        <v/>
      </c>
      <c r="G2030" s="321"/>
      <c r="H2030" s="321"/>
      <c r="I2030" s="315"/>
      <c r="J2030" s="316" t="str">
        <f t="shared" si="376"/>
        <v/>
      </c>
    </row>
    <row r="2031" spans="1:10" s="316" customFormat="1">
      <c r="A2031" s="321">
        <v>85</v>
      </c>
      <c r="B2031" s="295">
        <f t="shared" si="377"/>
        <v>73</v>
      </c>
      <c r="C2031" s="321">
        <v>6.3</v>
      </c>
      <c r="D2031" s="321" t="s">
        <v>114</v>
      </c>
      <c r="E2031" s="321"/>
      <c r="F2031" s="316" t="str">
        <f t="shared" si="375"/>
        <v/>
      </c>
      <c r="G2031" s="321"/>
      <c r="H2031" s="321"/>
      <c r="I2031" s="315"/>
      <c r="J2031" s="316" t="str">
        <f t="shared" si="376"/>
        <v/>
      </c>
    </row>
    <row r="2032" spans="1:10" s="316" customFormat="1">
      <c r="A2032" s="321">
        <v>85</v>
      </c>
      <c r="B2032" s="295">
        <f t="shared" si="377"/>
        <v>73</v>
      </c>
      <c r="C2032" s="321">
        <v>6.4</v>
      </c>
      <c r="D2032" s="321" t="s">
        <v>112</v>
      </c>
      <c r="E2032" s="321"/>
      <c r="F2032" s="316" t="str">
        <f t="shared" si="375"/>
        <v/>
      </c>
      <c r="G2032" s="321"/>
      <c r="H2032" s="321"/>
      <c r="I2032" s="315"/>
      <c r="J2032" s="316" t="str">
        <f t="shared" si="376"/>
        <v/>
      </c>
    </row>
    <row r="2033" spans="1:11" s="316" customFormat="1">
      <c r="A2033" s="321">
        <v>85</v>
      </c>
      <c r="B2033" s="295">
        <f t="shared" si="377"/>
        <v>73</v>
      </c>
      <c r="C2033" s="321">
        <v>6.5</v>
      </c>
      <c r="D2033" s="321" t="s">
        <v>113</v>
      </c>
      <c r="E2033" s="321"/>
      <c r="F2033" s="316" t="str">
        <f t="shared" si="375"/>
        <v/>
      </c>
      <c r="G2033" s="321"/>
      <c r="H2033" s="321"/>
      <c r="I2033" s="315"/>
      <c r="J2033" s="316" t="str">
        <f t="shared" si="376"/>
        <v/>
      </c>
    </row>
    <row r="2034" spans="1:11" s="316" customFormat="1">
      <c r="A2034" s="321">
        <v>85</v>
      </c>
      <c r="B2034" s="295">
        <f t="shared" si="377"/>
        <v>73</v>
      </c>
      <c r="C2034" s="321">
        <v>7.1</v>
      </c>
      <c r="D2034" s="321" t="s">
        <v>114</v>
      </c>
      <c r="E2034" s="321"/>
      <c r="F2034" s="316" t="str">
        <f t="shared" si="375"/>
        <v/>
      </c>
      <c r="G2034" s="321"/>
      <c r="H2034" s="321"/>
      <c r="I2034" s="315"/>
      <c r="J2034" s="316" t="str">
        <f t="shared" si="376"/>
        <v/>
      </c>
    </row>
    <row r="2035" spans="1:11" s="316" customFormat="1">
      <c r="A2035" s="321">
        <v>85</v>
      </c>
      <c r="B2035" s="295">
        <f t="shared" si="377"/>
        <v>73</v>
      </c>
      <c r="C2035" s="321">
        <v>7.2</v>
      </c>
      <c r="D2035" s="321" t="s">
        <v>111</v>
      </c>
      <c r="E2035" s="321"/>
      <c r="F2035" s="316" t="str">
        <f t="shared" si="375"/>
        <v/>
      </c>
      <c r="G2035" s="321"/>
      <c r="H2035" s="321"/>
      <c r="I2035" s="315"/>
      <c r="J2035" s="316" t="str">
        <f t="shared" si="376"/>
        <v/>
      </c>
    </row>
    <row r="2036" spans="1:11">
      <c r="A2036" s="321">
        <v>85</v>
      </c>
      <c r="B2036" s="295">
        <f t="shared" si="377"/>
        <v>73</v>
      </c>
      <c r="C2036" s="321">
        <v>7.3</v>
      </c>
      <c r="D2036" s="321" t="s">
        <v>113</v>
      </c>
      <c r="E2036" s="321">
        <v>31</v>
      </c>
      <c r="F2036" s="316">
        <f t="shared" si="375"/>
        <v>1.1481481481481481</v>
      </c>
      <c r="G2036" s="321">
        <v>7.3</v>
      </c>
      <c r="H2036" s="321">
        <v>7.1</v>
      </c>
      <c r="I2036" s="315">
        <f t="shared" si="379"/>
        <v>183.99649999999997</v>
      </c>
      <c r="J2036" s="316">
        <f t="shared" si="376"/>
        <v>1.2877334061196495</v>
      </c>
    </row>
    <row r="2037" spans="1:11">
      <c r="A2037" s="321">
        <v>85</v>
      </c>
      <c r="B2037" s="295">
        <f t="shared" si="377"/>
        <v>73</v>
      </c>
      <c r="C2037" s="321">
        <v>7.4</v>
      </c>
      <c r="D2037" s="321" t="s">
        <v>115</v>
      </c>
      <c r="E2037" s="321"/>
      <c r="F2037" s="316" t="str">
        <f t="shared" si="375"/>
        <v/>
      </c>
      <c r="G2037" s="321"/>
      <c r="H2037" s="321"/>
      <c r="J2037" s="316" t="str">
        <f t="shared" si="376"/>
        <v/>
      </c>
    </row>
    <row r="2038" spans="1:11">
      <c r="A2038" s="321">
        <v>85</v>
      </c>
      <c r="B2038" s="295">
        <f t="shared" si="377"/>
        <v>73</v>
      </c>
      <c r="C2038" s="321">
        <v>7.5</v>
      </c>
      <c r="D2038" s="321" t="s">
        <v>111</v>
      </c>
      <c r="E2038" s="321"/>
      <c r="F2038" s="316" t="str">
        <f t="shared" si="375"/>
        <v/>
      </c>
      <c r="G2038" s="321"/>
      <c r="H2038" s="321"/>
      <c r="J2038" s="316" t="str">
        <f t="shared" si="376"/>
        <v/>
      </c>
    </row>
    <row r="2039" spans="1:11">
      <c r="A2039" s="321">
        <v>87</v>
      </c>
      <c r="B2039" s="295">
        <f t="shared" si="377"/>
        <v>75</v>
      </c>
      <c r="C2039" s="321">
        <v>1.1000000000000001</v>
      </c>
      <c r="D2039" s="321" t="s">
        <v>112</v>
      </c>
      <c r="E2039" s="321"/>
      <c r="F2039" s="316" t="str">
        <f t="shared" si="375"/>
        <v/>
      </c>
      <c r="G2039" s="321"/>
      <c r="H2039" s="321"/>
      <c r="J2039" s="316" t="str">
        <f t="shared" si="376"/>
        <v/>
      </c>
    </row>
    <row r="2040" spans="1:11">
      <c r="A2040" s="321">
        <v>87</v>
      </c>
      <c r="B2040" s="295">
        <f t="shared" si="377"/>
        <v>75</v>
      </c>
      <c r="C2040" s="321">
        <v>1.2</v>
      </c>
      <c r="D2040" s="321" t="s">
        <v>113</v>
      </c>
      <c r="E2040" s="321">
        <v>32</v>
      </c>
      <c r="F2040" s="316">
        <f t="shared" si="375"/>
        <v>1.1851851851851851</v>
      </c>
      <c r="G2040" s="321">
        <v>9.1</v>
      </c>
      <c r="H2040" s="321">
        <v>8.4</v>
      </c>
      <c r="I2040" s="315">
        <f t="shared" ref="I2040" si="380">G2040*(H2040^2)*0.5</f>
        <v>321.048</v>
      </c>
      <c r="J2040" s="316">
        <f t="shared" si="376"/>
        <v>1.5346352679115589</v>
      </c>
    </row>
    <row r="2041" spans="1:11">
      <c r="A2041" s="321">
        <v>87</v>
      </c>
      <c r="B2041" s="295">
        <f t="shared" si="377"/>
        <v>75</v>
      </c>
      <c r="C2041" s="321">
        <v>1.3</v>
      </c>
      <c r="D2041" s="321" t="s">
        <v>115</v>
      </c>
      <c r="E2041" s="321"/>
      <c r="F2041" s="316" t="str">
        <f t="shared" si="375"/>
        <v/>
      </c>
      <c r="G2041" s="321"/>
      <c r="H2041" s="321"/>
      <c r="J2041" s="316" t="str">
        <f t="shared" si="376"/>
        <v/>
      </c>
    </row>
    <row r="2042" spans="1:11">
      <c r="A2042" s="321">
        <v>87</v>
      </c>
      <c r="B2042" s="295">
        <f t="shared" si="377"/>
        <v>75</v>
      </c>
      <c r="C2042" s="321">
        <v>1.4</v>
      </c>
      <c r="D2042" s="321" t="s">
        <v>115</v>
      </c>
      <c r="E2042" s="321"/>
      <c r="F2042" s="316" t="str">
        <f t="shared" si="375"/>
        <v/>
      </c>
      <c r="G2042" s="321"/>
      <c r="H2042" s="321"/>
      <c r="J2042" s="316" t="str">
        <f t="shared" si="376"/>
        <v/>
      </c>
    </row>
    <row r="2043" spans="1:11">
      <c r="A2043" s="321">
        <v>87</v>
      </c>
      <c r="B2043" s="295">
        <f t="shared" si="377"/>
        <v>75</v>
      </c>
      <c r="C2043" s="321">
        <v>1.5</v>
      </c>
      <c r="D2043" s="321" t="s">
        <v>112</v>
      </c>
      <c r="E2043" s="321">
        <v>30</v>
      </c>
      <c r="F2043" s="316">
        <f t="shared" si="375"/>
        <v>1.0714285714285714</v>
      </c>
      <c r="G2043" s="321">
        <v>14.8</v>
      </c>
      <c r="H2043" s="321">
        <v>13.4</v>
      </c>
      <c r="I2043" s="315">
        <f t="shared" ref="I2043" si="381">G2043*(H2043^2)*0.5</f>
        <v>1328.7440000000001</v>
      </c>
      <c r="J2043" s="316">
        <f t="shared" si="376"/>
        <v>9.5411879595588243</v>
      </c>
    </row>
    <row r="2044" spans="1:11">
      <c r="A2044" s="321">
        <v>87</v>
      </c>
      <c r="B2044" s="295">
        <f t="shared" si="377"/>
        <v>75</v>
      </c>
      <c r="C2044" s="321">
        <v>2.1</v>
      </c>
      <c r="D2044" s="321" t="s">
        <v>114</v>
      </c>
      <c r="E2044" s="321"/>
      <c r="F2044" s="316" t="str">
        <f t="shared" si="375"/>
        <v/>
      </c>
      <c r="G2044" s="321"/>
      <c r="H2044" s="321"/>
      <c r="J2044" s="316" t="str">
        <f t="shared" si="376"/>
        <v/>
      </c>
    </row>
    <row r="2045" spans="1:11">
      <c r="A2045" s="321">
        <v>87</v>
      </c>
      <c r="B2045" s="295">
        <f t="shared" si="377"/>
        <v>75</v>
      </c>
      <c r="C2045" s="321">
        <v>2.2000000000000002</v>
      </c>
      <c r="D2045" s="321" t="s">
        <v>115</v>
      </c>
      <c r="E2045" s="321"/>
      <c r="F2045" s="316" t="str">
        <f t="shared" si="375"/>
        <v/>
      </c>
      <c r="G2045" s="321"/>
      <c r="H2045" s="321"/>
      <c r="J2045" s="316" t="str">
        <f t="shared" si="376"/>
        <v/>
      </c>
    </row>
    <row r="2046" spans="1:11">
      <c r="A2046" s="321">
        <v>87</v>
      </c>
      <c r="B2046" s="295">
        <f t="shared" si="377"/>
        <v>75</v>
      </c>
      <c r="C2046" s="321">
        <v>2.2999999999999998</v>
      </c>
      <c r="D2046" s="321" t="s">
        <v>112</v>
      </c>
      <c r="E2046" s="321"/>
      <c r="F2046" s="316" t="str">
        <f t="shared" si="375"/>
        <v/>
      </c>
      <c r="G2046" s="321"/>
      <c r="H2046" s="321"/>
      <c r="J2046" s="316" t="str">
        <f t="shared" si="376"/>
        <v/>
      </c>
    </row>
    <row r="2047" spans="1:11">
      <c r="A2047" s="321">
        <v>87</v>
      </c>
      <c r="B2047" s="295">
        <f t="shared" si="377"/>
        <v>75</v>
      </c>
      <c r="C2047" s="321">
        <v>2.4</v>
      </c>
      <c r="D2047" s="321" t="s">
        <v>114</v>
      </c>
      <c r="E2047" s="321">
        <v>30</v>
      </c>
      <c r="F2047" s="316">
        <f t="shared" si="375"/>
        <v>1.2</v>
      </c>
      <c r="G2047" s="321">
        <v>16.600000000000001</v>
      </c>
      <c r="H2047" s="321">
        <v>14.2</v>
      </c>
      <c r="I2047" s="315">
        <f t="shared" ref="I2047:I2048" si="382">G2047*(H2047^2)*0.5</f>
        <v>1673.6120000000001</v>
      </c>
      <c r="J2047" s="316">
        <f t="shared" si="376"/>
        <v>15.568483720930233</v>
      </c>
      <c r="K2047" s="316" t="s">
        <v>172</v>
      </c>
    </row>
    <row r="2048" spans="1:11">
      <c r="A2048" s="321">
        <v>87</v>
      </c>
      <c r="B2048" s="295">
        <f t="shared" si="377"/>
        <v>75</v>
      </c>
      <c r="C2048" s="321">
        <v>2.5</v>
      </c>
      <c r="D2048" s="321" t="s">
        <v>113</v>
      </c>
      <c r="E2048" s="321">
        <v>32</v>
      </c>
      <c r="F2048" s="316">
        <f t="shared" si="375"/>
        <v>1.1851851851851851</v>
      </c>
      <c r="G2048" s="321">
        <v>12.1</v>
      </c>
      <c r="H2048" s="321">
        <v>12</v>
      </c>
      <c r="I2048" s="315">
        <f t="shared" si="382"/>
        <v>871.19999999999993</v>
      </c>
      <c r="J2048" s="316">
        <f t="shared" si="376"/>
        <v>5.1072211604975903</v>
      </c>
    </row>
    <row r="2049" spans="1:11">
      <c r="A2049" s="321">
        <v>87</v>
      </c>
      <c r="B2049" s="295">
        <f t="shared" si="377"/>
        <v>75</v>
      </c>
      <c r="C2049" s="321">
        <v>3.1</v>
      </c>
      <c r="D2049" s="321" t="s">
        <v>115</v>
      </c>
      <c r="E2049" s="321"/>
      <c r="F2049" s="316" t="str">
        <f t="shared" si="375"/>
        <v/>
      </c>
      <c r="G2049" s="321"/>
      <c r="H2049" s="321"/>
      <c r="J2049" s="316" t="str">
        <f t="shared" si="376"/>
        <v/>
      </c>
    </row>
    <row r="2050" spans="1:11">
      <c r="A2050" s="321">
        <v>87</v>
      </c>
      <c r="B2050" s="295">
        <f t="shared" si="377"/>
        <v>75</v>
      </c>
      <c r="C2050" s="321">
        <v>3.2</v>
      </c>
      <c r="D2050" s="321" t="s">
        <v>113</v>
      </c>
      <c r="E2050" s="321"/>
      <c r="F2050" s="316" t="str">
        <f t="shared" si="375"/>
        <v/>
      </c>
      <c r="G2050" s="321"/>
      <c r="H2050" s="321"/>
      <c r="J2050" s="316" t="str">
        <f t="shared" si="376"/>
        <v/>
      </c>
    </row>
    <row r="2051" spans="1:11">
      <c r="A2051" s="321">
        <v>87</v>
      </c>
      <c r="B2051" s="295">
        <f t="shared" si="377"/>
        <v>75</v>
      </c>
      <c r="C2051" s="321">
        <v>3.3</v>
      </c>
      <c r="D2051" s="321" t="s">
        <v>114</v>
      </c>
      <c r="E2051" s="321"/>
      <c r="F2051" s="316" t="str">
        <f t="shared" si="375"/>
        <v/>
      </c>
      <c r="G2051" s="321"/>
      <c r="H2051" s="321"/>
      <c r="J2051" s="316" t="str">
        <f t="shared" si="376"/>
        <v/>
      </c>
    </row>
    <row r="2052" spans="1:11">
      <c r="A2052" s="321">
        <v>87</v>
      </c>
      <c r="B2052" s="295">
        <f t="shared" si="377"/>
        <v>75</v>
      </c>
      <c r="C2052" s="321">
        <v>3.4</v>
      </c>
      <c r="D2052" s="321" t="s">
        <v>114</v>
      </c>
      <c r="E2052" s="321"/>
      <c r="F2052" s="316" t="str">
        <f t="shared" si="375"/>
        <v/>
      </c>
      <c r="G2052" s="321"/>
      <c r="H2052" s="321"/>
      <c r="J2052" s="316" t="str">
        <f t="shared" si="376"/>
        <v/>
      </c>
    </row>
    <row r="2053" spans="1:11">
      <c r="A2053" s="321">
        <v>87</v>
      </c>
      <c r="B2053" s="295">
        <f t="shared" si="377"/>
        <v>75</v>
      </c>
      <c r="C2053" s="321">
        <v>3.5</v>
      </c>
      <c r="D2053" s="321" t="s">
        <v>115</v>
      </c>
      <c r="E2053" s="321"/>
      <c r="F2053" s="316" t="str">
        <f t="shared" si="375"/>
        <v/>
      </c>
      <c r="G2053" s="321"/>
      <c r="H2053" s="321"/>
      <c r="J2053" s="316" t="str">
        <f t="shared" si="376"/>
        <v/>
      </c>
    </row>
    <row r="2054" spans="1:11">
      <c r="A2054" s="321">
        <v>87</v>
      </c>
      <c r="B2054" s="295">
        <f t="shared" si="377"/>
        <v>75</v>
      </c>
      <c r="C2054" s="321">
        <v>4.0999999999999996</v>
      </c>
      <c r="D2054" s="321" t="s">
        <v>111</v>
      </c>
      <c r="E2054" s="321"/>
      <c r="F2054" s="316" t="str">
        <f t="shared" si="375"/>
        <v/>
      </c>
      <c r="G2054" s="321"/>
      <c r="H2054" s="321"/>
      <c r="J2054" s="316" t="str">
        <f t="shared" si="376"/>
        <v/>
      </c>
    </row>
    <row r="2055" spans="1:11">
      <c r="A2055" s="321">
        <v>87</v>
      </c>
      <c r="B2055" s="295">
        <f t="shared" si="377"/>
        <v>75</v>
      </c>
      <c r="C2055" s="321">
        <v>4.2</v>
      </c>
      <c r="D2055" s="321" t="s">
        <v>112</v>
      </c>
      <c r="E2055" s="321"/>
      <c r="F2055" s="316" t="str">
        <f t="shared" si="375"/>
        <v/>
      </c>
      <c r="G2055" s="321"/>
      <c r="H2055" s="321"/>
      <c r="J2055" s="316" t="str">
        <f t="shared" si="376"/>
        <v/>
      </c>
    </row>
    <row r="2056" spans="1:11">
      <c r="A2056" s="321">
        <v>87</v>
      </c>
      <c r="B2056" s="295">
        <f t="shared" si="377"/>
        <v>75</v>
      </c>
      <c r="C2056" s="321">
        <v>4.3</v>
      </c>
      <c r="D2056" s="321" t="s">
        <v>113</v>
      </c>
      <c r="E2056" s="321">
        <v>31</v>
      </c>
      <c r="F2056" s="316">
        <f t="shared" si="375"/>
        <v>1.1923076923076923</v>
      </c>
      <c r="G2056" s="321">
        <v>13.5</v>
      </c>
      <c r="H2056" s="321">
        <v>13.1</v>
      </c>
      <c r="I2056" s="315">
        <f t="shared" ref="I2056" si="383">G2056*(H2056^2)*0.5</f>
        <v>1158.3674999999998</v>
      </c>
      <c r="J2056" s="316">
        <f t="shared" si="376"/>
        <v>8.3177813361672772</v>
      </c>
    </row>
    <row r="2057" spans="1:11">
      <c r="A2057" s="321">
        <v>87</v>
      </c>
      <c r="B2057" s="295">
        <f t="shared" si="377"/>
        <v>75</v>
      </c>
      <c r="C2057" s="321">
        <v>4.4000000000000004</v>
      </c>
      <c r="D2057" s="321" t="s">
        <v>112</v>
      </c>
      <c r="E2057" s="321"/>
      <c r="F2057" s="316" t="str">
        <f t="shared" ref="F2057:F2120" si="384">IF(ISBLANK(E2057),"",E2057/SUMIFS(E:E,C:C,C2057,B:B,"0"))</f>
        <v/>
      </c>
      <c r="G2057" s="321"/>
      <c r="H2057" s="321"/>
      <c r="J2057" s="316" t="str">
        <f t="shared" ref="J2057:J2120" si="385">IF(ISBLANK(I2057),"",I2057/SUMIFS(I:I,C:C,C2057,B:B,"0"))</f>
        <v/>
      </c>
    </row>
    <row r="2058" spans="1:11">
      <c r="A2058" s="321">
        <v>87</v>
      </c>
      <c r="B2058" s="295">
        <f t="shared" ref="B2058:B2121" si="386">A2058-12</f>
        <v>75</v>
      </c>
      <c r="C2058" s="321">
        <v>4.5</v>
      </c>
      <c r="D2058" s="321" t="s">
        <v>112</v>
      </c>
      <c r="E2058" s="321"/>
      <c r="F2058" s="316" t="str">
        <f t="shared" si="384"/>
        <v/>
      </c>
      <c r="G2058" s="321"/>
      <c r="H2058" s="321"/>
      <c r="J2058" s="316" t="str">
        <f t="shared" si="385"/>
        <v/>
      </c>
    </row>
    <row r="2059" spans="1:11">
      <c r="A2059" s="321">
        <v>87</v>
      </c>
      <c r="B2059" s="295">
        <f t="shared" si="386"/>
        <v>75</v>
      </c>
      <c r="C2059" s="321">
        <v>5.0999999999999996</v>
      </c>
      <c r="D2059" s="321" t="s">
        <v>113</v>
      </c>
      <c r="E2059" s="321">
        <v>24</v>
      </c>
      <c r="F2059" s="316">
        <f t="shared" si="384"/>
        <v>1</v>
      </c>
      <c r="G2059" s="321">
        <v>13</v>
      </c>
      <c r="H2059" s="321">
        <v>11.3</v>
      </c>
      <c r="I2059" s="315">
        <f t="shared" ref="I2059" si="387">G2059*(H2059^2)*0.5</f>
        <v>829.98500000000013</v>
      </c>
      <c r="J2059" s="316">
        <f t="shared" si="385"/>
        <v>4.9971100528017436</v>
      </c>
      <c r="K2059" s="316" t="s">
        <v>189</v>
      </c>
    </row>
    <row r="2060" spans="1:11">
      <c r="A2060" s="321">
        <v>87</v>
      </c>
      <c r="B2060" s="295">
        <f t="shared" si="386"/>
        <v>75</v>
      </c>
      <c r="C2060" s="321">
        <v>5.2</v>
      </c>
      <c r="D2060" s="321" t="s">
        <v>114</v>
      </c>
      <c r="E2060" s="321"/>
      <c r="F2060" s="316" t="str">
        <f t="shared" si="384"/>
        <v/>
      </c>
      <c r="G2060" s="321"/>
      <c r="H2060" s="321"/>
      <c r="J2060" s="316" t="str">
        <f t="shared" si="385"/>
        <v/>
      </c>
    </row>
    <row r="2061" spans="1:11">
      <c r="A2061" s="321">
        <v>87</v>
      </c>
      <c r="B2061" s="295">
        <f t="shared" si="386"/>
        <v>75</v>
      </c>
      <c r="C2061" s="321">
        <v>5.3</v>
      </c>
      <c r="D2061" s="321" t="s">
        <v>112</v>
      </c>
      <c r="E2061" s="321"/>
      <c r="F2061" s="316" t="str">
        <f t="shared" si="384"/>
        <v/>
      </c>
      <c r="G2061" s="321"/>
      <c r="H2061" s="321"/>
      <c r="J2061" s="316" t="str">
        <f t="shared" si="385"/>
        <v/>
      </c>
    </row>
    <row r="2062" spans="1:11">
      <c r="A2062" s="321">
        <v>87</v>
      </c>
      <c r="B2062" s="295">
        <f t="shared" si="386"/>
        <v>75</v>
      </c>
      <c r="C2062" s="321">
        <v>5.4</v>
      </c>
      <c r="D2062" s="321" t="s">
        <v>113</v>
      </c>
      <c r="E2062" s="321"/>
      <c r="F2062" s="316" t="str">
        <f t="shared" si="384"/>
        <v/>
      </c>
      <c r="G2062" s="321"/>
      <c r="H2062" s="321"/>
      <c r="J2062" s="316" t="str">
        <f t="shared" si="385"/>
        <v/>
      </c>
    </row>
    <row r="2063" spans="1:11">
      <c r="A2063" s="321">
        <v>87</v>
      </c>
      <c r="B2063" s="295">
        <f t="shared" si="386"/>
        <v>75</v>
      </c>
      <c r="C2063" s="321">
        <v>5.5</v>
      </c>
      <c r="D2063" s="321" t="s">
        <v>114</v>
      </c>
      <c r="E2063" s="321"/>
      <c r="F2063" s="316" t="str">
        <f t="shared" si="384"/>
        <v/>
      </c>
      <c r="G2063" s="321"/>
      <c r="H2063" s="321"/>
      <c r="J2063" s="316" t="str">
        <f t="shared" si="385"/>
        <v/>
      </c>
    </row>
    <row r="2064" spans="1:11">
      <c r="A2064" s="321">
        <v>87</v>
      </c>
      <c r="B2064" s="295">
        <f t="shared" si="386"/>
        <v>75</v>
      </c>
      <c r="C2064" s="321">
        <v>6.1</v>
      </c>
      <c r="D2064" s="321" t="s">
        <v>115</v>
      </c>
      <c r="E2064" s="321"/>
      <c r="F2064" s="316" t="str">
        <f t="shared" si="384"/>
        <v/>
      </c>
      <c r="G2064" s="321"/>
      <c r="H2064" s="321"/>
      <c r="J2064" s="316" t="str">
        <f t="shared" si="385"/>
        <v/>
      </c>
    </row>
    <row r="2065" spans="1:11">
      <c r="A2065" s="321">
        <v>87</v>
      </c>
      <c r="B2065" s="295">
        <f t="shared" si="386"/>
        <v>75</v>
      </c>
      <c r="C2065" s="321">
        <v>6.2</v>
      </c>
      <c r="D2065" s="321" t="s">
        <v>115</v>
      </c>
      <c r="E2065" s="321"/>
      <c r="F2065" s="316" t="str">
        <f t="shared" si="384"/>
        <v/>
      </c>
      <c r="G2065" s="321"/>
      <c r="H2065" s="321"/>
      <c r="J2065" s="316" t="str">
        <f t="shared" si="385"/>
        <v/>
      </c>
    </row>
    <row r="2066" spans="1:11">
      <c r="A2066" s="321">
        <v>87</v>
      </c>
      <c r="B2066" s="295">
        <f t="shared" si="386"/>
        <v>75</v>
      </c>
      <c r="C2066" s="321">
        <v>6.3</v>
      </c>
      <c r="D2066" s="321" t="s">
        <v>114</v>
      </c>
      <c r="E2066" s="321"/>
      <c r="F2066" s="316" t="str">
        <f t="shared" si="384"/>
        <v/>
      </c>
      <c r="G2066" s="321"/>
      <c r="H2066" s="321"/>
      <c r="J2066" s="316" t="str">
        <f t="shared" si="385"/>
        <v/>
      </c>
    </row>
    <row r="2067" spans="1:11">
      <c r="A2067" s="321">
        <v>87</v>
      </c>
      <c r="B2067" s="295">
        <f t="shared" si="386"/>
        <v>75</v>
      </c>
      <c r="C2067" s="321">
        <v>6.4</v>
      </c>
      <c r="D2067" s="321" t="s">
        <v>112</v>
      </c>
      <c r="E2067" s="321"/>
      <c r="F2067" s="316" t="str">
        <f t="shared" si="384"/>
        <v/>
      </c>
      <c r="G2067" s="321"/>
      <c r="H2067" s="321"/>
      <c r="J2067" s="316" t="str">
        <f t="shared" si="385"/>
        <v/>
      </c>
    </row>
    <row r="2068" spans="1:11">
      <c r="A2068" s="321">
        <v>87</v>
      </c>
      <c r="B2068" s="295">
        <f t="shared" si="386"/>
        <v>75</v>
      </c>
      <c r="C2068" s="321">
        <v>6.5</v>
      </c>
      <c r="D2068" s="321" t="s">
        <v>113</v>
      </c>
      <c r="E2068" s="321"/>
      <c r="F2068" s="316" t="str">
        <f t="shared" si="384"/>
        <v/>
      </c>
      <c r="G2068" s="321"/>
      <c r="H2068" s="321"/>
      <c r="J2068" s="316" t="str">
        <f t="shared" si="385"/>
        <v/>
      </c>
    </row>
    <row r="2069" spans="1:11">
      <c r="A2069" s="321">
        <v>87</v>
      </c>
      <c r="B2069" s="295">
        <f t="shared" si="386"/>
        <v>75</v>
      </c>
      <c r="C2069" s="321">
        <v>7.1</v>
      </c>
      <c r="D2069" s="321" t="s">
        <v>114</v>
      </c>
      <c r="E2069" s="321"/>
      <c r="F2069" s="316" t="str">
        <f t="shared" si="384"/>
        <v/>
      </c>
      <c r="G2069" s="321"/>
      <c r="H2069" s="321"/>
      <c r="J2069" s="316" t="str">
        <f t="shared" si="385"/>
        <v/>
      </c>
    </row>
    <row r="2070" spans="1:11">
      <c r="A2070" s="321">
        <v>87</v>
      </c>
      <c r="B2070" s="295">
        <f t="shared" si="386"/>
        <v>75</v>
      </c>
      <c r="C2070" s="321">
        <v>7.2</v>
      </c>
      <c r="D2070" s="321" t="s">
        <v>111</v>
      </c>
      <c r="E2070" s="321"/>
      <c r="F2070" s="316" t="str">
        <f t="shared" si="384"/>
        <v/>
      </c>
      <c r="G2070" s="321"/>
      <c r="H2070" s="321"/>
      <c r="J2070" s="316" t="str">
        <f t="shared" si="385"/>
        <v/>
      </c>
    </row>
    <row r="2071" spans="1:11">
      <c r="A2071" s="321">
        <v>87</v>
      </c>
      <c r="B2071" s="295">
        <f t="shared" si="386"/>
        <v>75</v>
      </c>
      <c r="C2071" s="321">
        <v>7.3</v>
      </c>
      <c r="D2071" s="321" t="s">
        <v>113</v>
      </c>
      <c r="E2071" s="321">
        <v>31</v>
      </c>
      <c r="F2071" s="316">
        <f t="shared" si="384"/>
        <v>1.1481481481481481</v>
      </c>
      <c r="G2071" s="321">
        <v>7.8</v>
      </c>
      <c r="H2071" s="321">
        <v>7.2</v>
      </c>
      <c r="I2071" s="315">
        <f t="shared" ref="I2071" si="388">G2071*(H2071^2)*0.5</f>
        <v>202.17600000000002</v>
      </c>
      <c r="J2071" s="316">
        <f t="shared" si="385"/>
        <v>1.4149659863945581</v>
      </c>
    </row>
    <row r="2072" spans="1:11">
      <c r="A2072" s="321">
        <v>87</v>
      </c>
      <c r="B2072" s="295">
        <f t="shared" si="386"/>
        <v>75</v>
      </c>
      <c r="C2072" s="321">
        <v>7.4</v>
      </c>
      <c r="D2072" s="321" t="s">
        <v>115</v>
      </c>
      <c r="E2072" s="321"/>
      <c r="F2072" s="316" t="str">
        <f t="shared" si="384"/>
        <v/>
      </c>
      <c r="G2072" s="321"/>
      <c r="H2072" s="321"/>
      <c r="J2072" s="316" t="str">
        <f t="shared" si="385"/>
        <v/>
      </c>
    </row>
    <row r="2073" spans="1:11">
      <c r="A2073" s="321">
        <v>87</v>
      </c>
      <c r="B2073" s="295">
        <f t="shared" si="386"/>
        <v>75</v>
      </c>
      <c r="C2073" s="321">
        <v>7.5</v>
      </c>
      <c r="D2073" s="321" t="s">
        <v>111</v>
      </c>
      <c r="E2073" s="321"/>
      <c r="F2073" s="316" t="str">
        <f t="shared" si="384"/>
        <v/>
      </c>
      <c r="G2073" s="321"/>
      <c r="H2073" s="321"/>
      <c r="J2073" s="316" t="str">
        <f t="shared" si="385"/>
        <v/>
      </c>
    </row>
    <row r="2074" spans="1:11">
      <c r="A2074" s="321">
        <v>89</v>
      </c>
      <c r="B2074" s="295">
        <f t="shared" si="386"/>
        <v>77</v>
      </c>
      <c r="C2074" s="321">
        <v>1.1000000000000001</v>
      </c>
      <c r="D2074" s="321" t="s">
        <v>112</v>
      </c>
      <c r="E2074" s="321"/>
      <c r="F2074" s="316" t="str">
        <f t="shared" si="384"/>
        <v/>
      </c>
      <c r="G2074" s="321"/>
      <c r="H2074" s="321"/>
      <c r="J2074" s="316" t="str">
        <f t="shared" si="385"/>
        <v/>
      </c>
    </row>
    <row r="2075" spans="1:11">
      <c r="A2075" s="321">
        <v>89</v>
      </c>
      <c r="B2075" s="295">
        <f t="shared" si="386"/>
        <v>77</v>
      </c>
      <c r="C2075" s="321">
        <v>1.2</v>
      </c>
      <c r="D2075" s="321" t="s">
        <v>113</v>
      </c>
      <c r="E2075" s="321">
        <v>32</v>
      </c>
      <c r="F2075" s="316">
        <f t="shared" si="384"/>
        <v>1.1851851851851851</v>
      </c>
      <c r="G2075" s="321">
        <v>10.1</v>
      </c>
      <c r="H2075" s="321">
        <v>10</v>
      </c>
      <c r="I2075" s="315">
        <f t="shared" ref="I2075" si="389">G2075*(H2075^2)*0.5</f>
        <v>505</v>
      </c>
      <c r="J2075" s="316">
        <f t="shared" si="385"/>
        <v>2.4139406266207457</v>
      </c>
    </row>
    <row r="2076" spans="1:11">
      <c r="A2076" s="321">
        <v>89</v>
      </c>
      <c r="B2076" s="295">
        <f t="shared" si="386"/>
        <v>77</v>
      </c>
      <c r="C2076" s="321">
        <v>1.3</v>
      </c>
      <c r="D2076" s="321" t="s">
        <v>115</v>
      </c>
      <c r="E2076" s="321"/>
      <c r="F2076" s="316" t="str">
        <f t="shared" si="384"/>
        <v/>
      </c>
      <c r="G2076" s="321"/>
      <c r="H2076" s="321"/>
      <c r="J2076" s="316" t="str">
        <f t="shared" si="385"/>
        <v/>
      </c>
    </row>
    <row r="2077" spans="1:11">
      <c r="A2077" s="321">
        <v>89</v>
      </c>
      <c r="B2077" s="295">
        <f t="shared" si="386"/>
        <v>77</v>
      </c>
      <c r="C2077" s="321">
        <v>1.4</v>
      </c>
      <c r="D2077" s="321" t="s">
        <v>115</v>
      </c>
      <c r="E2077" s="321"/>
      <c r="F2077" s="316" t="str">
        <f t="shared" si="384"/>
        <v/>
      </c>
      <c r="G2077" s="321"/>
      <c r="H2077" s="321"/>
      <c r="J2077" s="316" t="str">
        <f t="shared" si="385"/>
        <v/>
      </c>
    </row>
    <row r="2078" spans="1:11">
      <c r="A2078" s="321">
        <v>89</v>
      </c>
      <c r="B2078" s="295">
        <f t="shared" si="386"/>
        <v>77</v>
      </c>
      <c r="C2078" s="321">
        <v>1.5</v>
      </c>
      <c r="D2078" s="321" t="s">
        <v>112</v>
      </c>
      <c r="E2078" s="321">
        <v>30</v>
      </c>
      <c r="F2078" s="316">
        <f t="shared" si="384"/>
        <v>1.0714285714285714</v>
      </c>
      <c r="G2078" s="321">
        <v>15.5</v>
      </c>
      <c r="H2078" s="321">
        <v>15.2</v>
      </c>
      <c r="I2078" s="315">
        <f t="shared" ref="I2078" si="390">G2078*(H2078^2)*0.5</f>
        <v>1790.56</v>
      </c>
      <c r="J2078" s="316">
        <f t="shared" si="385"/>
        <v>12.857306985294116</v>
      </c>
      <c r="K2078" s="316" t="s">
        <v>172</v>
      </c>
    </row>
    <row r="2079" spans="1:11">
      <c r="A2079" s="321">
        <v>89</v>
      </c>
      <c r="B2079" s="295">
        <f t="shared" si="386"/>
        <v>77</v>
      </c>
      <c r="C2079" s="321">
        <v>2.1</v>
      </c>
      <c r="D2079" s="321" t="s">
        <v>114</v>
      </c>
      <c r="E2079" s="321"/>
      <c r="F2079" s="316" t="str">
        <f t="shared" si="384"/>
        <v/>
      </c>
      <c r="G2079" s="321"/>
      <c r="H2079" s="321"/>
      <c r="J2079" s="316" t="str">
        <f t="shared" si="385"/>
        <v/>
      </c>
    </row>
    <row r="2080" spans="1:11">
      <c r="A2080" s="321">
        <v>89</v>
      </c>
      <c r="B2080" s="295">
        <f t="shared" si="386"/>
        <v>77</v>
      </c>
      <c r="C2080" s="321">
        <v>2.2000000000000002</v>
      </c>
      <c r="D2080" s="321" t="s">
        <v>115</v>
      </c>
      <c r="E2080" s="321"/>
      <c r="F2080" s="316" t="str">
        <f t="shared" si="384"/>
        <v/>
      </c>
      <c r="G2080" s="321"/>
      <c r="H2080" s="321"/>
      <c r="J2080" s="316" t="str">
        <f t="shared" si="385"/>
        <v/>
      </c>
    </row>
    <row r="2081" spans="1:10">
      <c r="A2081" s="321">
        <v>89</v>
      </c>
      <c r="B2081" s="295">
        <f t="shared" si="386"/>
        <v>77</v>
      </c>
      <c r="C2081" s="321">
        <v>2.2999999999999998</v>
      </c>
      <c r="D2081" s="321" t="s">
        <v>112</v>
      </c>
      <c r="E2081" s="321"/>
      <c r="F2081" s="316" t="str">
        <f t="shared" si="384"/>
        <v/>
      </c>
      <c r="G2081" s="321"/>
      <c r="H2081" s="321"/>
      <c r="J2081" s="316" t="str">
        <f t="shared" si="385"/>
        <v/>
      </c>
    </row>
    <row r="2082" spans="1:10">
      <c r="A2082" s="321">
        <v>89</v>
      </c>
      <c r="B2082" s="295">
        <f t="shared" si="386"/>
        <v>77</v>
      </c>
      <c r="C2082" s="321">
        <v>2.4</v>
      </c>
      <c r="D2082" s="321" t="s">
        <v>114</v>
      </c>
      <c r="E2082" s="321"/>
      <c r="F2082" s="316" t="str">
        <f t="shared" si="384"/>
        <v/>
      </c>
      <c r="G2082" s="321"/>
      <c r="H2082" s="321"/>
      <c r="J2082" s="316" t="str">
        <f t="shared" si="385"/>
        <v/>
      </c>
    </row>
    <row r="2083" spans="1:10">
      <c r="A2083" s="321">
        <v>89</v>
      </c>
      <c r="B2083" s="295">
        <f t="shared" si="386"/>
        <v>77</v>
      </c>
      <c r="C2083" s="321">
        <v>2.5</v>
      </c>
      <c r="D2083" s="321" t="s">
        <v>113</v>
      </c>
      <c r="E2083" s="321">
        <v>32</v>
      </c>
      <c r="F2083" s="316">
        <f t="shared" si="384"/>
        <v>1.1851851851851851</v>
      </c>
      <c r="G2083" s="321">
        <v>13.2</v>
      </c>
      <c r="H2083" s="321">
        <v>13</v>
      </c>
      <c r="I2083" s="315">
        <f t="shared" ref="I2083" si="391">G2083*(H2083^2)*0.5</f>
        <v>1115.3999999999999</v>
      </c>
      <c r="J2083" s="316">
        <f t="shared" si="385"/>
        <v>6.5387907282128239</v>
      </c>
    </row>
    <row r="2084" spans="1:10" s="316" customFormat="1">
      <c r="A2084" s="321">
        <v>89</v>
      </c>
      <c r="B2084" s="295">
        <f t="shared" si="386"/>
        <v>77</v>
      </c>
      <c r="C2084" s="321">
        <v>3.1</v>
      </c>
      <c r="D2084" s="321" t="s">
        <v>115</v>
      </c>
      <c r="E2084" s="321"/>
      <c r="F2084" s="316" t="str">
        <f t="shared" si="384"/>
        <v/>
      </c>
      <c r="G2084" s="321"/>
      <c r="H2084" s="321"/>
      <c r="I2084" s="315"/>
      <c r="J2084" s="316" t="str">
        <f t="shared" si="385"/>
        <v/>
      </c>
    </row>
    <row r="2085" spans="1:10" s="316" customFormat="1">
      <c r="A2085" s="321">
        <v>89</v>
      </c>
      <c r="B2085" s="295">
        <f t="shared" si="386"/>
        <v>77</v>
      </c>
      <c r="C2085" s="321">
        <v>3.2</v>
      </c>
      <c r="D2085" s="321" t="s">
        <v>113</v>
      </c>
      <c r="E2085" s="321"/>
      <c r="F2085" s="316" t="str">
        <f t="shared" si="384"/>
        <v/>
      </c>
      <c r="G2085" s="321"/>
      <c r="H2085" s="321"/>
      <c r="I2085" s="315"/>
      <c r="J2085" s="316" t="str">
        <f t="shared" si="385"/>
        <v/>
      </c>
    </row>
    <row r="2086" spans="1:10" s="316" customFormat="1">
      <c r="A2086" s="321">
        <v>89</v>
      </c>
      <c r="B2086" s="295">
        <f t="shared" si="386"/>
        <v>77</v>
      </c>
      <c r="C2086" s="321">
        <v>3.3</v>
      </c>
      <c r="D2086" s="321" t="s">
        <v>114</v>
      </c>
      <c r="E2086" s="321"/>
      <c r="F2086" s="316" t="str">
        <f t="shared" si="384"/>
        <v/>
      </c>
      <c r="G2086" s="321"/>
      <c r="H2086" s="321"/>
      <c r="I2086" s="315"/>
      <c r="J2086" s="316" t="str">
        <f t="shared" si="385"/>
        <v/>
      </c>
    </row>
    <row r="2087" spans="1:10" s="316" customFormat="1">
      <c r="A2087" s="321">
        <v>89</v>
      </c>
      <c r="B2087" s="295">
        <f t="shared" si="386"/>
        <v>77</v>
      </c>
      <c r="C2087" s="321">
        <v>3.4</v>
      </c>
      <c r="D2087" s="321" t="s">
        <v>114</v>
      </c>
      <c r="E2087" s="321"/>
      <c r="F2087" s="316" t="str">
        <f t="shared" si="384"/>
        <v/>
      </c>
      <c r="G2087" s="321"/>
      <c r="H2087" s="321"/>
      <c r="I2087" s="315"/>
      <c r="J2087" s="316" t="str">
        <f t="shared" si="385"/>
        <v/>
      </c>
    </row>
    <row r="2088" spans="1:10" s="316" customFormat="1">
      <c r="A2088" s="321">
        <v>89</v>
      </c>
      <c r="B2088" s="295">
        <f t="shared" si="386"/>
        <v>77</v>
      </c>
      <c r="C2088" s="321">
        <v>3.5</v>
      </c>
      <c r="D2088" s="321" t="s">
        <v>115</v>
      </c>
      <c r="E2088" s="321"/>
      <c r="F2088" s="316" t="str">
        <f t="shared" si="384"/>
        <v/>
      </c>
      <c r="G2088" s="321"/>
      <c r="H2088" s="321"/>
      <c r="I2088" s="315"/>
      <c r="J2088" s="316" t="str">
        <f t="shared" si="385"/>
        <v/>
      </c>
    </row>
    <row r="2089" spans="1:10" s="316" customFormat="1">
      <c r="A2089" s="321">
        <v>89</v>
      </c>
      <c r="B2089" s="295">
        <f t="shared" si="386"/>
        <v>77</v>
      </c>
      <c r="C2089" s="321">
        <v>4.0999999999999996</v>
      </c>
      <c r="D2089" s="321" t="s">
        <v>111</v>
      </c>
      <c r="E2089" s="321"/>
      <c r="F2089" s="316" t="str">
        <f t="shared" si="384"/>
        <v/>
      </c>
      <c r="G2089" s="321"/>
      <c r="H2089" s="321"/>
      <c r="I2089" s="315"/>
      <c r="J2089" s="316" t="str">
        <f t="shared" si="385"/>
        <v/>
      </c>
    </row>
    <row r="2090" spans="1:10" s="316" customFormat="1">
      <c r="A2090" s="321">
        <v>89</v>
      </c>
      <c r="B2090" s="295">
        <f t="shared" si="386"/>
        <v>77</v>
      </c>
      <c r="C2090" s="321">
        <v>4.2</v>
      </c>
      <c r="D2090" s="321" t="s">
        <v>112</v>
      </c>
      <c r="E2090" s="321"/>
      <c r="F2090" s="316" t="str">
        <f t="shared" si="384"/>
        <v/>
      </c>
      <c r="G2090" s="321"/>
      <c r="H2090" s="321"/>
      <c r="I2090" s="315"/>
      <c r="J2090" s="316" t="str">
        <f t="shared" si="385"/>
        <v/>
      </c>
    </row>
    <row r="2091" spans="1:10" s="316" customFormat="1">
      <c r="A2091" s="321">
        <v>89</v>
      </c>
      <c r="B2091" s="295">
        <f t="shared" si="386"/>
        <v>77</v>
      </c>
      <c r="C2091" s="321">
        <v>4.3</v>
      </c>
      <c r="D2091" s="321" t="s">
        <v>113</v>
      </c>
      <c r="E2091" s="321">
        <v>32</v>
      </c>
      <c r="F2091" s="316">
        <f t="shared" si="384"/>
        <v>1.2307692307692308</v>
      </c>
      <c r="G2091" s="321">
        <v>14.1</v>
      </c>
      <c r="H2091" s="321">
        <v>13.6</v>
      </c>
      <c r="I2091" s="315">
        <f t="shared" ref="I2091" si="392">G2091*(H2091^2)*0.5</f>
        <v>1303.9679999999998</v>
      </c>
      <c r="J2091" s="316">
        <f t="shared" si="385"/>
        <v>9.3632812499999982</v>
      </c>
    </row>
    <row r="2092" spans="1:10" s="316" customFormat="1">
      <c r="A2092" s="321">
        <v>89</v>
      </c>
      <c r="B2092" s="295">
        <f t="shared" si="386"/>
        <v>77</v>
      </c>
      <c r="C2092" s="321">
        <v>4.4000000000000004</v>
      </c>
      <c r="D2092" s="321" t="s">
        <v>112</v>
      </c>
      <c r="E2092" s="321"/>
      <c r="F2092" s="316" t="str">
        <f t="shared" si="384"/>
        <v/>
      </c>
      <c r="G2092" s="321"/>
      <c r="H2092" s="321"/>
      <c r="I2092" s="315"/>
      <c r="J2092" s="316" t="str">
        <f t="shared" si="385"/>
        <v/>
      </c>
    </row>
    <row r="2093" spans="1:10" s="316" customFormat="1">
      <c r="A2093" s="321">
        <v>89</v>
      </c>
      <c r="B2093" s="295">
        <f t="shared" si="386"/>
        <v>77</v>
      </c>
      <c r="C2093" s="321">
        <v>4.5</v>
      </c>
      <c r="D2093" s="321" t="s">
        <v>112</v>
      </c>
      <c r="E2093" s="321"/>
      <c r="F2093" s="316" t="str">
        <f t="shared" si="384"/>
        <v/>
      </c>
      <c r="G2093" s="321"/>
      <c r="H2093" s="321"/>
      <c r="I2093" s="315"/>
      <c r="J2093" s="316" t="str">
        <f t="shared" si="385"/>
        <v/>
      </c>
    </row>
    <row r="2094" spans="1:10" s="316" customFormat="1">
      <c r="A2094" s="321">
        <v>89</v>
      </c>
      <c r="B2094" s="295">
        <f t="shared" si="386"/>
        <v>77</v>
      </c>
      <c r="C2094" s="321">
        <v>5.0999999999999996</v>
      </c>
      <c r="D2094" s="321" t="s">
        <v>113</v>
      </c>
      <c r="E2094" s="321"/>
      <c r="F2094" s="316" t="str">
        <f t="shared" si="384"/>
        <v/>
      </c>
      <c r="G2094" s="321"/>
      <c r="H2094" s="321"/>
      <c r="I2094" s="315"/>
      <c r="J2094" s="316" t="str">
        <f t="shared" si="385"/>
        <v/>
      </c>
    </row>
    <row r="2095" spans="1:10" s="316" customFormat="1">
      <c r="A2095" s="321">
        <v>89</v>
      </c>
      <c r="B2095" s="295">
        <f t="shared" si="386"/>
        <v>77</v>
      </c>
      <c r="C2095" s="321">
        <v>5.2</v>
      </c>
      <c r="D2095" s="321" t="s">
        <v>114</v>
      </c>
      <c r="E2095" s="321"/>
      <c r="F2095" s="316" t="str">
        <f t="shared" si="384"/>
        <v/>
      </c>
      <c r="G2095" s="321"/>
      <c r="H2095" s="321"/>
      <c r="I2095" s="315"/>
      <c r="J2095" s="316" t="str">
        <f t="shared" si="385"/>
        <v/>
      </c>
    </row>
    <row r="2096" spans="1:10" s="316" customFormat="1">
      <c r="A2096" s="321">
        <v>89</v>
      </c>
      <c r="B2096" s="295">
        <f t="shared" si="386"/>
        <v>77</v>
      </c>
      <c r="C2096" s="321">
        <v>5.3</v>
      </c>
      <c r="D2096" s="321" t="s">
        <v>112</v>
      </c>
      <c r="E2096" s="321"/>
      <c r="F2096" s="316" t="str">
        <f t="shared" si="384"/>
        <v/>
      </c>
      <c r="G2096" s="321"/>
      <c r="H2096" s="321"/>
      <c r="I2096" s="315"/>
      <c r="J2096" s="316" t="str">
        <f t="shared" si="385"/>
        <v/>
      </c>
    </row>
    <row r="2097" spans="1:10" s="316" customFormat="1">
      <c r="A2097" s="321">
        <v>89</v>
      </c>
      <c r="B2097" s="295">
        <f t="shared" si="386"/>
        <v>77</v>
      </c>
      <c r="C2097" s="321">
        <v>5.4</v>
      </c>
      <c r="D2097" s="321" t="s">
        <v>113</v>
      </c>
      <c r="E2097" s="321"/>
      <c r="F2097" s="316" t="str">
        <f t="shared" si="384"/>
        <v/>
      </c>
      <c r="G2097" s="321"/>
      <c r="H2097" s="321"/>
      <c r="I2097" s="315"/>
      <c r="J2097" s="316" t="str">
        <f t="shared" si="385"/>
        <v/>
      </c>
    </row>
    <row r="2098" spans="1:10" s="316" customFormat="1">
      <c r="A2098" s="321">
        <v>89</v>
      </c>
      <c r="B2098" s="295">
        <f t="shared" si="386"/>
        <v>77</v>
      </c>
      <c r="C2098" s="321">
        <v>5.5</v>
      </c>
      <c r="D2098" s="321" t="s">
        <v>114</v>
      </c>
      <c r="E2098" s="321"/>
      <c r="F2098" s="316" t="str">
        <f t="shared" si="384"/>
        <v/>
      </c>
      <c r="G2098" s="321"/>
      <c r="H2098" s="321"/>
      <c r="I2098" s="315"/>
      <c r="J2098" s="316" t="str">
        <f t="shared" si="385"/>
        <v/>
      </c>
    </row>
    <row r="2099" spans="1:10" s="316" customFormat="1">
      <c r="A2099" s="321">
        <v>89</v>
      </c>
      <c r="B2099" s="295">
        <f t="shared" si="386"/>
        <v>77</v>
      </c>
      <c r="C2099" s="321">
        <v>6.1</v>
      </c>
      <c r="D2099" s="321" t="s">
        <v>115</v>
      </c>
      <c r="E2099" s="321"/>
      <c r="F2099" s="316" t="str">
        <f t="shared" si="384"/>
        <v/>
      </c>
      <c r="G2099" s="321"/>
      <c r="H2099" s="321"/>
      <c r="I2099" s="315"/>
      <c r="J2099" s="316" t="str">
        <f t="shared" si="385"/>
        <v/>
      </c>
    </row>
    <row r="2100" spans="1:10" s="316" customFormat="1">
      <c r="A2100" s="321">
        <v>89</v>
      </c>
      <c r="B2100" s="295">
        <f t="shared" si="386"/>
        <v>77</v>
      </c>
      <c r="C2100" s="321">
        <v>6.2</v>
      </c>
      <c r="D2100" s="321" t="s">
        <v>115</v>
      </c>
      <c r="E2100" s="321"/>
      <c r="F2100" s="316" t="str">
        <f t="shared" si="384"/>
        <v/>
      </c>
      <c r="G2100" s="321"/>
      <c r="H2100" s="321"/>
      <c r="I2100" s="315"/>
      <c r="J2100" s="316" t="str">
        <f t="shared" si="385"/>
        <v/>
      </c>
    </row>
    <row r="2101" spans="1:10" s="316" customFormat="1">
      <c r="A2101" s="321">
        <v>89</v>
      </c>
      <c r="B2101" s="295">
        <f t="shared" si="386"/>
        <v>77</v>
      </c>
      <c r="C2101" s="321">
        <v>6.3</v>
      </c>
      <c r="D2101" s="321" t="s">
        <v>114</v>
      </c>
      <c r="E2101" s="321"/>
      <c r="F2101" s="316" t="str">
        <f t="shared" si="384"/>
        <v/>
      </c>
      <c r="G2101" s="321"/>
      <c r="H2101" s="321"/>
      <c r="I2101" s="315"/>
      <c r="J2101" s="316" t="str">
        <f t="shared" si="385"/>
        <v/>
      </c>
    </row>
    <row r="2102" spans="1:10" s="316" customFormat="1">
      <c r="A2102" s="321">
        <v>89</v>
      </c>
      <c r="B2102" s="295">
        <f t="shared" si="386"/>
        <v>77</v>
      </c>
      <c r="C2102" s="321">
        <v>6.4</v>
      </c>
      <c r="D2102" s="321" t="s">
        <v>112</v>
      </c>
      <c r="E2102" s="321"/>
      <c r="F2102" s="316" t="str">
        <f t="shared" si="384"/>
        <v/>
      </c>
      <c r="G2102" s="321"/>
      <c r="H2102" s="321"/>
      <c r="I2102" s="315"/>
      <c r="J2102" s="316" t="str">
        <f t="shared" si="385"/>
        <v/>
      </c>
    </row>
    <row r="2103" spans="1:10" s="316" customFormat="1">
      <c r="A2103" s="321">
        <v>89</v>
      </c>
      <c r="B2103" s="295">
        <f t="shared" si="386"/>
        <v>77</v>
      </c>
      <c r="C2103" s="321">
        <v>6.5</v>
      </c>
      <c r="D2103" s="321" t="s">
        <v>113</v>
      </c>
      <c r="E2103" s="321"/>
      <c r="F2103" s="316" t="str">
        <f t="shared" si="384"/>
        <v/>
      </c>
      <c r="G2103" s="321"/>
      <c r="H2103" s="321"/>
      <c r="I2103" s="315"/>
      <c r="J2103" s="316" t="str">
        <f t="shared" si="385"/>
        <v/>
      </c>
    </row>
    <row r="2104" spans="1:10" s="316" customFormat="1">
      <c r="A2104" s="321">
        <v>89</v>
      </c>
      <c r="B2104" s="295">
        <f t="shared" si="386"/>
        <v>77</v>
      </c>
      <c r="C2104" s="321">
        <v>7.1</v>
      </c>
      <c r="D2104" s="321" t="s">
        <v>114</v>
      </c>
      <c r="E2104" s="321"/>
      <c r="F2104" s="316" t="str">
        <f t="shared" si="384"/>
        <v/>
      </c>
      <c r="G2104" s="321"/>
      <c r="H2104" s="321"/>
      <c r="I2104" s="315"/>
      <c r="J2104" s="316" t="str">
        <f t="shared" si="385"/>
        <v/>
      </c>
    </row>
    <row r="2105" spans="1:10" s="316" customFormat="1">
      <c r="A2105" s="321">
        <v>89</v>
      </c>
      <c r="B2105" s="295">
        <f t="shared" si="386"/>
        <v>77</v>
      </c>
      <c r="C2105" s="321">
        <v>7.2</v>
      </c>
      <c r="D2105" s="321" t="s">
        <v>111</v>
      </c>
      <c r="E2105" s="321"/>
      <c r="F2105" s="316" t="str">
        <f t="shared" si="384"/>
        <v/>
      </c>
      <c r="G2105" s="321"/>
      <c r="H2105" s="321"/>
      <c r="I2105" s="315"/>
      <c r="J2105" s="316" t="str">
        <f t="shared" si="385"/>
        <v/>
      </c>
    </row>
    <row r="2106" spans="1:10" s="316" customFormat="1">
      <c r="A2106" s="321">
        <v>89</v>
      </c>
      <c r="B2106" s="295">
        <f t="shared" si="386"/>
        <v>77</v>
      </c>
      <c r="C2106" s="321">
        <v>7.3</v>
      </c>
      <c r="D2106" s="321" t="s">
        <v>113</v>
      </c>
      <c r="E2106" s="321">
        <v>30</v>
      </c>
      <c r="F2106" s="316">
        <f t="shared" si="384"/>
        <v>1.1111111111111112</v>
      </c>
      <c r="G2106" s="321">
        <v>8.6999999999999993</v>
      </c>
      <c r="H2106" s="321">
        <v>8.5</v>
      </c>
      <c r="I2106" s="315">
        <f t="shared" ref="I2106" si="393">G2106*(H2106^2)*0.5</f>
        <v>314.28749999999997</v>
      </c>
      <c r="J2106" s="316">
        <f t="shared" si="385"/>
        <v>2.1995989753926262</v>
      </c>
    </row>
    <row r="2107" spans="1:10" s="316" customFormat="1">
      <c r="A2107" s="321">
        <v>89</v>
      </c>
      <c r="B2107" s="295">
        <f t="shared" si="386"/>
        <v>77</v>
      </c>
      <c r="C2107" s="321">
        <v>7.4</v>
      </c>
      <c r="D2107" s="321" t="s">
        <v>115</v>
      </c>
      <c r="E2107" s="321"/>
      <c r="F2107" s="316" t="str">
        <f t="shared" si="384"/>
        <v/>
      </c>
      <c r="G2107" s="321"/>
      <c r="H2107" s="321"/>
      <c r="I2107" s="315"/>
      <c r="J2107" s="316" t="str">
        <f t="shared" si="385"/>
        <v/>
      </c>
    </row>
    <row r="2108" spans="1:10" s="316" customFormat="1">
      <c r="A2108" s="321">
        <v>89</v>
      </c>
      <c r="B2108" s="295">
        <f t="shared" si="386"/>
        <v>77</v>
      </c>
      <c r="C2108" s="321">
        <v>7.5</v>
      </c>
      <c r="D2108" s="321" t="s">
        <v>111</v>
      </c>
      <c r="E2108" s="321"/>
      <c r="F2108" s="316" t="str">
        <f t="shared" si="384"/>
        <v/>
      </c>
      <c r="G2108" s="321"/>
      <c r="H2108" s="321"/>
      <c r="I2108" s="315"/>
      <c r="J2108" s="316" t="str">
        <f t="shared" si="385"/>
        <v/>
      </c>
    </row>
    <row r="2109" spans="1:10" s="316" customFormat="1">
      <c r="A2109" s="321">
        <v>91</v>
      </c>
      <c r="B2109" s="295">
        <f t="shared" si="386"/>
        <v>79</v>
      </c>
      <c r="C2109" s="321">
        <v>1.1000000000000001</v>
      </c>
      <c r="D2109" s="321" t="s">
        <v>112</v>
      </c>
      <c r="E2109" s="321"/>
      <c r="F2109" s="316" t="str">
        <f t="shared" si="384"/>
        <v/>
      </c>
      <c r="G2109" s="321"/>
      <c r="H2109" s="321"/>
      <c r="I2109" s="315"/>
      <c r="J2109" s="316" t="str">
        <f t="shared" si="385"/>
        <v/>
      </c>
    </row>
    <row r="2110" spans="1:10" s="316" customFormat="1">
      <c r="A2110" s="321">
        <v>91</v>
      </c>
      <c r="B2110" s="295">
        <f t="shared" si="386"/>
        <v>79</v>
      </c>
      <c r="C2110" s="321">
        <v>1.2</v>
      </c>
      <c r="D2110" s="321" t="s">
        <v>113</v>
      </c>
      <c r="E2110" s="321">
        <v>33</v>
      </c>
      <c r="F2110" s="316">
        <f t="shared" si="384"/>
        <v>1.2222222222222223</v>
      </c>
      <c r="G2110" s="321">
        <v>10.5</v>
      </c>
      <c r="H2110" s="321">
        <v>9.8000000000000007</v>
      </c>
      <c r="I2110" s="315">
        <f t="shared" ref="I2110" si="394">G2110*(H2110^2)*0.5</f>
        <v>504.21000000000009</v>
      </c>
      <c r="J2110" s="316">
        <f t="shared" si="385"/>
        <v>2.4101643630662308</v>
      </c>
    </row>
    <row r="2111" spans="1:10" s="316" customFormat="1">
      <c r="A2111" s="321">
        <v>91</v>
      </c>
      <c r="B2111" s="295">
        <f t="shared" si="386"/>
        <v>79</v>
      </c>
      <c r="C2111" s="321">
        <v>1.3</v>
      </c>
      <c r="D2111" s="321" t="s">
        <v>115</v>
      </c>
      <c r="E2111" s="321"/>
      <c r="F2111" s="316" t="str">
        <f t="shared" si="384"/>
        <v/>
      </c>
      <c r="G2111" s="321"/>
      <c r="H2111" s="321"/>
      <c r="I2111" s="315"/>
      <c r="J2111" s="316" t="str">
        <f t="shared" si="385"/>
        <v/>
      </c>
    </row>
    <row r="2112" spans="1:10" s="316" customFormat="1">
      <c r="A2112" s="321">
        <v>91</v>
      </c>
      <c r="B2112" s="295">
        <f t="shared" si="386"/>
        <v>79</v>
      </c>
      <c r="C2112" s="321">
        <v>1.4</v>
      </c>
      <c r="D2112" s="321" t="s">
        <v>115</v>
      </c>
      <c r="E2112" s="321"/>
      <c r="F2112" s="316" t="str">
        <f t="shared" si="384"/>
        <v/>
      </c>
      <c r="G2112" s="321"/>
      <c r="H2112" s="321"/>
      <c r="I2112" s="315"/>
      <c r="J2112" s="316" t="str">
        <f t="shared" si="385"/>
        <v/>
      </c>
    </row>
    <row r="2113" spans="1:10" s="316" customFormat="1">
      <c r="A2113" s="321">
        <v>91</v>
      </c>
      <c r="B2113" s="295">
        <f t="shared" si="386"/>
        <v>79</v>
      </c>
      <c r="C2113" s="321">
        <v>1.5</v>
      </c>
      <c r="D2113" s="321" t="s">
        <v>112</v>
      </c>
      <c r="E2113" s="321"/>
      <c r="F2113" s="316" t="str">
        <f t="shared" si="384"/>
        <v/>
      </c>
      <c r="G2113" s="321"/>
      <c r="H2113" s="321"/>
      <c r="I2113" s="315"/>
      <c r="J2113" s="316" t="str">
        <f t="shared" si="385"/>
        <v/>
      </c>
    </row>
    <row r="2114" spans="1:10" s="316" customFormat="1">
      <c r="A2114" s="321">
        <v>91</v>
      </c>
      <c r="B2114" s="295">
        <f t="shared" si="386"/>
        <v>79</v>
      </c>
      <c r="C2114" s="321">
        <v>2.1</v>
      </c>
      <c r="D2114" s="321" t="s">
        <v>114</v>
      </c>
      <c r="E2114" s="321"/>
      <c r="F2114" s="316" t="str">
        <f t="shared" si="384"/>
        <v/>
      </c>
      <c r="G2114" s="321"/>
      <c r="H2114" s="321"/>
      <c r="I2114" s="315"/>
      <c r="J2114" s="316" t="str">
        <f t="shared" si="385"/>
        <v/>
      </c>
    </row>
    <row r="2115" spans="1:10" s="316" customFormat="1">
      <c r="A2115" s="321">
        <v>91</v>
      </c>
      <c r="B2115" s="295">
        <f t="shared" si="386"/>
        <v>79</v>
      </c>
      <c r="C2115" s="321">
        <v>2.2000000000000002</v>
      </c>
      <c r="D2115" s="321" t="s">
        <v>115</v>
      </c>
      <c r="E2115" s="321"/>
      <c r="F2115" s="316" t="str">
        <f t="shared" si="384"/>
        <v/>
      </c>
      <c r="G2115" s="321"/>
      <c r="H2115" s="321"/>
      <c r="I2115" s="315"/>
      <c r="J2115" s="316" t="str">
        <f t="shared" si="385"/>
        <v/>
      </c>
    </row>
    <row r="2116" spans="1:10" s="316" customFormat="1">
      <c r="A2116" s="321">
        <v>91</v>
      </c>
      <c r="B2116" s="295">
        <f t="shared" si="386"/>
        <v>79</v>
      </c>
      <c r="C2116" s="321">
        <v>2.2999999999999998</v>
      </c>
      <c r="D2116" s="321" t="s">
        <v>112</v>
      </c>
      <c r="E2116" s="321"/>
      <c r="F2116" s="316" t="str">
        <f t="shared" si="384"/>
        <v/>
      </c>
      <c r="G2116" s="321"/>
      <c r="H2116" s="321"/>
      <c r="I2116" s="315"/>
      <c r="J2116" s="316" t="str">
        <f t="shared" si="385"/>
        <v/>
      </c>
    </row>
    <row r="2117" spans="1:10" s="316" customFormat="1">
      <c r="A2117" s="321">
        <v>91</v>
      </c>
      <c r="B2117" s="295">
        <f t="shared" si="386"/>
        <v>79</v>
      </c>
      <c r="C2117" s="321">
        <v>2.4</v>
      </c>
      <c r="D2117" s="321" t="s">
        <v>114</v>
      </c>
      <c r="E2117" s="321"/>
      <c r="F2117" s="316" t="str">
        <f t="shared" si="384"/>
        <v/>
      </c>
      <c r="G2117" s="321"/>
      <c r="H2117" s="321"/>
      <c r="I2117" s="315"/>
      <c r="J2117" s="316" t="str">
        <f t="shared" si="385"/>
        <v/>
      </c>
    </row>
    <row r="2118" spans="1:10" s="316" customFormat="1">
      <c r="A2118" s="321">
        <v>91</v>
      </c>
      <c r="B2118" s="295">
        <f t="shared" si="386"/>
        <v>79</v>
      </c>
      <c r="C2118" s="321">
        <v>2.5</v>
      </c>
      <c r="D2118" s="321" t="s">
        <v>113</v>
      </c>
      <c r="E2118" s="321">
        <v>32</v>
      </c>
      <c r="F2118" s="316">
        <f t="shared" si="384"/>
        <v>1.1851851851851851</v>
      </c>
      <c r="G2118" s="321">
        <v>14.3</v>
      </c>
      <c r="H2118" s="321">
        <v>12.6</v>
      </c>
      <c r="I2118" s="315">
        <f t="shared" ref="I2118" si="395">G2118*(H2118^2)*0.5</f>
        <v>1135.134</v>
      </c>
      <c r="J2118" s="316">
        <f t="shared" si="385"/>
        <v>6.6544770257119747</v>
      </c>
    </row>
    <row r="2119" spans="1:10" s="316" customFormat="1">
      <c r="A2119" s="321">
        <v>91</v>
      </c>
      <c r="B2119" s="295">
        <f t="shared" si="386"/>
        <v>79</v>
      </c>
      <c r="C2119" s="321">
        <v>3.1</v>
      </c>
      <c r="D2119" s="321" t="s">
        <v>115</v>
      </c>
      <c r="E2119" s="321"/>
      <c r="F2119" s="316" t="str">
        <f t="shared" si="384"/>
        <v/>
      </c>
      <c r="G2119" s="321"/>
      <c r="H2119" s="321"/>
      <c r="I2119" s="315"/>
      <c r="J2119" s="316" t="str">
        <f t="shared" si="385"/>
        <v/>
      </c>
    </row>
    <row r="2120" spans="1:10" s="316" customFormat="1">
      <c r="A2120" s="321">
        <v>91</v>
      </c>
      <c r="B2120" s="295">
        <f t="shared" si="386"/>
        <v>79</v>
      </c>
      <c r="C2120" s="321">
        <v>3.2</v>
      </c>
      <c r="D2120" s="321" t="s">
        <v>113</v>
      </c>
      <c r="E2120" s="321"/>
      <c r="F2120" s="316" t="str">
        <f t="shared" si="384"/>
        <v/>
      </c>
      <c r="G2120" s="321"/>
      <c r="H2120" s="321"/>
      <c r="I2120" s="315"/>
      <c r="J2120" s="316" t="str">
        <f t="shared" si="385"/>
        <v/>
      </c>
    </row>
    <row r="2121" spans="1:10" s="316" customFormat="1">
      <c r="A2121" s="321">
        <v>91</v>
      </c>
      <c r="B2121" s="295">
        <f t="shared" si="386"/>
        <v>79</v>
      </c>
      <c r="C2121" s="321">
        <v>3.3</v>
      </c>
      <c r="D2121" s="321" t="s">
        <v>114</v>
      </c>
      <c r="E2121" s="321"/>
      <c r="F2121" s="316" t="str">
        <f t="shared" ref="F2121:F2184" si="396">IF(ISBLANK(E2121),"",E2121/SUMIFS(E:E,C:C,C2121,B:B,"0"))</f>
        <v/>
      </c>
      <c r="G2121" s="321"/>
      <c r="H2121" s="321"/>
      <c r="I2121" s="315"/>
      <c r="J2121" s="316" t="str">
        <f t="shared" ref="J2121:J2184" si="397">IF(ISBLANK(I2121),"",I2121/SUMIFS(I:I,C:C,C2121,B:B,"0"))</f>
        <v/>
      </c>
    </row>
    <row r="2122" spans="1:10" s="316" customFormat="1">
      <c r="A2122" s="321">
        <v>91</v>
      </c>
      <c r="B2122" s="295">
        <f t="shared" ref="B2122:B2185" si="398">A2122-12</f>
        <v>79</v>
      </c>
      <c r="C2122" s="321">
        <v>3.4</v>
      </c>
      <c r="D2122" s="321" t="s">
        <v>114</v>
      </c>
      <c r="E2122" s="321"/>
      <c r="F2122" s="316" t="str">
        <f t="shared" si="396"/>
        <v/>
      </c>
      <c r="G2122" s="321"/>
      <c r="H2122" s="321"/>
      <c r="I2122" s="315"/>
      <c r="J2122" s="316" t="str">
        <f t="shared" si="397"/>
        <v/>
      </c>
    </row>
    <row r="2123" spans="1:10" s="316" customFormat="1">
      <c r="A2123" s="321">
        <v>91</v>
      </c>
      <c r="B2123" s="295">
        <f t="shared" si="398"/>
        <v>79</v>
      </c>
      <c r="C2123" s="321">
        <v>3.5</v>
      </c>
      <c r="D2123" s="321" t="s">
        <v>115</v>
      </c>
      <c r="E2123" s="321"/>
      <c r="F2123" s="316" t="str">
        <f t="shared" si="396"/>
        <v/>
      </c>
      <c r="G2123" s="321"/>
      <c r="H2123" s="321"/>
      <c r="I2123" s="315"/>
      <c r="J2123" s="316" t="str">
        <f t="shared" si="397"/>
        <v/>
      </c>
    </row>
    <row r="2124" spans="1:10" s="316" customFormat="1">
      <c r="A2124" s="321">
        <v>91</v>
      </c>
      <c r="B2124" s="295">
        <f t="shared" si="398"/>
        <v>79</v>
      </c>
      <c r="C2124" s="321">
        <v>4.0999999999999996</v>
      </c>
      <c r="D2124" s="321" t="s">
        <v>111</v>
      </c>
      <c r="E2124" s="321"/>
      <c r="F2124" s="316" t="str">
        <f t="shared" si="396"/>
        <v/>
      </c>
      <c r="G2124" s="321"/>
      <c r="H2124" s="321"/>
      <c r="I2124" s="315"/>
      <c r="J2124" s="316" t="str">
        <f t="shared" si="397"/>
        <v/>
      </c>
    </row>
    <row r="2125" spans="1:10" s="316" customFormat="1">
      <c r="A2125" s="321">
        <v>91</v>
      </c>
      <c r="B2125" s="295">
        <f t="shared" si="398"/>
        <v>79</v>
      </c>
      <c r="C2125" s="321">
        <v>4.2</v>
      </c>
      <c r="D2125" s="321" t="s">
        <v>112</v>
      </c>
      <c r="E2125" s="321"/>
      <c r="F2125" s="316" t="str">
        <f t="shared" si="396"/>
        <v/>
      </c>
      <c r="G2125" s="321"/>
      <c r="H2125" s="321"/>
      <c r="I2125" s="315"/>
      <c r="J2125" s="316" t="str">
        <f t="shared" si="397"/>
        <v/>
      </c>
    </row>
    <row r="2126" spans="1:10" s="316" customFormat="1">
      <c r="A2126" s="321">
        <v>91</v>
      </c>
      <c r="B2126" s="295">
        <f t="shared" si="398"/>
        <v>79</v>
      </c>
      <c r="C2126" s="321">
        <v>4.3</v>
      </c>
      <c r="D2126" s="321" t="s">
        <v>113</v>
      </c>
      <c r="E2126" s="321">
        <v>32</v>
      </c>
      <c r="F2126" s="316">
        <f t="shared" si="396"/>
        <v>1.2307692307692308</v>
      </c>
      <c r="G2126" s="321">
        <v>13.6</v>
      </c>
      <c r="H2126" s="321">
        <v>12.6</v>
      </c>
      <c r="I2126" s="315">
        <f t="shared" ref="I2126" si="399">G2126*(H2126^2)*0.5</f>
        <v>1079.568</v>
      </c>
      <c r="J2126" s="316">
        <f t="shared" si="397"/>
        <v>7.7519531249999991</v>
      </c>
    </row>
    <row r="2127" spans="1:10" s="316" customFormat="1">
      <c r="A2127" s="321">
        <v>91</v>
      </c>
      <c r="B2127" s="295">
        <f t="shared" si="398"/>
        <v>79</v>
      </c>
      <c r="C2127" s="321">
        <v>4.4000000000000004</v>
      </c>
      <c r="D2127" s="321" t="s">
        <v>112</v>
      </c>
      <c r="E2127" s="321"/>
      <c r="F2127" s="316" t="str">
        <f t="shared" si="396"/>
        <v/>
      </c>
      <c r="G2127" s="321"/>
      <c r="H2127" s="321"/>
      <c r="I2127" s="315"/>
      <c r="J2127" s="316" t="str">
        <f t="shared" si="397"/>
        <v/>
      </c>
    </row>
    <row r="2128" spans="1:10" s="316" customFormat="1">
      <c r="A2128" s="321">
        <v>91</v>
      </c>
      <c r="B2128" s="295">
        <f t="shared" si="398"/>
        <v>79</v>
      </c>
      <c r="C2128" s="321">
        <v>4.5</v>
      </c>
      <c r="D2128" s="321" t="s">
        <v>112</v>
      </c>
      <c r="E2128" s="321"/>
      <c r="F2128" s="316" t="str">
        <f t="shared" si="396"/>
        <v/>
      </c>
      <c r="G2128" s="321"/>
      <c r="H2128" s="321"/>
      <c r="I2128" s="315"/>
      <c r="J2128" s="316" t="str">
        <f t="shared" si="397"/>
        <v/>
      </c>
    </row>
    <row r="2129" spans="1:10" s="316" customFormat="1">
      <c r="A2129" s="321">
        <v>91</v>
      </c>
      <c r="B2129" s="295">
        <f t="shared" si="398"/>
        <v>79</v>
      </c>
      <c r="C2129" s="321">
        <v>5.0999999999999996</v>
      </c>
      <c r="D2129" s="321" t="s">
        <v>113</v>
      </c>
      <c r="E2129" s="321"/>
      <c r="F2129" s="316" t="str">
        <f t="shared" si="396"/>
        <v/>
      </c>
      <c r="G2129" s="321"/>
      <c r="H2129" s="321"/>
      <c r="I2129" s="315"/>
      <c r="J2129" s="316" t="str">
        <f t="shared" si="397"/>
        <v/>
      </c>
    </row>
    <row r="2130" spans="1:10" s="316" customFormat="1">
      <c r="A2130" s="321">
        <v>91</v>
      </c>
      <c r="B2130" s="295">
        <f t="shared" si="398"/>
        <v>79</v>
      </c>
      <c r="C2130" s="321">
        <v>5.2</v>
      </c>
      <c r="D2130" s="321" t="s">
        <v>114</v>
      </c>
      <c r="E2130" s="321"/>
      <c r="F2130" s="316" t="str">
        <f t="shared" si="396"/>
        <v/>
      </c>
      <c r="G2130" s="321"/>
      <c r="H2130" s="321"/>
      <c r="I2130" s="315"/>
      <c r="J2130" s="316" t="str">
        <f t="shared" si="397"/>
        <v/>
      </c>
    </row>
    <row r="2131" spans="1:10" s="316" customFormat="1">
      <c r="A2131" s="321">
        <v>91</v>
      </c>
      <c r="B2131" s="295">
        <f t="shared" si="398"/>
        <v>79</v>
      </c>
      <c r="C2131" s="321">
        <v>5.3</v>
      </c>
      <c r="D2131" s="321" t="s">
        <v>112</v>
      </c>
      <c r="E2131" s="321"/>
      <c r="F2131" s="316" t="str">
        <f t="shared" si="396"/>
        <v/>
      </c>
      <c r="G2131" s="321"/>
      <c r="H2131" s="321"/>
      <c r="I2131" s="315"/>
      <c r="J2131" s="316" t="str">
        <f t="shared" si="397"/>
        <v/>
      </c>
    </row>
    <row r="2132" spans="1:10" s="316" customFormat="1">
      <c r="A2132" s="321">
        <v>91</v>
      </c>
      <c r="B2132" s="295">
        <f t="shared" si="398"/>
        <v>79</v>
      </c>
      <c r="C2132" s="321">
        <v>5.4</v>
      </c>
      <c r="D2132" s="321" t="s">
        <v>113</v>
      </c>
      <c r="E2132" s="321"/>
      <c r="F2132" s="316" t="str">
        <f t="shared" si="396"/>
        <v/>
      </c>
      <c r="G2132" s="321"/>
      <c r="H2132" s="321"/>
      <c r="I2132" s="315"/>
      <c r="J2132" s="316" t="str">
        <f t="shared" si="397"/>
        <v/>
      </c>
    </row>
    <row r="2133" spans="1:10" s="316" customFormat="1">
      <c r="A2133" s="321">
        <v>91</v>
      </c>
      <c r="B2133" s="295">
        <f t="shared" si="398"/>
        <v>79</v>
      </c>
      <c r="C2133" s="321">
        <v>5.5</v>
      </c>
      <c r="D2133" s="321" t="s">
        <v>114</v>
      </c>
      <c r="E2133" s="321"/>
      <c r="F2133" s="316" t="str">
        <f t="shared" si="396"/>
        <v/>
      </c>
      <c r="G2133" s="321"/>
      <c r="H2133" s="321"/>
      <c r="I2133" s="315"/>
      <c r="J2133" s="316" t="str">
        <f t="shared" si="397"/>
        <v/>
      </c>
    </row>
    <row r="2134" spans="1:10" s="316" customFormat="1">
      <c r="A2134" s="321">
        <v>91</v>
      </c>
      <c r="B2134" s="295">
        <f t="shared" si="398"/>
        <v>79</v>
      </c>
      <c r="C2134" s="321">
        <v>6.1</v>
      </c>
      <c r="D2134" s="321" t="s">
        <v>115</v>
      </c>
      <c r="E2134" s="321"/>
      <c r="F2134" s="316" t="str">
        <f t="shared" si="396"/>
        <v/>
      </c>
      <c r="G2134" s="321"/>
      <c r="H2134" s="321"/>
      <c r="I2134" s="315"/>
      <c r="J2134" s="316" t="str">
        <f t="shared" si="397"/>
        <v/>
      </c>
    </row>
    <row r="2135" spans="1:10" s="316" customFormat="1">
      <c r="A2135" s="321">
        <v>91</v>
      </c>
      <c r="B2135" s="295">
        <f t="shared" si="398"/>
        <v>79</v>
      </c>
      <c r="C2135" s="321">
        <v>6.2</v>
      </c>
      <c r="D2135" s="321" t="s">
        <v>115</v>
      </c>
      <c r="E2135" s="321"/>
      <c r="F2135" s="316" t="str">
        <f t="shared" si="396"/>
        <v/>
      </c>
      <c r="G2135" s="321"/>
      <c r="H2135" s="321"/>
      <c r="I2135" s="315"/>
      <c r="J2135" s="316" t="str">
        <f t="shared" si="397"/>
        <v/>
      </c>
    </row>
    <row r="2136" spans="1:10" s="316" customFormat="1">
      <c r="A2136" s="321">
        <v>91</v>
      </c>
      <c r="B2136" s="295">
        <f t="shared" si="398"/>
        <v>79</v>
      </c>
      <c r="C2136" s="321">
        <v>6.3</v>
      </c>
      <c r="D2136" s="321" t="s">
        <v>114</v>
      </c>
      <c r="E2136" s="321"/>
      <c r="F2136" s="316" t="str">
        <f t="shared" si="396"/>
        <v/>
      </c>
      <c r="G2136" s="321"/>
      <c r="H2136" s="321"/>
      <c r="I2136" s="315"/>
      <c r="J2136" s="316" t="str">
        <f t="shared" si="397"/>
        <v/>
      </c>
    </row>
    <row r="2137" spans="1:10" s="316" customFormat="1">
      <c r="A2137" s="321">
        <v>91</v>
      </c>
      <c r="B2137" s="295">
        <f t="shared" si="398"/>
        <v>79</v>
      </c>
      <c r="C2137" s="321">
        <v>6.4</v>
      </c>
      <c r="D2137" s="321" t="s">
        <v>112</v>
      </c>
      <c r="E2137" s="321"/>
      <c r="F2137" s="316" t="str">
        <f t="shared" si="396"/>
        <v/>
      </c>
      <c r="G2137" s="321"/>
      <c r="H2137" s="321"/>
      <c r="I2137" s="315"/>
      <c r="J2137" s="316" t="str">
        <f t="shared" si="397"/>
        <v/>
      </c>
    </row>
    <row r="2138" spans="1:10" s="316" customFormat="1">
      <c r="A2138" s="321">
        <v>91</v>
      </c>
      <c r="B2138" s="295">
        <f t="shared" si="398"/>
        <v>79</v>
      </c>
      <c r="C2138" s="321">
        <v>6.5</v>
      </c>
      <c r="D2138" s="321" t="s">
        <v>113</v>
      </c>
      <c r="E2138" s="321"/>
      <c r="F2138" s="316" t="str">
        <f t="shared" si="396"/>
        <v/>
      </c>
      <c r="G2138" s="321"/>
      <c r="H2138" s="321"/>
      <c r="I2138" s="315"/>
      <c r="J2138" s="316" t="str">
        <f t="shared" si="397"/>
        <v/>
      </c>
    </row>
    <row r="2139" spans="1:10" s="316" customFormat="1">
      <c r="A2139" s="321">
        <v>91</v>
      </c>
      <c r="B2139" s="295">
        <f t="shared" si="398"/>
        <v>79</v>
      </c>
      <c r="C2139" s="321">
        <v>7.1</v>
      </c>
      <c r="D2139" s="321" t="s">
        <v>114</v>
      </c>
      <c r="E2139" s="321"/>
      <c r="F2139" s="316" t="str">
        <f t="shared" si="396"/>
        <v/>
      </c>
      <c r="G2139" s="321"/>
      <c r="H2139" s="321"/>
      <c r="I2139" s="315"/>
      <c r="J2139" s="316" t="str">
        <f t="shared" si="397"/>
        <v/>
      </c>
    </row>
    <row r="2140" spans="1:10" s="316" customFormat="1">
      <c r="A2140" s="321">
        <v>91</v>
      </c>
      <c r="B2140" s="295">
        <f t="shared" si="398"/>
        <v>79</v>
      </c>
      <c r="C2140" s="321">
        <v>7.2</v>
      </c>
      <c r="D2140" s="321" t="s">
        <v>111</v>
      </c>
      <c r="E2140" s="321"/>
      <c r="F2140" s="316" t="str">
        <f t="shared" si="396"/>
        <v/>
      </c>
      <c r="G2140" s="321"/>
      <c r="H2140" s="321"/>
      <c r="I2140" s="315"/>
      <c r="J2140" s="316" t="str">
        <f t="shared" si="397"/>
        <v/>
      </c>
    </row>
    <row r="2141" spans="1:10" s="316" customFormat="1">
      <c r="A2141" s="321">
        <v>91</v>
      </c>
      <c r="B2141" s="295">
        <f t="shared" si="398"/>
        <v>79</v>
      </c>
      <c r="C2141" s="321">
        <v>7.3</v>
      </c>
      <c r="D2141" s="321" t="s">
        <v>113</v>
      </c>
      <c r="E2141" s="321">
        <v>31</v>
      </c>
      <c r="F2141" s="316">
        <f t="shared" si="396"/>
        <v>1.1481481481481481</v>
      </c>
      <c r="G2141" s="321">
        <v>9.3000000000000007</v>
      </c>
      <c r="H2141" s="321">
        <v>9.1999999999999993</v>
      </c>
      <c r="I2141" s="315">
        <f t="shared" ref="I2141" si="400">G2141*(H2141^2)*0.5</f>
        <v>393.57599999999996</v>
      </c>
      <c r="J2141" s="316">
        <f t="shared" si="397"/>
        <v>2.7545141513395484</v>
      </c>
    </row>
    <row r="2142" spans="1:10" s="316" customFormat="1">
      <c r="A2142" s="321">
        <v>91</v>
      </c>
      <c r="B2142" s="295">
        <f t="shared" si="398"/>
        <v>79</v>
      </c>
      <c r="C2142" s="321">
        <v>7.4</v>
      </c>
      <c r="D2142" s="321" t="s">
        <v>115</v>
      </c>
      <c r="E2142" s="321"/>
      <c r="F2142" s="316" t="str">
        <f t="shared" si="396"/>
        <v/>
      </c>
      <c r="G2142" s="321"/>
      <c r="H2142" s="321"/>
      <c r="I2142" s="315"/>
      <c r="J2142" s="316" t="str">
        <f t="shared" si="397"/>
        <v/>
      </c>
    </row>
    <row r="2143" spans="1:10" s="316" customFormat="1">
      <c r="A2143" s="321">
        <v>91</v>
      </c>
      <c r="B2143" s="295">
        <f t="shared" si="398"/>
        <v>79</v>
      </c>
      <c r="C2143" s="321">
        <v>7.5</v>
      </c>
      <c r="D2143" s="321" t="s">
        <v>111</v>
      </c>
      <c r="E2143" s="321"/>
      <c r="F2143" s="316" t="str">
        <f t="shared" si="396"/>
        <v/>
      </c>
      <c r="G2143" s="321"/>
      <c r="H2143" s="321"/>
      <c r="I2143" s="315"/>
      <c r="J2143" s="316" t="str">
        <f t="shared" si="397"/>
        <v/>
      </c>
    </row>
    <row r="2144" spans="1:10" s="316" customFormat="1">
      <c r="A2144" s="321">
        <v>94</v>
      </c>
      <c r="B2144" s="295">
        <f t="shared" si="398"/>
        <v>82</v>
      </c>
      <c r="C2144" s="321">
        <v>1.1000000000000001</v>
      </c>
      <c r="D2144" s="321" t="s">
        <v>112</v>
      </c>
      <c r="E2144" s="321"/>
      <c r="F2144" s="316" t="str">
        <f t="shared" si="396"/>
        <v/>
      </c>
      <c r="G2144" s="321"/>
      <c r="H2144" s="321"/>
      <c r="I2144" s="315"/>
      <c r="J2144" s="316" t="str">
        <f t="shared" si="397"/>
        <v/>
      </c>
    </row>
    <row r="2145" spans="1:10" s="316" customFormat="1">
      <c r="A2145" s="321">
        <v>94</v>
      </c>
      <c r="B2145" s="295">
        <f t="shared" si="398"/>
        <v>82</v>
      </c>
      <c r="C2145" s="321">
        <v>1.2</v>
      </c>
      <c r="D2145" s="321" t="s">
        <v>113</v>
      </c>
      <c r="E2145" s="321">
        <v>33</v>
      </c>
      <c r="F2145" s="316">
        <f t="shared" si="396"/>
        <v>1.2222222222222223</v>
      </c>
      <c r="G2145" s="321">
        <v>12.5</v>
      </c>
      <c r="H2145" s="321">
        <v>10.5</v>
      </c>
      <c r="I2145" s="315">
        <f t="shared" ref="I2145" si="401">G2145*(H2145^2)*0.5</f>
        <v>689.0625</v>
      </c>
      <c r="J2145" s="316">
        <f t="shared" si="397"/>
        <v>3.2937741842195201</v>
      </c>
    </row>
    <row r="2146" spans="1:10" s="316" customFormat="1">
      <c r="A2146" s="321">
        <v>94</v>
      </c>
      <c r="B2146" s="295">
        <f t="shared" si="398"/>
        <v>82</v>
      </c>
      <c r="C2146" s="321">
        <v>1.3</v>
      </c>
      <c r="D2146" s="321" t="s">
        <v>115</v>
      </c>
      <c r="E2146" s="321"/>
      <c r="F2146" s="316" t="str">
        <f t="shared" si="396"/>
        <v/>
      </c>
      <c r="G2146" s="321"/>
      <c r="H2146" s="321"/>
      <c r="I2146" s="315"/>
      <c r="J2146" s="316" t="str">
        <f t="shared" si="397"/>
        <v/>
      </c>
    </row>
    <row r="2147" spans="1:10" s="316" customFormat="1">
      <c r="A2147" s="321">
        <v>94</v>
      </c>
      <c r="B2147" s="295">
        <f t="shared" si="398"/>
        <v>82</v>
      </c>
      <c r="C2147" s="321">
        <v>1.4</v>
      </c>
      <c r="D2147" s="321" t="s">
        <v>115</v>
      </c>
      <c r="E2147" s="321"/>
      <c r="F2147" s="316" t="str">
        <f t="shared" si="396"/>
        <v/>
      </c>
      <c r="G2147" s="321"/>
      <c r="H2147" s="321"/>
      <c r="I2147" s="315"/>
      <c r="J2147" s="316" t="str">
        <f t="shared" si="397"/>
        <v/>
      </c>
    </row>
    <row r="2148" spans="1:10" s="316" customFormat="1">
      <c r="A2148" s="321">
        <v>94</v>
      </c>
      <c r="B2148" s="295">
        <f t="shared" si="398"/>
        <v>82</v>
      </c>
      <c r="C2148" s="321">
        <v>1.5</v>
      </c>
      <c r="D2148" s="321" t="s">
        <v>112</v>
      </c>
      <c r="E2148" s="321"/>
      <c r="F2148" s="316" t="str">
        <f t="shared" si="396"/>
        <v/>
      </c>
      <c r="G2148" s="321"/>
      <c r="H2148" s="321"/>
      <c r="I2148" s="315"/>
      <c r="J2148" s="316" t="str">
        <f t="shared" si="397"/>
        <v/>
      </c>
    </row>
    <row r="2149" spans="1:10" s="316" customFormat="1">
      <c r="A2149" s="321">
        <v>94</v>
      </c>
      <c r="B2149" s="295">
        <f t="shared" si="398"/>
        <v>82</v>
      </c>
      <c r="C2149" s="321">
        <v>2.1</v>
      </c>
      <c r="D2149" s="321" t="s">
        <v>114</v>
      </c>
      <c r="E2149" s="321"/>
      <c r="F2149" s="316" t="str">
        <f t="shared" si="396"/>
        <v/>
      </c>
      <c r="G2149" s="321"/>
      <c r="H2149" s="321"/>
      <c r="I2149" s="315"/>
      <c r="J2149" s="316" t="str">
        <f t="shared" si="397"/>
        <v/>
      </c>
    </row>
    <row r="2150" spans="1:10" s="316" customFormat="1">
      <c r="A2150" s="321">
        <v>94</v>
      </c>
      <c r="B2150" s="295">
        <f t="shared" si="398"/>
        <v>82</v>
      </c>
      <c r="C2150" s="321">
        <v>2.2000000000000002</v>
      </c>
      <c r="D2150" s="321" t="s">
        <v>115</v>
      </c>
      <c r="E2150" s="321"/>
      <c r="F2150" s="316" t="str">
        <f t="shared" si="396"/>
        <v/>
      </c>
      <c r="G2150" s="321"/>
      <c r="H2150" s="321"/>
      <c r="I2150" s="315"/>
      <c r="J2150" s="316" t="str">
        <f t="shared" si="397"/>
        <v/>
      </c>
    </row>
    <row r="2151" spans="1:10" s="316" customFormat="1">
      <c r="A2151" s="321">
        <v>94</v>
      </c>
      <c r="B2151" s="295">
        <f t="shared" si="398"/>
        <v>82</v>
      </c>
      <c r="C2151" s="321">
        <v>2.2999999999999998</v>
      </c>
      <c r="D2151" s="321" t="s">
        <v>112</v>
      </c>
      <c r="E2151" s="321"/>
      <c r="F2151" s="316" t="str">
        <f t="shared" si="396"/>
        <v/>
      </c>
      <c r="G2151" s="321"/>
      <c r="H2151" s="321"/>
      <c r="I2151" s="315"/>
      <c r="J2151" s="316" t="str">
        <f t="shared" si="397"/>
        <v/>
      </c>
    </row>
    <row r="2152" spans="1:10" s="316" customFormat="1">
      <c r="A2152" s="321">
        <v>94</v>
      </c>
      <c r="B2152" s="295">
        <f t="shared" si="398"/>
        <v>82</v>
      </c>
      <c r="C2152" s="321">
        <v>2.4</v>
      </c>
      <c r="D2152" s="321" t="s">
        <v>114</v>
      </c>
      <c r="E2152" s="321"/>
      <c r="F2152" s="316" t="str">
        <f t="shared" si="396"/>
        <v/>
      </c>
      <c r="G2152" s="321"/>
      <c r="H2152" s="321"/>
      <c r="I2152" s="315"/>
      <c r="J2152" s="316" t="str">
        <f t="shared" si="397"/>
        <v/>
      </c>
    </row>
    <row r="2153" spans="1:10" s="316" customFormat="1">
      <c r="A2153" s="321">
        <v>94</v>
      </c>
      <c r="B2153" s="295">
        <f t="shared" si="398"/>
        <v>82</v>
      </c>
      <c r="C2153" s="321">
        <v>2.5</v>
      </c>
      <c r="D2153" s="321" t="s">
        <v>113</v>
      </c>
      <c r="E2153" s="321">
        <v>32</v>
      </c>
      <c r="F2153" s="316">
        <f t="shared" si="396"/>
        <v>1.1851851851851851</v>
      </c>
      <c r="G2153" s="321">
        <v>14.4</v>
      </c>
      <c r="H2153" s="321">
        <v>13.2</v>
      </c>
      <c r="I2153" s="315">
        <f t="shared" ref="I2153" si="402">G2153*(H2153^2)*0.5</f>
        <v>1254.5279999999998</v>
      </c>
      <c r="J2153" s="316">
        <f t="shared" si="397"/>
        <v>7.3543984711165296</v>
      </c>
    </row>
    <row r="2154" spans="1:10" s="316" customFormat="1">
      <c r="A2154" s="321">
        <v>94</v>
      </c>
      <c r="B2154" s="295">
        <f t="shared" si="398"/>
        <v>82</v>
      </c>
      <c r="C2154" s="321">
        <v>3.1</v>
      </c>
      <c r="D2154" s="321" t="s">
        <v>115</v>
      </c>
      <c r="E2154" s="321"/>
      <c r="F2154" s="316" t="str">
        <f t="shared" si="396"/>
        <v/>
      </c>
      <c r="G2154" s="321"/>
      <c r="H2154" s="321"/>
      <c r="I2154" s="315"/>
      <c r="J2154" s="316" t="str">
        <f t="shared" si="397"/>
        <v/>
      </c>
    </row>
    <row r="2155" spans="1:10" s="316" customFormat="1">
      <c r="A2155" s="321">
        <v>94</v>
      </c>
      <c r="B2155" s="295">
        <f t="shared" si="398"/>
        <v>82</v>
      </c>
      <c r="C2155" s="321">
        <v>3.2</v>
      </c>
      <c r="D2155" s="321" t="s">
        <v>113</v>
      </c>
      <c r="E2155" s="321"/>
      <c r="F2155" s="316" t="str">
        <f t="shared" si="396"/>
        <v/>
      </c>
      <c r="G2155" s="321"/>
      <c r="H2155" s="321"/>
      <c r="I2155" s="315"/>
      <c r="J2155" s="316" t="str">
        <f t="shared" si="397"/>
        <v/>
      </c>
    </row>
    <row r="2156" spans="1:10" s="316" customFormat="1">
      <c r="A2156" s="321">
        <v>94</v>
      </c>
      <c r="B2156" s="295">
        <f t="shared" si="398"/>
        <v>82</v>
      </c>
      <c r="C2156" s="321">
        <v>3.3</v>
      </c>
      <c r="D2156" s="321" t="s">
        <v>114</v>
      </c>
      <c r="E2156" s="321"/>
      <c r="F2156" s="316" t="str">
        <f t="shared" si="396"/>
        <v/>
      </c>
      <c r="G2156" s="321"/>
      <c r="H2156" s="321"/>
      <c r="I2156" s="315"/>
      <c r="J2156" s="316" t="str">
        <f t="shared" si="397"/>
        <v/>
      </c>
    </row>
    <row r="2157" spans="1:10" s="316" customFormat="1">
      <c r="A2157" s="321">
        <v>94</v>
      </c>
      <c r="B2157" s="295">
        <f t="shared" si="398"/>
        <v>82</v>
      </c>
      <c r="C2157" s="321">
        <v>3.4</v>
      </c>
      <c r="D2157" s="321" t="s">
        <v>114</v>
      </c>
      <c r="E2157" s="321"/>
      <c r="F2157" s="316" t="str">
        <f t="shared" si="396"/>
        <v/>
      </c>
      <c r="G2157" s="321"/>
      <c r="H2157" s="321"/>
      <c r="I2157" s="315"/>
      <c r="J2157" s="316" t="str">
        <f t="shared" si="397"/>
        <v/>
      </c>
    </row>
    <row r="2158" spans="1:10" s="316" customFormat="1">
      <c r="A2158" s="321">
        <v>94</v>
      </c>
      <c r="B2158" s="295">
        <f t="shared" si="398"/>
        <v>82</v>
      </c>
      <c r="C2158" s="321">
        <v>3.5</v>
      </c>
      <c r="D2158" s="321" t="s">
        <v>115</v>
      </c>
      <c r="E2158" s="321"/>
      <c r="F2158" s="316" t="str">
        <f t="shared" si="396"/>
        <v/>
      </c>
      <c r="G2158" s="321"/>
      <c r="H2158" s="321"/>
      <c r="I2158" s="315"/>
      <c r="J2158" s="316" t="str">
        <f t="shared" si="397"/>
        <v/>
      </c>
    </row>
    <row r="2159" spans="1:10" s="316" customFormat="1">
      <c r="A2159" s="321">
        <v>94</v>
      </c>
      <c r="B2159" s="295">
        <f t="shared" si="398"/>
        <v>82</v>
      </c>
      <c r="C2159" s="321">
        <v>4.0999999999999996</v>
      </c>
      <c r="D2159" s="321" t="s">
        <v>111</v>
      </c>
      <c r="E2159" s="321"/>
      <c r="F2159" s="316" t="str">
        <f t="shared" si="396"/>
        <v/>
      </c>
      <c r="G2159" s="321"/>
      <c r="H2159" s="321"/>
      <c r="I2159" s="315"/>
      <c r="J2159" s="316" t="str">
        <f t="shared" si="397"/>
        <v/>
      </c>
    </row>
    <row r="2160" spans="1:10" s="316" customFormat="1">
      <c r="A2160" s="321">
        <v>94</v>
      </c>
      <c r="B2160" s="295">
        <f t="shared" si="398"/>
        <v>82</v>
      </c>
      <c r="C2160" s="321">
        <v>4.2</v>
      </c>
      <c r="D2160" s="321" t="s">
        <v>112</v>
      </c>
      <c r="E2160" s="321"/>
      <c r="F2160" s="316" t="str">
        <f t="shared" si="396"/>
        <v/>
      </c>
      <c r="G2160" s="321"/>
      <c r="H2160" s="321"/>
      <c r="I2160" s="315"/>
      <c r="J2160" s="316" t="str">
        <f t="shared" si="397"/>
        <v/>
      </c>
    </row>
    <row r="2161" spans="1:10" s="316" customFormat="1">
      <c r="A2161" s="321">
        <v>94</v>
      </c>
      <c r="B2161" s="295">
        <f t="shared" si="398"/>
        <v>82</v>
      </c>
      <c r="C2161" s="321">
        <v>4.3</v>
      </c>
      <c r="D2161" s="321" t="s">
        <v>113</v>
      </c>
      <c r="E2161" s="321">
        <v>32</v>
      </c>
      <c r="F2161" s="316">
        <f t="shared" si="396"/>
        <v>1.2307692307692308</v>
      </c>
      <c r="G2161" s="321">
        <v>14.8</v>
      </c>
      <c r="H2161" s="321">
        <v>13.9</v>
      </c>
      <c r="I2161" s="315">
        <f t="shared" ref="I2161" si="403">G2161*(H2161^2)*0.5</f>
        <v>1429.7540000000001</v>
      </c>
      <c r="J2161" s="316">
        <f t="shared" si="397"/>
        <v>10.266501034007353</v>
      </c>
    </row>
    <row r="2162" spans="1:10" s="316" customFormat="1">
      <c r="A2162" s="321">
        <v>94</v>
      </c>
      <c r="B2162" s="295">
        <f t="shared" si="398"/>
        <v>82</v>
      </c>
      <c r="C2162" s="321">
        <v>4.4000000000000004</v>
      </c>
      <c r="D2162" s="321" t="s">
        <v>112</v>
      </c>
      <c r="E2162" s="321"/>
      <c r="F2162" s="316" t="str">
        <f t="shared" si="396"/>
        <v/>
      </c>
      <c r="G2162" s="321"/>
      <c r="H2162" s="321"/>
      <c r="I2162" s="315"/>
      <c r="J2162" s="316" t="str">
        <f t="shared" si="397"/>
        <v/>
      </c>
    </row>
    <row r="2163" spans="1:10" s="316" customFormat="1">
      <c r="A2163" s="321">
        <v>94</v>
      </c>
      <c r="B2163" s="295">
        <f t="shared" si="398"/>
        <v>82</v>
      </c>
      <c r="C2163" s="321">
        <v>4.5</v>
      </c>
      <c r="D2163" s="321" t="s">
        <v>112</v>
      </c>
      <c r="E2163" s="321"/>
      <c r="F2163" s="316" t="str">
        <f t="shared" si="396"/>
        <v/>
      </c>
      <c r="G2163" s="321"/>
      <c r="H2163" s="321"/>
      <c r="I2163" s="315"/>
      <c r="J2163" s="316" t="str">
        <f t="shared" si="397"/>
        <v/>
      </c>
    </row>
    <row r="2164" spans="1:10" s="316" customFormat="1">
      <c r="A2164" s="321">
        <v>94</v>
      </c>
      <c r="B2164" s="295">
        <f t="shared" si="398"/>
        <v>82</v>
      </c>
      <c r="C2164" s="321">
        <v>5.0999999999999996</v>
      </c>
      <c r="D2164" s="321" t="s">
        <v>113</v>
      </c>
      <c r="E2164" s="321"/>
      <c r="F2164" s="316" t="str">
        <f t="shared" si="396"/>
        <v/>
      </c>
      <c r="G2164" s="321"/>
      <c r="H2164" s="321"/>
      <c r="I2164" s="315"/>
      <c r="J2164" s="316" t="str">
        <f t="shared" si="397"/>
        <v/>
      </c>
    </row>
    <row r="2165" spans="1:10" s="316" customFormat="1">
      <c r="A2165" s="321">
        <v>94</v>
      </c>
      <c r="B2165" s="295">
        <f t="shared" si="398"/>
        <v>82</v>
      </c>
      <c r="C2165" s="321">
        <v>5.2</v>
      </c>
      <c r="D2165" s="321" t="s">
        <v>114</v>
      </c>
      <c r="E2165" s="321"/>
      <c r="F2165" s="316" t="str">
        <f t="shared" si="396"/>
        <v/>
      </c>
      <c r="G2165" s="321"/>
      <c r="H2165" s="321"/>
      <c r="I2165" s="315"/>
      <c r="J2165" s="316" t="str">
        <f t="shared" si="397"/>
        <v/>
      </c>
    </row>
    <row r="2166" spans="1:10" s="316" customFormat="1">
      <c r="A2166" s="321">
        <v>94</v>
      </c>
      <c r="B2166" s="295">
        <f t="shared" si="398"/>
        <v>82</v>
      </c>
      <c r="C2166" s="321">
        <v>5.3</v>
      </c>
      <c r="D2166" s="321" t="s">
        <v>112</v>
      </c>
      <c r="E2166" s="321"/>
      <c r="F2166" s="316" t="str">
        <f t="shared" si="396"/>
        <v/>
      </c>
      <c r="G2166" s="321"/>
      <c r="H2166" s="321"/>
      <c r="I2166" s="315"/>
      <c r="J2166" s="316" t="str">
        <f t="shared" si="397"/>
        <v/>
      </c>
    </row>
    <row r="2167" spans="1:10" s="316" customFormat="1">
      <c r="A2167" s="321">
        <v>94</v>
      </c>
      <c r="B2167" s="295">
        <f t="shared" si="398"/>
        <v>82</v>
      </c>
      <c r="C2167" s="321">
        <v>5.4</v>
      </c>
      <c r="D2167" s="321" t="s">
        <v>113</v>
      </c>
      <c r="E2167" s="321"/>
      <c r="F2167" s="316" t="str">
        <f t="shared" si="396"/>
        <v/>
      </c>
      <c r="G2167" s="321"/>
      <c r="H2167" s="321"/>
      <c r="I2167" s="315"/>
      <c r="J2167" s="316" t="str">
        <f t="shared" si="397"/>
        <v/>
      </c>
    </row>
    <row r="2168" spans="1:10" s="316" customFormat="1">
      <c r="A2168" s="321">
        <v>94</v>
      </c>
      <c r="B2168" s="295">
        <f t="shared" si="398"/>
        <v>82</v>
      </c>
      <c r="C2168" s="321">
        <v>5.5</v>
      </c>
      <c r="D2168" s="321" t="s">
        <v>114</v>
      </c>
      <c r="E2168" s="321"/>
      <c r="F2168" s="316" t="str">
        <f t="shared" si="396"/>
        <v/>
      </c>
      <c r="G2168" s="321"/>
      <c r="H2168" s="321"/>
      <c r="I2168" s="315"/>
      <c r="J2168" s="316" t="str">
        <f t="shared" si="397"/>
        <v/>
      </c>
    </row>
    <row r="2169" spans="1:10" s="316" customFormat="1">
      <c r="A2169" s="321">
        <v>94</v>
      </c>
      <c r="B2169" s="295">
        <f t="shared" si="398"/>
        <v>82</v>
      </c>
      <c r="C2169" s="321">
        <v>6.1</v>
      </c>
      <c r="D2169" s="321" t="s">
        <v>115</v>
      </c>
      <c r="E2169" s="321"/>
      <c r="F2169" s="316" t="str">
        <f t="shared" si="396"/>
        <v/>
      </c>
      <c r="G2169" s="321"/>
      <c r="H2169" s="321"/>
      <c r="I2169" s="315"/>
      <c r="J2169" s="316" t="str">
        <f t="shared" si="397"/>
        <v/>
      </c>
    </row>
    <row r="2170" spans="1:10" s="316" customFormat="1">
      <c r="A2170" s="321">
        <v>94</v>
      </c>
      <c r="B2170" s="295">
        <f t="shared" si="398"/>
        <v>82</v>
      </c>
      <c r="C2170" s="321">
        <v>6.2</v>
      </c>
      <c r="D2170" s="321" t="s">
        <v>115</v>
      </c>
      <c r="E2170" s="321"/>
      <c r="F2170" s="316" t="str">
        <f t="shared" si="396"/>
        <v/>
      </c>
      <c r="G2170" s="321"/>
      <c r="H2170" s="321"/>
      <c r="I2170" s="315"/>
      <c r="J2170" s="316" t="str">
        <f t="shared" si="397"/>
        <v/>
      </c>
    </row>
    <row r="2171" spans="1:10" s="316" customFormat="1">
      <c r="A2171" s="321">
        <v>94</v>
      </c>
      <c r="B2171" s="295">
        <f t="shared" si="398"/>
        <v>82</v>
      </c>
      <c r="C2171" s="321">
        <v>6.3</v>
      </c>
      <c r="D2171" s="321" t="s">
        <v>114</v>
      </c>
      <c r="E2171" s="321"/>
      <c r="F2171" s="316" t="str">
        <f t="shared" si="396"/>
        <v/>
      </c>
      <c r="G2171" s="321"/>
      <c r="H2171" s="321"/>
      <c r="I2171" s="315"/>
      <c r="J2171" s="316" t="str">
        <f t="shared" si="397"/>
        <v/>
      </c>
    </row>
    <row r="2172" spans="1:10" s="316" customFormat="1">
      <c r="A2172" s="321">
        <v>94</v>
      </c>
      <c r="B2172" s="295">
        <f t="shared" si="398"/>
        <v>82</v>
      </c>
      <c r="C2172" s="321">
        <v>6.4</v>
      </c>
      <c r="D2172" s="321" t="s">
        <v>112</v>
      </c>
      <c r="E2172" s="321"/>
      <c r="F2172" s="316" t="str">
        <f t="shared" si="396"/>
        <v/>
      </c>
      <c r="G2172" s="321"/>
      <c r="H2172" s="321"/>
      <c r="I2172" s="315"/>
      <c r="J2172" s="316" t="str">
        <f t="shared" si="397"/>
        <v/>
      </c>
    </row>
    <row r="2173" spans="1:10" s="316" customFormat="1">
      <c r="A2173" s="321">
        <v>94</v>
      </c>
      <c r="B2173" s="295">
        <f t="shared" si="398"/>
        <v>82</v>
      </c>
      <c r="C2173" s="321">
        <v>6.5</v>
      </c>
      <c r="D2173" s="321" t="s">
        <v>113</v>
      </c>
      <c r="E2173" s="321"/>
      <c r="F2173" s="316" t="str">
        <f t="shared" si="396"/>
        <v/>
      </c>
      <c r="G2173" s="321"/>
      <c r="H2173" s="321"/>
      <c r="I2173" s="315"/>
      <c r="J2173" s="316" t="str">
        <f t="shared" si="397"/>
        <v/>
      </c>
    </row>
    <row r="2174" spans="1:10" s="316" customFormat="1">
      <c r="A2174" s="321">
        <v>94</v>
      </c>
      <c r="B2174" s="295">
        <f t="shared" si="398"/>
        <v>82</v>
      </c>
      <c r="C2174" s="321">
        <v>7.1</v>
      </c>
      <c r="D2174" s="321" t="s">
        <v>114</v>
      </c>
      <c r="E2174" s="321"/>
      <c r="F2174" s="316" t="str">
        <f t="shared" si="396"/>
        <v/>
      </c>
      <c r="G2174" s="321"/>
      <c r="H2174" s="321"/>
      <c r="I2174" s="315"/>
      <c r="J2174" s="316" t="str">
        <f t="shared" si="397"/>
        <v/>
      </c>
    </row>
    <row r="2175" spans="1:10" s="316" customFormat="1">
      <c r="A2175" s="321">
        <v>94</v>
      </c>
      <c r="B2175" s="295">
        <f t="shared" si="398"/>
        <v>82</v>
      </c>
      <c r="C2175" s="321">
        <v>7.2</v>
      </c>
      <c r="D2175" s="321" t="s">
        <v>111</v>
      </c>
      <c r="E2175" s="321"/>
      <c r="F2175" s="316" t="str">
        <f t="shared" si="396"/>
        <v/>
      </c>
      <c r="G2175" s="321"/>
      <c r="H2175" s="321"/>
      <c r="I2175" s="315"/>
      <c r="J2175" s="316" t="str">
        <f t="shared" si="397"/>
        <v/>
      </c>
    </row>
    <row r="2176" spans="1:10" s="316" customFormat="1">
      <c r="A2176" s="321">
        <v>94</v>
      </c>
      <c r="B2176" s="295">
        <f t="shared" si="398"/>
        <v>82</v>
      </c>
      <c r="C2176" s="321">
        <v>7.3</v>
      </c>
      <c r="D2176" s="321" t="s">
        <v>113</v>
      </c>
      <c r="E2176" s="321">
        <v>31</v>
      </c>
      <c r="F2176" s="316">
        <f t="shared" si="396"/>
        <v>1.1481481481481481</v>
      </c>
      <c r="G2176" s="321">
        <v>9.8000000000000007</v>
      </c>
      <c r="H2176" s="321">
        <v>9.1</v>
      </c>
      <c r="I2176" s="315">
        <f t="shared" ref="I2176" si="404">G2176*(H2176^2)*0.5</f>
        <v>405.76899999999995</v>
      </c>
      <c r="J2176" s="316">
        <f t="shared" si="397"/>
        <v>2.8398491083676269</v>
      </c>
    </row>
    <row r="2177" spans="1:11" s="316" customFormat="1">
      <c r="A2177" s="321">
        <v>94</v>
      </c>
      <c r="B2177" s="295">
        <f t="shared" si="398"/>
        <v>82</v>
      </c>
      <c r="C2177" s="321">
        <v>7.4</v>
      </c>
      <c r="D2177" s="321" t="s">
        <v>115</v>
      </c>
      <c r="E2177" s="321"/>
      <c r="F2177" s="316" t="str">
        <f t="shared" si="396"/>
        <v/>
      </c>
      <c r="G2177" s="321"/>
      <c r="H2177" s="321"/>
      <c r="I2177" s="315"/>
      <c r="J2177" s="316" t="str">
        <f t="shared" si="397"/>
        <v/>
      </c>
    </row>
    <row r="2178" spans="1:11" s="316" customFormat="1">
      <c r="A2178" s="321">
        <v>94</v>
      </c>
      <c r="B2178" s="295">
        <f t="shared" si="398"/>
        <v>82</v>
      </c>
      <c r="C2178" s="321">
        <v>7.5</v>
      </c>
      <c r="D2178" s="321" t="s">
        <v>111</v>
      </c>
      <c r="E2178" s="321"/>
      <c r="F2178" s="316" t="str">
        <f t="shared" si="396"/>
        <v/>
      </c>
      <c r="G2178" s="321"/>
      <c r="H2178" s="321"/>
      <c r="I2178" s="315"/>
      <c r="J2178" s="316" t="str">
        <f t="shared" si="397"/>
        <v/>
      </c>
    </row>
    <row r="2179" spans="1:11" s="316" customFormat="1">
      <c r="A2179" s="321">
        <v>96</v>
      </c>
      <c r="B2179" s="295">
        <f t="shared" si="398"/>
        <v>84</v>
      </c>
      <c r="C2179" s="321">
        <v>1.1000000000000001</v>
      </c>
      <c r="D2179" s="321" t="s">
        <v>112</v>
      </c>
      <c r="E2179" s="321"/>
      <c r="F2179" s="316" t="str">
        <f t="shared" si="396"/>
        <v/>
      </c>
      <c r="G2179" s="321"/>
      <c r="H2179" s="321"/>
      <c r="I2179" s="315"/>
      <c r="J2179" s="316" t="str">
        <f t="shared" si="397"/>
        <v/>
      </c>
    </row>
    <row r="2180" spans="1:11">
      <c r="A2180" s="321">
        <v>96</v>
      </c>
      <c r="B2180" s="295">
        <f t="shared" si="398"/>
        <v>84</v>
      </c>
      <c r="C2180" s="321">
        <v>1.2</v>
      </c>
      <c r="D2180" s="321" t="s">
        <v>113</v>
      </c>
      <c r="E2180" s="321">
        <v>33</v>
      </c>
      <c r="F2180" s="316">
        <f t="shared" si="396"/>
        <v>1.2222222222222223</v>
      </c>
      <c r="G2180" s="321">
        <v>11.4</v>
      </c>
      <c r="H2180" s="321">
        <v>10.9</v>
      </c>
      <c r="I2180" s="315">
        <f t="shared" ref="I2180" si="405">G2180*(H2180^2)*0.5</f>
        <v>677.21699999999998</v>
      </c>
      <c r="J2180" s="316">
        <f t="shared" si="397"/>
        <v>3.2371517412638053</v>
      </c>
    </row>
    <row r="2181" spans="1:11">
      <c r="A2181" s="321">
        <v>96</v>
      </c>
      <c r="B2181" s="295">
        <f t="shared" si="398"/>
        <v>84</v>
      </c>
      <c r="C2181" s="321">
        <v>1.3</v>
      </c>
      <c r="D2181" s="321" t="s">
        <v>115</v>
      </c>
      <c r="E2181" s="321"/>
      <c r="F2181" s="316" t="str">
        <f t="shared" si="396"/>
        <v/>
      </c>
      <c r="G2181" s="321"/>
      <c r="H2181" s="321"/>
      <c r="J2181" s="316" t="str">
        <f t="shared" si="397"/>
        <v/>
      </c>
    </row>
    <row r="2182" spans="1:11">
      <c r="A2182" s="321">
        <v>96</v>
      </c>
      <c r="B2182" s="295">
        <f t="shared" si="398"/>
        <v>84</v>
      </c>
      <c r="C2182" s="321">
        <v>1.4</v>
      </c>
      <c r="D2182" s="321" t="s">
        <v>115</v>
      </c>
      <c r="E2182" s="321"/>
      <c r="F2182" s="316" t="str">
        <f t="shared" si="396"/>
        <v/>
      </c>
      <c r="G2182" s="321"/>
      <c r="H2182" s="321"/>
      <c r="J2182" s="316" t="str">
        <f t="shared" si="397"/>
        <v/>
      </c>
    </row>
    <row r="2183" spans="1:11">
      <c r="A2183" s="321">
        <v>96</v>
      </c>
      <c r="B2183" s="295">
        <f t="shared" si="398"/>
        <v>84</v>
      </c>
      <c r="C2183" s="321">
        <v>1.5</v>
      </c>
      <c r="D2183" s="321" t="s">
        <v>112</v>
      </c>
      <c r="E2183" s="321"/>
      <c r="F2183" s="316" t="str">
        <f t="shared" si="396"/>
        <v/>
      </c>
      <c r="G2183" s="321"/>
      <c r="H2183" s="321"/>
      <c r="J2183" s="316" t="str">
        <f t="shared" si="397"/>
        <v/>
      </c>
    </row>
    <row r="2184" spans="1:11">
      <c r="A2184" s="321">
        <v>96</v>
      </c>
      <c r="B2184" s="295">
        <f t="shared" si="398"/>
        <v>84</v>
      </c>
      <c r="C2184" s="321">
        <v>2.1</v>
      </c>
      <c r="D2184" s="321" t="s">
        <v>114</v>
      </c>
      <c r="E2184" s="321"/>
      <c r="F2184" s="316" t="str">
        <f t="shared" si="396"/>
        <v/>
      </c>
      <c r="G2184" s="321"/>
      <c r="H2184" s="321"/>
      <c r="J2184" s="316" t="str">
        <f t="shared" si="397"/>
        <v/>
      </c>
    </row>
    <row r="2185" spans="1:11">
      <c r="A2185" s="321">
        <v>96</v>
      </c>
      <c r="B2185" s="295">
        <f t="shared" si="398"/>
        <v>84</v>
      </c>
      <c r="C2185" s="321">
        <v>2.2000000000000002</v>
      </c>
      <c r="D2185" s="321" t="s">
        <v>115</v>
      </c>
      <c r="E2185" s="321"/>
      <c r="F2185" s="316" t="str">
        <f t="shared" ref="F2185:F2248" si="406">IF(ISBLANK(E2185),"",E2185/SUMIFS(E:E,C:C,C2185,B:B,"0"))</f>
        <v/>
      </c>
      <c r="G2185" s="321"/>
      <c r="H2185" s="321"/>
      <c r="J2185" s="316" t="str">
        <f t="shared" ref="J2185:J2248" si="407">IF(ISBLANK(I2185),"",I2185/SUMIFS(I:I,C:C,C2185,B:B,"0"))</f>
        <v/>
      </c>
    </row>
    <row r="2186" spans="1:11">
      <c r="A2186" s="321">
        <v>96</v>
      </c>
      <c r="B2186" s="295">
        <f t="shared" ref="B2186:B2249" si="408">A2186-12</f>
        <v>84</v>
      </c>
      <c r="C2186" s="321">
        <v>2.2999999999999998</v>
      </c>
      <c r="D2186" s="321" t="s">
        <v>112</v>
      </c>
      <c r="E2186" s="321"/>
      <c r="F2186" s="316" t="str">
        <f t="shared" si="406"/>
        <v/>
      </c>
      <c r="G2186" s="321"/>
      <c r="H2186" s="321"/>
      <c r="J2186" s="316" t="str">
        <f t="shared" si="407"/>
        <v/>
      </c>
    </row>
    <row r="2187" spans="1:11">
      <c r="A2187" s="321">
        <v>96</v>
      </c>
      <c r="B2187" s="295">
        <f t="shared" si="408"/>
        <v>84</v>
      </c>
      <c r="C2187" s="321">
        <v>2.4</v>
      </c>
      <c r="D2187" s="321" t="s">
        <v>114</v>
      </c>
      <c r="E2187" s="321"/>
      <c r="F2187" s="316" t="str">
        <f t="shared" si="406"/>
        <v/>
      </c>
      <c r="G2187" s="321"/>
      <c r="H2187" s="321"/>
      <c r="J2187" s="316" t="str">
        <f t="shared" si="407"/>
        <v/>
      </c>
    </row>
    <row r="2188" spans="1:11">
      <c r="A2188" s="321">
        <v>96</v>
      </c>
      <c r="B2188" s="295">
        <f t="shared" si="408"/>
        <v>84</v>
      </c>
      <c r="C2188" s="321">
        <v>2.5</v>
      </c>
      <c r="D2188" s="321" t="s">
        <v>113</v>
      </c>
      <c r="E2188" s="321">
        <v>33</v>
      </c>
      <c r="F2188" s="316">
        <f t="shared" si="406"/>
        <v>1.2222222222222223</v>
      </c>
      <c r="G2188" s="321">
        <v>16.600000000000001</v>
      </c>
      <c r="H2188" s="321">
        <v>14.3</v>
      </c>
      <c r="I2188" s="315">
        <f t="shared" ref="I2188" si="409">G2188*(H2188^2)*0.5</f>
        <v>1697.2670000000003</v>
      </c>
      <c r="J2188" s="316">
        <f t="shared" si="407"/>
        <v>9.949859891430517</v>
      </c>
      <c r="K2188" s="316" t="s">
        <v>172</v>
      </c>
    </row>
    <row r="2189" spans="1:11">
      <c r="A2189" s="321">
        <v>96</v>
      </c>
      <c r="B2189" s="295">
        <f t="shared" si="408"/>
        <v>84</v>
      </c>
      <c r="C2189" s="321">
        <v>3.1</v>
      </c>
      <c r="D2189" s="321" t="s">
        <v>115</v>
      </c>
      <c r="E2189" s="321"/>
      <c r="F2189" s="316" t="str">
        <f t="shared" si="406"/>
        <v/>
      </c>
      <c r="G2189" s="321"/>
      <c r="H2189" s="321"/>
      <c r="J2189" s="316" t="str">
        <f t="shared" si="407"/>
        <v/>
      </c>
    </row>
    <row r="2190" spans="1:11">
      <c r="A2190" s="321">
        <v>96</v>
      </c>
      <c r="B2190" s="295">
        <f t="shared" si="408"/>
        <v>84</v>
      </c>
      <c r="C2190" s="321">
        <v>3.2</v>
      </c>
      <c r="D2190" s="321" t="s">
        <v>113</v>
      </c>
      <c r="E2190" s="321"/>
      <c r="F2190" s="316" t="str">
        <f t="shared" si="406"/>
        <v/>
      </c>
      <c r="G2190" s="321"/>
      <c r="H2190" s="321"/>
      <c r="J2190" s="316" t="str">
        <f t="shared" si="407"/>
        <v/>
      </c>
    </row>
    <row r="2191" spans="1:11">
      <c r="A2191" s="321">
        <v>96</v>
      </c>
      <c r="B2191" s="295">
        <f t="shared" si="408"/>
        <v>84</v>
      </c>
      <c r="C2191" s="321">
        <v>3.3</v>
      </c>
      <c r="D2191" s="321" t="s">
        <v>114</v>
      </c>
      <c r="E2191" s="321"/>
      <c r="F2191" s="316" t="str">
        <f t="shared" si="406"/>
        <v/>
      </c>
      <c r="G2191" s="321"/>
      <c r="H2191" s="321"/>
      <c r="J2191" s="316" t="str">
        <f t="shared" si="407"/>
        <v/>
      </c>
    </row>
    <row r="2192" spans="1:11">
      <c r="A2192" s="321">
        <v>96</v>
      </c>
      <c r="B2192" s="295">
        <f t="shared" si="408"/>
        <v>84</v>
      </c>
      <c r="C2192" s="321">
        <v>3.4</v>
      </c>
      <c r="D2192" s="321" t="s">
        <v>114</v>
      </c>
      <c r="E2192" s="321"/>
      <c r="F2192" s="316" t="str">
        <f t="shared" si="406"/>
        <v/>
      </c>
      <c r="G2192" s="321"/>
      <c r="H2192" s="321"/>
      <c r="J2192" s="316" t="str">
        <f t="shared" si="407"/>
        <v/>
      </c>
    </row>
    <row r="2193" spans="1:10">
      <c r="A2193" s="321">
        <v>96</v>
      </c>
      <c r="B2193" s="295">
        <f t="shared" si="408"/>
        <v>84</v>
      </c>
      <c r="C2193" s="321">
        <v>3.5</v>
      </c>
      <c r="D2193" s="321" t="s">
        <v>115</v>
      </c>
      <c r="E2193" s="321"/>
      <c r="F2193" s="316" t="str">
        <f t="shared" si="406"/>
        <v/>
      </c>
      <c r="G2193" s="321"/>
      <c r="H2193" s="321"/>
      <c r="J2193" s="316" t="str">
        <f t="shared" si="407"/>
        <v/>
      </c>
    </row>
    <row r="2194" spans="1:10">
      <c r="A2194" s="321">
        <v>96</v>
      </c>
      <c r="B2194" s="295">
        <f t="shared" si="408"/>
        <v>84</v>
      </c>
      <c r="C2194" s="321">
        <v>4.0999999999999996</v>
      </c>
      <c r="D2194" s="321" t="s">
        <v>111</v>
      </c>
      <c r="E2194" s="321"/>
      <c r="F2194" s="316" t="str">
        <f t="shared" si="406"/>
        <v/>
      </c>
      <c r="G2194" s="321"/>
      <c r="H2194" s="321"/>
      <c r="J2194" s="316" t="str">
        <f t="shared" si="407"/>
        <v/>
      </c>
    </row>
    <row r="2195" spans="1:10">
      <c r="A2195" s="321">
        <v>96</v>
      </c>
      <c r="B2195" s="295">
        <f t="shared" si="408"/>
        <v>84</v>
      </c>
      <c r="C2195" s="321">
        <v>4.2</v>
      </c>
      <c r="D2195" s="321" t="s">
        <v>112</v>
      </c>
      <c r="E2195" s="321"/>
      <c r="F2195" s="316" t="str">
        <f t="shared" si="406"/>
        <v/>
      </c>
      <c r="G2195" s="321"/>
      <c r="H2195" s="321"/>
      <c r="J2195" s="316" t="str">
        <f t="shared" si="407"/>
        <v/>
      </c>
    </row>
    <row r="2196" spans="1:10" s="316" customFormat="1">
      <c r="A2196" s="321">
        <v>96</v>
      </c>
      <c r="B2196" s="295">
        <f t="shared" si="408"/>
        <v>84</v>
      </c>
      <c r="C2196" s="321">
        <v>4.3</v>
      </c>
      <c r="D2196" s="321" t="s">
        <v>113</v>
      </c>
      <c r="E2196" s="321">
        <v>32</v>
      </c>
      <c r="F2196" s="316">
        <f t="shared" si="406"/>
        <v>1.2307692307692308</v>
      </c>
      <c r="G2196" s="321">
        <v>14.4</v>
      </c>
      <c r="H2196" s="321">
        <v>13.7</v>
      </c>
      <c r="I2196" s="315">
        <f t="shared" ref="I2196" si="410">G2196*(H2196^2)*0.5</f>
        <v>1351.3679999999997</v>
      </c>
      <c r="J2196" s="316">
        <f t="shared" si="407"/>
        <v>9.7036420036764675</v>
      </c>
    </row>
    <row r="2197" spans="1:10" s="316" customFormat="1">
      <c r="A2197" s="321">
        <v>96</v>
      </c>
      <c r="B2197" s="295">
        <f t="shared" si="408"/>
        <v>84</v>
      </c>
      <c r="C2197" s="321">
        <v>4.4000000000000004</v>
      </c>
      <c r="D2197" s="321" t="s">
        <v>112</v>
      </c>
      <c r="E2197" s="321"/>
      <c r="F2197" s="316" t="str">
        <f t="shared" si="406"/>
        <v/>
      </c>
      <c r="G2197" s="321"/>
      <c r="H2197" s="321"/>
      <c r="I2197" s="315"/>
      <c r="J2197" s="316" t="str">
        <f t="shared" si="407"/>
        <v/>
      </c>
    </row>
    <row r="2198" spans="1:10" s="316" customFormat="1">
      <c r="A2198" s="321">
        <v>96</v>
      </c>
      <c r="B2198" s="295">
        <f t="shared" si="408"/>
        <v>84</v>
      </c>
      <c r="C2198" s="321">
        <v>4.5</v>
      </c>
      <c r="D2198" s="321" t="s">
        <v>112</v>
      </c>
      <c r="E2198" s="321"/>
      <c r="F2198" s="316" t="str">
        <f t="shared" si="406"/>
        <v/>
      </c>
      <c r="G2198" s="321"/>
      <c r="H2198" s="321"/>
      <c r="I2198" s="315"/>
      <c r="J2198" s="316" t="str">
        <f t="shared" si="407"/>
        <v/>
      </c>
    </row>
    <row r="2199" spans="1:10" s="316" customFormat="1">
      <c r="A2199" s="321">
        <v>96</v>
      </c>
      <c r="B2199" s="295">
        <f t="shared" si="408"/>
        <v>84</v>
      </c>
      <c r="C2199" s="321">
        <v>5.0999999999999996</v>
      </c>
      <c r="D2199" s="321" t="s">
        <v>113</v>
      </c>
      <c r="E2199" s="321"/>
      <c r="F2199" s="316" t="str">
        <f t="shared" si="406"/>
        <v/>
      </c>
      <c r="G2199" s="321"/>
      <c r="H2199" s="321"/>
      <c r="I2199" s="315"/>
      <c r="J2199" s="316" t="str">
        <f t="shared" si="407"/>
        <v/>
      </c>
    </row>
    <row r="2200" spans="1:10" s="316" customFormat="1">
      <c r="A2200" s="321">
        <v>96</v>
      </c>
      <c r="B2200" s="295">
        <f t="shared" si="408"/>
        <v>84</v>
      </c>
      <c r="C2200" s="321">
        <v>5.2</v>
      </c>
      <c r="D2200" s="321" t="s">
        <v>114</v>
      </c>
      <c r="E2200" s="321"/>
      <c r="F2200" s="316" t="str">
        <f t="shared" si="406"/>
        <v/>
      </c>
      <c r="G2200" s="321"/>
      <c r="H2200" s="321"/>
      <c r="I2200" s="315"/>
      <c r="J2200" s="316" t="str">
        <f t="shared" si="407"/>
        <v/>
      </c>
    </row>
    <row r="2201" spans="1:10" s="316" customFormat="1">
      <c r="A2201" s="321">
        <v>96</v>
      </c>
      <c r="B2201" s="295">
        <f t="shared" si="408"/>
        <v>84</v>
      </c>
      <c r="C2201" s="321">
        <v>5.3</v>
      </c>
      <c r="D2201" s="321" t="s">
        <v>112</v>
      </c>
      <c r="E2201" s="321"/>
      <c r="F2201" s="316" t="str">
        <f t="shared" si="406"/>
        <v/>
      </c>
      <c r="G2201" s="321"/>
      <c r="H2201" s="321"/>
      <c r="I2201" s="315"/>
      <c r="J2201" s="316" t="str">
        <f t="shared" si="407"/>
        <v/>
      </c>
    </row>
    <row r="2202" spans="1:10" s="316" customFormat="1">
      <c r="A2202" s="321">
        <v>96</v>
      </c>
      <c r="B2202" s="295">
        <f t="shared" si="408"/>
        <v>84</v>
      </c>
      <c r="C2202" s="321">
        <v>5.4</v>
      </c>
      <c r="D2202" s="321" t="s">
        <v>113</v>
      </c>
      <c r="E2202" s="321"/>
      <c r="F2202" s="316" t="str">
        <f t="shared" si="406"/>
        <v/>
      </c>
      <c r="G2202" s="321"/>
      <c r="H2202" s="321"/>
      <c r="I2202" s="315"/>
      <c r="J2202" s="316" t="str">
        <f t="shared" si="407"/>
        <v/>
      </c>
    </row>
    <row r="2203" spans="1:10" s="316" customFormat="1">
      <c r="A2203" s="321">
        <v>96</v>
      </c>
      <c r="B2203" s="295">
        <f t="shared" si="408"/>
        <v>84</v>
      </c>
      <c r="C2203" s="321">
        <v>5.5</v>
      </c>
      <c r="D2203" s="321" t="s">
        <v>114</v>
      </c>
      <c r="E2203" s="321"/>
      <c r="F2203" s="316" t="str">
        <f t="shared" si="406"/>
        <v/>
      </c>
      <c r="G2203" s="321"/>
      <c r="H2203" s="321"/>
      <c r="I2203" s="315"/>
      <c r="J2203" s="316" t="str">
        <f t="shared" si="407"/>
        <v/>
      </c>
    </row>
    <row r="2204" spans="1:10" s="316" customFormat="1">
      <c r="A2204" s="321">
        <v>96</v>
      </c>
      <c r="B2204" s="295">
        <f t="shared" si="408"/>
        <v>84</v>
      </c>
      <c r="C2204" s="321">
        <v>6.1</v>
      </c>
      <c r="D2204" s="321" t="s">
        <v>115</v>
      </c>
      <c r="E2204" s="321"/>
      <c r="F2204" s="316" t="str">
        <f t="shared" si="406"/>
        <v/>
      </c>
      <c r="G2204" s="321"/>
      <c r="H2204" s="321"/>
      <c r="I2204" s="315"/>
      <c r="J2204" s="316" t="str">
        <f t="shared" si="407"/>
        <v/>
      </c>
    </row>
    <row r="2205" spans="1:10" s="316" customFormat="1">
      <c r="A2205" s="321">
        <v>96</v>
      </c>
      <c r="B2205" s="295">
        <f t="shared" si="408"/>
        <v>84</v>
      </c>
      <c r="C2205" s="321">
        <v>6.2</v>
      </c>
      <c r="D2205" s="321" t="s">
        <v>115</v>
      </c>
      <c r="E2205" s="321"/>
      <c r="F2205" s="316" t="str">
        <f t="shared" si="406"/>
        <v/>
      </c>
      <c r="G2205" s="321"/>
      <c r="H2205" s="321"/>
      <c r="I2205" s="315"/>
      <c r="J2205" s="316" t="str">
        <f t="shared" si="407"/>
        <v/>
      </c>
    </row>
    <row r="2206" spans="1:10" s="316" customFormat="1">
      <c r="A2206" s="321">
        <v>96</v>
      </c>
      <c r="B2206" s="295">
        <f t="shared" si="408"/>
        <v>84</v>
      </c>
      <c r="C2206" s="321">
        <v>6.3</v>
      </c>
      <c r="D2206" s="321" t="s">
        <v>114</v>
      </c>
      <c r="E2206" s="321"/>
      <c r="F2206" s="316" t="str">
        <f t="shared" si="406"/>
        <v/>
      </c>
      <c r="G2206" s="321"/>
      <c r="H2206" s="321"/>
      <c r="I2206" s="315"/>
      <c r="J2206" s="316" t="str">
        <f t="shared" si="407"/>
        <v/>
      </c>
    </row>
    <row r="2207" spans="1:10" s="316" customFormat="1">
      <c r="A2207" s="321">
        <v>96</v>
      </c>
      <c r="B2207" s="295">
        <f t="shared" si="408"/>
        <v>84</v>
      </c>
      <c r="C2207" s="321">
        <v>6.4</v>
      </c>
      <c r="D2207" s="321" t="s">
        <v>112</v>
      </c>
      <c r="E2207" s="321"/>
      <c r="F2207" s="316" t="str">
        <f t="shared" si="406"/>
        <v/>
      </c>
      <c r="G2207" s="321"/>
      <c r="H2207" s="321"/>
      <c r="I2207" s="315"/>
      <c r="J2207" s="316" t="str">
        <f t="shared" si="407"/>
        <v/>
      </c>
    </row>
    <row r="2208" spans="1:10" s="316" customFormat="1">
      <c r="A2208" s="321">
        <v>96</v>
      </c>
      <c r="B2208" s="295">
        <f t="shared" si="408"/>
        <v>84</v>
      </c>
      <c r="C2208" s="321">
        <v>6.5</v>
      </c>
      <c r="D2208" s="321" t="s">
        <v>113</v>
      </c>
      <c r="E2208" s="321"/>
      <c r="F2208" s="316" t="str">
        <f t="shared" si="406"/>
        <v/>
      </c>
      <c r="G2208" s="321"/>
      <c r="H2208" s="321"/>
      <c r="I2208" s="315"/>
      <c r="J2208" s="316" t="str">
        <f t="shared" si="407"/>
        <v/>
      </c>
    </row>
    <row r="2209" spans="1:10" s="316" customFormat="1">
      <c r="A2209" s="321">
        <v>96</v>
      </c>
      <c r="B2209" s="295">
        <f t="shared" si="408"/>
        <v>84</v>
      </c>
      <c r="C2209" s="321">
        <v>7.1</v>
      </c>
      <c r="D2209" s="321" t="s">
        <v>114</v>
      </c>
      <c r="E2209" s="321"/>
      <c r="F2209" s="316" t="str">
        <f t="shared" si="406"/>
        <v/>
      </c>
      <c r="G2209" s="321"/>
      <c r="H2209" s="321"/>
      <c r="I2209" s="315"/>
      <c r="J2209" s="316" t="str">
        <f t="shared" si="407"/>
        <v/>
      </c>
    </row>
    <row r="2210" spans="1:10" s="316" customFormat="1">
      <c r="A2210" s="321">
        <v>96</v>
      </c>
      <c r="B2210" s="295">
        <f t="shared" si="408"/>
        <v>84</v>
      </c>
      <c r="C2210" s="321">
        <v>7.2</v>
      </c>
      <c r="D2210" s="321" t="s">
        <v>111</v>
      </c>
      <c r="E2210" s="321"/>
      <c r="F2210" s="316" t="str">
        <f t="shared" si="406"/>
        <v/>
      </c>
      <c r="G2210" s="321"/>
      <c r="H2210" s="321"/>
      <c r="I2210" s="315"/>
      <c r="J2210" s="316" t="str">
        <f t="shared" si="407"/>
        <v/>
      </c>
    </row>
    <row r="2211" spans="1:10" s="316" customFormat="1">
      <c r="A2211" s="321">
        <v>96</v>
      </c>
      <c r="B2211" s="295">
        <f t="shared" si="408"/>
        <v>84</v>
      </c>
      <c r="C2211" s="321">
        <v>7.3</v>
      </c>
      <c r="D2211" s="321" t="s">
        <v>113</v>
      </c>
      <c r="E2211" s="321">
        <v>31</v>
      </c>
      <c r="F2211" s="316">
        <f t="shared" si="406"/>
        <v>1.1481481481481481</v>
      </c>
      <c r="G2211" s="321">
        <v>11.2</v>
      </c>
      <c r="H2211" s="321">
        <v>10</v>
      </c>
      <c r="I2211" s="315">
        <f t="shared" ref="I2211:I2246" si="411">G2211*(H2211^2)*0.5</f>
        <v>560</v>
      </c>
      <c r="J2211" s="316">
        <f t="shared" si="407"/>
        <v>3.9192631785224381</v>
      </c>
    </row>
    <row r="2212" spans="1:10" s="316" customFormat="1">
      <c r="A2212" s="321">
        <v>96</v>
      </c>
      <c r="B2212" s="295">
        <f t="shared" si="408"/>
        <v>84</v>
      </c>
      <c r="C2212" s="321">
        <v>7.4</v>
      </c>
      <c r="D2212" s="321" t="s">
        <v>115</v>
      </c>
      <c r="E2212" s="321"/>
      <c r="F2212" s="316" t="str">
        <f t="shared" si="406"/>
        <v/>
      </c>
      <c r="G2212" s="321"/>
      <c r="H2212" s="321"/>
      <c r="I2212" s="315"/>
      <c r="J2212" s="316" t="str">
        <f t="shared" si="407"/>
        <v/>
      </c>
    </row>
    <row r="2213" spans="1:10" s="316" customFormat="1">
      <c r="A2213" s="321">
        <v>96</v>
      </c>
      <c r="B2213" s="295">
        <f t="shared" si="408"/>
        <v>84</v>
      </c>
      <c r="C2213" s="321">
        <v>7.5</v>
      </c>
      <c r="D2213" s="321" t="s">
        <v>111</v>
      </c>
      <c r="E2213" s="321"/>
      <c r="F2213" s="316" t="str">
        <f t="shared" si="406"/>
        <v/>
      </c>
      <c r="G2213" s="321"/>
      <c r="H2213" s="321"/>
      <c r="I2213" s="315"/>
      <c r="J2213" s="316" t="str">
        <f t="shared" si="407"/>
        <v/>
      </c>
    </row>
    <row r="2214" spans="1:10" s="316" customFormat="1">
      <c r="A2214" s="321">
        <v>98</v>
      </c>
      <c r="B2214" s="295">
        <f t="shared" si="408"/>
        <v>86</v>
      </c>
      <c r="C2214" s="321">
        <v>1.1000000000000001</v>
      </c>
      <c r="D2214" s="321" t="s">
        <v>112</v>
      </c>
      <c r="E2214" s="321"/>
      <c r="F2214" s="316" t="str">
        <f t="shared" si="406"/>
        <v/>
      </c>
      <c r="G2214" s="321"/>
      <c r="H2214" s="321"/>
      <c r="I2214" s="315"/>
      <c r="J2214" s="316" t="str">
        <f t="shared" si="407"/>
        <v/>
      </c>
    </row>
    <row r="2215" spans="1:10" s="316" customFormat="1">
      <c r="A2215" s="321">
        <v>98</v>
      </c>
      <c r="B2215" s="295">
        <f t="shared" si="408"/>
        <v>86</v>
      </c>
      <c r="C2215" s="321">
        <v>1.2</v>
      </c>
      <c r="D2215" s="321" t="s">
        <v>113</v>
      </c>
      <c r="E2215" s="321">
        <v>34</v>
      </c>
      <c r="F2215" s="316">
        <f t="shared" si="406"/>
        <v>1.2592592592592593</v>
      </c>
      <c r="G2215" s="321">
        <v>11.9</v>
      </c>
      <c r="H2215" s="321">
        <v>11.5</v>
      </c>
      <c r="I2215" s="315">
        <f t="shared" si="411"/>
        <v>786.88750000000005</v>
      </c>
      <c r="J2215" s="316">
        <f t="shared" si="407"/>
        <v>3.7613855541188759</v>
      </c>
    </row>
    <row r="2216" spans="1:10" s="316" customFormat="1">
      <c r="A2216" s="321">
        <v>98</v>
      </c>
      <c r="B2216" s="295">
        <f t="shared" si="408"/>
        <v>86</v>
      </c>
      <c r="C2216" s="321">
        <v>1.3</v>
      </c>
      <c r="D2216" s="321" t="s">
        <v>115</v>
      </c>
      <c r="E2216" s="321"/>
      <c r="F2216" s="316" t="str">
        <f t="shared" si="406"/>
        <v/>
      </c>
      <c r="G2216" s="321"/>
      <c r="H2216" s="321"/>
      <c r="I2216" s="315"/>
      <c r="J2216" s="316" t="str">
        <f t="shared" si="407"/>
        <v/>
      </c>
    </row>
    <row r="2217" spans="1:10" s="316" customFormat="1">
      <c r="A2217" s="321">
        <v>98</v>
      </c>
      <c r="B2217" s="295">
        <f t="shared" si="408"/>
        <v>86</v>
      </c>
      <c r="C2217" s="321">
        <v>1.4</v>
      </c>
      <c r="D2217" s="321" t="s">
        <v>115</v>
      </c>
      <c r="E2217" s="321"/>
      <c r="F2217" s="316" t="str">
        <f t="shared" si="406"/>
        <v/>
      </c>
      <c r="G2217" s="321"/>
      <c r="H2217" s="321"/>
      <c r="I2217" s="315"/>
      <c r="J2217" s="316" t="str">
        <f t="shared" si="407"/>
        <v/>
      </c>
    </row>
    <row r="2218" spans="1:10" s="316" customFormat="1">
      <c r="A2218" s="321">
        <v>98</v>
      </c>
      <c r="B2218" s="295">
        <f t="shared" si="408"/>
        <v>86</v>
      </c>
      <c r="C2218" s="321">
        <v>1.5</v>
      </c>
      <c r="D2218" s="321" t="s">
        <v>112</v>
      </c>
      <c r="E2218" s="321"/>
      <c r="F2218" s="316" t="str">
        <f t="shared" si="406"/>
        <v/>
      </c>
      <c r="G2218" s="321"/>
      <c r="H2218" s="321"/>
      <c r="I2218" s="315"/>
      <c r="J2218" s="316" t="str">
        <f t="shared" si="407"/>
        <v/>
      </c>
    </row>
    <row r="2219" spans="1:10" s="316" customFormat="1">
      <c r="A2219" s="321">
        <v>98</v>
      </c>
      <c r="B2219" s="295">
        <f t="shared" si="408"/>
        <v>86</v>
      </c>
      <c r="C2219" s="321">
        <v>2.1</v>
      </c>
      <c r="D2219" s="321" t="s">
        <v>114</v>
      </c>
      <c r="E2219" s="321"/>
      <c r="F2219" s="316" t="str">
        <f t="shared" si="406"/>
        <v/>
      </c>
      <c r="G2219" s="321"/>
      <c r="H2219" s="321"/>
      <c r="I2219" s="315"/>
      <c r="J2219" s="316" t="str">
        <f t="shared" si="407"/>
        <v/>
      </c>
    </row>
    <row r="2220" spans="1:10" s="316" customFormat="1">
      <c r="A2220" s="321">
        <v>98</v>
      </c>
      <c r="B2220" s="295">
        <f t="shared" si="408"/>
        <v>86</v>
      </c>
      <c r="C2220" s="321">
        <v>2.2000000000000002</v>
      </c>
      <c r="D2220" s="321" t="s">
        <v>115</v>
      </c>
      <c r="E2220" s="321"/>
      <c r="F2220" s="316" t="str">
        <f t="shared" si="406"/>
        <v/>
      </c>
      <c r="G2220" s="321"/>
      <c r="H2220" s="321"/>
      <c r="I2220" s="315"/>
      <c r="J2220" s="316" t="str">
        <f t="shared" si="407"/>
        <v/>
      </c>
    </row>
    <row r="2221" spans="1:10" s="316" customFormat="1">
      <c r="A2221" s="321">
        <v>98</v>
      </c>
      <c r="B2221" s="295">
        <f t="shared" si="408"/>
        <v>86</v>
      </c>
      <c r="C2221" s="321">
        <v>2.2999999999999998</v>
      </c>
      <c r="D2221" s="321" t="s">
        <v>112</v>
      </c>
      <c r="E2221" s="321"/>
      <c r="F2221" s="316" t="str">
        <f t="shared" si="406"/>
        <v/>
      </c>
      <c r="G2221" s="321"/>
      <c r="H2221" s="321"/>
      <c r="I2221" s="315"/>
      <c r="J2221" s="316" t="str">
        <f t="shared" si="407"/>
        <v/>
      </c>
    </row>
    <row r="2222" spans="1:10" s="316" customFormat="1">
      <c r="A2222" s="321">
        <v>98</v>
      </c>
      <c r="B2222" s="295">
        <f t="shared" si="408"/>
        <v>86</v>
      </c>
      <c r="C2222" s="321">
        <v>2.4</v>
      </c>
      <c r="D2222" s="321" t="s">
        <v>114</v>
      </c>
      <c r="E2222" s="321"/>
      <c r="F2222" s="316" t="str">
        <f t="shared" si="406"/>
        <v/>
      </c>
      <c r="G2222" s="321"/>
      <c r="H2222" s="321"/>
      <c r="I2222" s="315"/>
      <c r="J2222" s="316" t="str">
        <f t="shared" si="407"/>
        <v/>
      </c>
    </row>
    <row r="2223" spans="1:10" s="316" customFormat="1">
      <c r="A2223" s="321">
        <v>98</v>
      </c>
      <c r="B2223" s="295">
        <f t="shared" si="408"/>
        <v>86</v>
      </c>
      <c r="C2223" s="321">
        <v>2.5</v>
      </c>
      <c r="D2223" s="321" t="s">
        <v>113</v>
      </c>
      <c r="E2223" s="321"/>
      <c r="F2223" s="316" t="str">
        <f t="shared" si="406"/>
        <v/>
      </c>
      <c r="G2223" s="321"/>
      <c r="H2223" s="321"/>
      <c r="I2223" s="315"/>
      <c r="J2223" s="316" t="str">
        <f t="shared" si="407"/>
        <v/>
      </c>
    </row>
    <row r="2224" spans="1:10" s="316" customFormat="1">
      <c r="A2224" s="321">
        <v>98</v>
      </c>
      <c r="B2224" s="295">
        <f t="shared" si="408"/>
        <v>86</v>
      </c>
      <c r="C2224" s="321">
        <v>3.1</v>
      </c>
      <c r="D2224" s="321" t="s">
        <v>115</v>
      </c>
      <c r="E2224" s="321"/>
      <c r="F2224" s="316" t="str">
        <f t="shared" si="406"/>
        <v/>
      </c>
      <c r="G2224" s="321"/>
      <c r="H2224" s="321"/>
      <c r="I2224" s="315"/>
      <c r="J2224" s="316" t="str">
        <f t="shared" si="407"/>
        <v/>
      </c>
    </row>
    <row r="2225" spans="1:11" s="316" customFormat="1">
      <c r="A2225" s="321">
        <v>98</v>
      </c>
      <c r="B2225" s="295">
        <f t="shared" si="408"/>
        <v>86</v>
      </c>
      <c r="C2225" s="321">
        <v>3.2</v>
      </c>
      <c r="D2225" s="321" t="s">
        <v>113</v>
      </c>
      <c r="E2225" s="321"/>
      <c r="F2225" s="316" t="str">
        <f t="shared" si="406"/>
        <v/>
      </c>
      <c r="G2225" s="321"/>
      <c r="H2225" s="321"/>
      <c r="I2225" s="315"/>
      <c r="J2225" s="316" t="str">
        <f t="shared" si="407"/>
        <v/>
      </c>
    </row>
    <row r="2226" spans="1:11" s="316" customFormat="1">
      <c r="A2226" s="321">
        <v>98</v>
      </c>
      <c r="B2226" s="295">
        <f t="shared" si="408"/>
        <v>86</v>
      </c>
      <c r="C2226" s="321">
        <v>3.3</v>
      </c>
      <c r="D2226" s="321" t="s">
        <v>114</v>
      </c>
      <c r="E2226" s="321"/>
      <c r="F2226" s="316" t="str">
        <f t="shared" si="406"/>
        <v/>
      </c>
      <c r="G2226" s="321"/>
      <c r="H2226" s="321"/>
      <c r="I2226" s="315"/>
      <c r="J2226" s="316" t="str">
        <f t="shared" si="407"/>
        <v/>
      </c>
    </row>
    <row r="2227" spans="1:11" s="316" customFormat="1">
      <c r="A2227" s="321">
        <v>98</v>
      </c>
      <c r="B2227" s="295">
        <f t="shared" si="408"/>
        <v>86</v>
      </c>
      <c r="C2227" s="321">
        <v>3.4</v>
      </c>
      <c r="D2227" s="321" t="s">
        <v>114</v>
      </c>
      <c r="E2227" s="321"/>
      <c r="F2227" s="316" t="str">
        <f t="shared" si="406"/>
        <v/>
      </c>
      <c r="G2227" s="321"/>
      <c r="H2227" s="321"/>
      <c r="I2227" s="315"/>
      <c r="J2227" s="316" t="str">
        <f t="shared" si="407"/>
        <v/>
      </c>
    </row>
    <row r="2228" spans="1:11">
      <c r="A2228" s="321">
        <v>98</v>
      </c>
      <c r="B2228" s="295">
        <f t="shared" si="408"/>
        <v>86</v>
      </c>
      <c r="C2228" s="321">
        <v>3.5</v>
      </c>
      <c r="D2228" s="321" t="s">
        <v>115</v>
      </c>
      <c r="E2228" s="321"/>
      <c r="F2228" s="316" t="str">
        <f t="shared" si="406"/>
        <v/>
      </c>
      <c r="G2228" s="321"/>
      <c r="H2228" s="321"/>
      <c r="J2228" s="316" t="str">
        <f t="shared" si="407"/>
        <v/>
      </c>
    </row>
    <row r="2229" spans="1:11">
      <c r="A2229" s="321">
        <v>98</v>
      </c>
      <c r="B2229" s="295">
        <f t="shared" si="408"/>
        <v>86</v>
      </c>
      <c r="C2229" s="321">
        <v>4.0999999999999996</v>
      </c>
      <c r="D2229" s="321" t="s">
        <v>111</v>
      </c>
      <c r="E2229" s="321"/>
      <c r="F2229" s="316" t="str">
        <f t="shared" si="406"/>
        <v/>
      </c>
      <c r="G2229" s="321"/>
      <c r="H2229" s="321"/>
      <c r="J2229" s="316" t="str">
        <f t="shared" si="407"/>
        <v/>
      </c>
    </row>
    <row r="2230" spans="1:11">
      <c r="A2230" s="321">
        <v>98</v>
      </c>
      <c r="B2230" s="295">
        <f t="shared" si="408"/>
        <v>86</v>
      </c>
      <c r="C2230" s="321">
        <v>4.2</v>
      </c>
      <c r="D2230" s="321" t="s">
        <v>112</v>
      </c>
      <c r="E2230" s="321"/>
      <c r="F2230" s="316" t="str">
        <f t="shared" si="406"/>
        <v/>
      </c>
      <c r="G2230" s="321"/>
      <c r="H2230" s="321"/>
      <c r="J2230" s="316" t="str">
        <f t="shared" si="407"/>
        <v/>
      </c>
    </row>
    <row r="2231" spans="1:11">
      <c r="A2231" s="321">
        <v>98</v>
      </c>
      <c r="B2231" s="295">
        <f t="shared" si="408"/>
        <v>86</v>
      </c>
      <c r="C2231" s="321">
        <v>4.3</v>
      </c>
      <c r="D2231" s="321" t="s">
        <v>113</v>
      </c>
      <c r="E2231" s="321">
        <v>33</v>
      </c>
      <c r="F2231" s="316">
        <f t="shared" si="406"/>
        <v>1.2692307692307692</v>
      </c>
      <c r="G2231" s="321">
        <v>17</v>
      </c>
      <c r="H2231" s="321">
        <v>14.9</v>
      </c>
      <c r="I2231" s="315">
        <f t="shared" si="411"/>
        <v>1887.0850000000003</v>
      </c>
      <c r="J2231" s="316">
        <f t="shared" si="407"/>
        <v>13.550415039062502</v>
      </c>
      <c r="K2231" s="316" t="s">
        <v>172</v>
      </c>
    </row>
    <row r="2232" spans="1:11">
      <c r="A2232" s="321">
        <v>98</v>
      </c>
      <c r="B2232" s="295">
        <f t="shared" si="408"/>
        <v>86</v>
      </c>
      <c r="C2232" s="321">
        <v>4.4000000000000004</v>
      </c>
      <c r="D2232" s="321" t="s">
        <v>112</v>
      </c>
      <c r="E2232" s="321"/>
      <c r="F2232" s="316" t="str">
        <f t="shared" si="406"/>
        <v/>
      </c>
      <c r="G2232" s="321"/>
      <c r="H2232" s="321"/>
      <c r="J2232" s="316" t="str">
        <f t="shared" si="407"/>
        <v/>
      </c>
    </row>
    <row r="2233" spans="1:11">
      <c r="A2233" s="321">
        <v>98</v>
      </c>
      <c r="B2233" s="295">
        <f t="shared" si="408"/>
        <v>86</v>
      </c>
      <c r="C2233" s="321">
        <v>4.5</v>
      </c>
      <c r="D2233" s="321" t="s">
        <v>112</v>
      </c>
      <c r="E2233" s="321"/>
      <c r="F2233" s="316" t="str">
        <f t="shared" si="406"/>
        <v/>
      </c>
      <c r="G2233" s="321"/>
      <c r="H2233" s="321"/>
      <c r="J2233" s="316" t="str">
        <f t="shared" si="407"/>
        <v/>
      </c>
    </row>
    <row r="2234" spans="1:11">
      <c r="A2234" s="321">
        <v>98</v>
      </c>
      <c r="B2234" s="295">
        <f t="shared" si="408"/>
        <v>86</v>
      </c>
      <c r="C2234" s="321">
        <v>5.0999999999999996</v>
      </c>
      <c r="D2234" s="321" t="s">
        <v>113</v>
      </c>
      <c r="E2234" s="321"/>
      <c r="F2234" s="316" t="str">
        <f t="shared" si="406"/>
        <v/>
      </c>
      <c r="G2234" s="321"/>
      <c r="H2234" s="321"/>
      <c r="J2234" s="316" t="str">
        <f t="shared" si="407"/>
        <v/>
      </c>
    </row>
    <row r="2235" spans="1:11">
      <c r="A2235" s="321">
        <v>98</v>
      </c>
      <c r="B2235" s="295">
        <f t="shared" si="408"/>
        <v>86</v>
      </c>
      <c r="C2235" s="321">
        <v>5.2</v>
      </c>
      <c r="D2235" s="321" t="s">
        <v>114</v>
      </c>
      <c r="E2235" s="321"/>
      <c r="F2235" s="316" t="str">
        <f t="shared" si="406"/>
        <v/>
      </c>
      <c r="G2235" s="321"/>
      <c r="H2235" s="321"/>
      <c r="J2235" s="316" t="str">
        <f t="shared" si="407"/>
        <v/>
      </c>
    </row>
    <row r="2236" spans="1:11">
      <c r="A2236" s="321">
        <v>98</v>
      </c>
      <c r="B2236" s="295">
        <f t="shared" si="408"/>
        <v>86</v>
      </c>
      <c r="C2236" s="321">
        <v>5.3</v>
      </c>
      <c r="D2236" s="321" t="s">
        <v>112</v>
      </c>
      <c r="E2236" s="321"/>
      <c r="F2236" s="316" t="str">
        <f t="shared" si="406"/>
        <v/>
      </c>
      <c r="G2236" s="321"/>
      <c r="H2236" s="321"/>
      <c r="J2236" s="316" t="str">
        <f t="shared" si="407"/>
        <v/>
      </c>
    </row>
    <row r="2237" spans="1:11">
      <c r="A2237" s="321">
        <v>98</v>
      </c>
      <c r="B2237" s="295">
        <f t="shared" si="408"/>
        <v>86</v>
      </c>
      <c r="C2237" s="321">
        <v>5.4</v>
      </c>
      <c r="D2237" s="321" t="s">
        <v>113</v>
      </c>
      <c r="E2237" s="321"/>
      <c r="F2237" s="316" t="str">
        <f t="shared" si="406"/>
        <v/>
      </c>
      <c r="G2237" s="321"/>
      <c r="H2237" s="321"/>
      <c r="J2237" s="316" t="str">
        <f t="shared" si="407"/>
        <v/>
      </c>
    </row>
    <row r="2238" spans="1:11">
      <c r="A2238" s="321">
        <v>98</v>
      </c>
      <c r="B2238" s="295">
        <f t="shared" si="408"/>
        <v>86</v>
      </c>
      <c r="C2238" s="321">
        <v>5.5</v>
      </c>
      <c r="D2238" s="321" t="s">
        <v>114</v>
      </c>
      <c r="E2238" s="321"/>
      <c r="F2238" s="316" t="str">
        <f t="shared" si="406"/>
        <v/>
      </c>
      <c r="G2238" s="321"/>
      <c r="H2238" s="321"/>
      <c r="J2238" s="316" t="str">
        <f t="shared" si="407"/>
        <v/>
      </c>
    </row>
    <row r="2239" spans="1:11">
      <c r="A2239" s="321">
        <v>98</v>
      </c>
      <c r="B2239" s="295">
        <f t="shared" si="408"/>
        <v>86</v>
      </c>
      <c r="C2239" s="321">
        <v>6.1</v>
      </c>
      <c r="D2239" s="321" t="s">
        <v>115</v>
      </c>
      <c r="E2239" s="321"/>
      <c r="F2239" s="316" t="str">
        <f t="shared" si="406"/>
        <v/>
      </c>
      <c r="G2239" s="321"/>
      <c r="H2239" s="321"/>
      <c r="J2239" s="316" t="str">
        <f t="shared" si="407"/>
        <v/>
      </c>
    </row>
    <row r="2240" spans="1:11">
      <c r="A2240" s="321">
        <v>98</v>
      </c>
      <c r="B2240" s="295">
        <f t="shared" si="408"/>
        <v>86</v>
      </c>
      <c r="C2240" s="321">
        <v>6.2</v>
      </c>
      <c r="D2240" s="321" t="s">
        <v>115</v>
      </c>
      <c r="E2240" s="321"/>
      <c r="F2240" s="316" t="str">
        <f t="shared" si="406"/>
        <v/>
      </c>
      <c r="G2240" s="321"/>
      <c r="H2240" s="321"/>
      <c r="J2240" s="316" t="str">
        <f t="shared" si="407"/>
        <v/>
      </c>
    </row>
    <row r="2241" spans="1:10">
      <c r="A2241" s="321">
        <v>98</v>
      </c>
      <c r="B2241" s="295">
        <f t="shared" si="408"/>
        <v>86</v>
      </c>
      <c r="C2241" s="321">
        <v>6.3</v>
      </c>
      <c r="D2241" s="321" t="s">
        <v>114</v>
      </c>
      <c r="E2241" s="321"/>
      <c r="F2241" s="316" t="str">
        <f t="shared" si="406"/>
        <v/>
      </c>
      <c r="G2241" s="321"/>
      <c r="H2241" s="321"/>
      <c r="J2241" s="316" t="str">
        <f t="shared" si="407"/>
        <v/>
      </c>
    </row>
    <row r="2242" spans="1:10">
      <c r="A2242" s="321">
        <v>98</v>
      </c>
      <c r="B2242" s="295">
        <f t="shared" si="408"/>
        <v>86</v>
      </c>
      <c r="C2242" s="321">
        <v>6.4</v>
      </c>
      <c r="D2242" s="321" t="s">
        <v>112</v>
      </c>
      <c r="E2242" s="321"/>
      <c r="F2242" s="316" t="str">
        <f t="shared" si="406"/>
        <v/>
      </c>
      <c r="G2242" s="321"/>
      <c r="H2242" s="321"/>
      <c r="J2242" s="316" t="str">
        <f t="shared" si="407"/>
        <v/>
      </c>
    </row>
    <row r="2243" spans="1:10">
      <c r="A2243" s="321">
        <v>98</v>
      </c>
      <c r="B2243" s="295">
        <f t="shared" si="408"/>
        <v>86</v>
      </c>
      <c r="C2243" s="321">
        <v>6.5</v>
      </c>
      <c r="D2243" s="321" t="s">
        <v>113</v>
      </c>
      <c r="E2243" s="321"/>
      <c r="F2243" s="316" t="str">
        <f t="shared" si="406"/>
        <v/>
      </c>
      <c r="G2243" s="321"/>
      <c r="H2243" s="321"/>
      <c r="J2243" s="316" t="str">
        <f t="shared" si="407"/>
        <v/>
      </c>
    </row>
    <row r="2244" spans="1:10" s="316" customFormat="1">
      <c r="A2244" s="321">
        <v>98</v>
      </c>
      <c r="B2244" s="295">
        <f t="shared" si="408"/>
        <v>86</v>
      </c>
      <c r="C2244" s="321">
        <v>7.1</v>
      </c>
      <c r="D2244" s="321" t="s">
        <v>114</v>
      </c>
      <c r="E2244" s="321"/>
      <c r="F2244" s="316" t="str">
        <f t="shared" si="406"/>
        <v/>
      </c>
      <c r="G2244" s="321"/>
      <c r="H2244" s="321"/>
      <c r="I2244" s="315"/>
      <c r="J2244" s="316" t="str">
        <f t="shared" si="407"/>
        <v/>
      </c>
    </row>
    <row r="2245" spans="1:10" s="316" customFormat="1">
      <c r="A2245" s="321">
        <v>98</v>
      </c>
      <c r="B2245" s="295">
        <f t="shared" si="408"/>
        <v>86</v>
      </c>
      <c r="C2245" s="321">
        <v>7.2</v>
      </c>
      <c r="D2245" s="321" t="s">
        <v>111</v>
      </c>
      <c r="E2245" s="321"/>
      <c r="F2245" s="316" t="str">
        <f t="shared" si="406"/>
        <v/>
      </c>
      <c r="G2245" s="321"/>
      <c r="H2245" s="321"/>
      <c r="I2245" s="315"/>
      <c r="J2245" s="316" t="str">
        <f t="shared" si="407"/>
        <v/>
      </c>
    </row>
    <row r="2246" spans="1:10" s="316" customFormat="1">
      <c r="A2246" s="321">
        <v>98</v>
      </c>
      <c r="B2246" s="295">
        <f t="shared" si="408"/>
        <v>86</v>
      </c>
      <c r="C2246" s="321">
        <v>7.3</v>
      </c>
      <c r="D2246" s="321" t="s">
        <v>113</v>
      </c>
      <c r="E2246" s="321">
        <v>31</v>
      </c>
      <c r="F2246" s="316">
        <f t="shared" si="406"/>
        <v>1.1481481481481481</v>
      </c>
      <c r="G2246" s="321">
        <v>11.2</v>
      </c>
      <c r="H2246" s="321">
        <v>10.199999999999999</v>
      </c>
      <c r="I2246" s="315">
        <f t="shared" si="411"/>
        <v>582.62399999999991</v>
      </c>
      <c r="J2246" s="316">
        <f t="shared" si="407"/>
        <v>4.0776014109347436</v>
      </c>
    </row>
    <row r="2247" spans="1:10" s="316" customFormat="1">
      <c r="A2247" s="321">
        <v>98</v>
      </c>
      <c r="B2247" s="295">
        <f t="shared" si="408"/>
        <v>86</v>
      </c>
      <c r="C2247" s="321">
        <v>7.4</v>
      </c>
      <c r="D2247" s="321" t="s">
        <v>115</v>
      </c>
      <c r="E2247" s="321"/>
      <c r="F2247" s="316" t="str">
        <f t="shared" si="406"/>
        <v/>
      </c>
      <c r="G2247" s="321"/>
      <c r="H2247" s="321"/>
      <c r="I2247" s="315"/>
      <c r="J2247" s="316" t="str">
        <f t="shared" si="407"/>
        <v/>
      </c>
    </row>
    <row r="2248" spans="1:10" s="316" customFormat="1">
      <c r="A2248" s="321">
        <v>98</v>
      </c>
      <c r="B2248" s="295">
        <f t="shared" si="408"/>
        <v>86</v>
      </c>
      <c r="C2248" s="321">
        <v>7.5</v>
      </c>
      <c r="D2248" s="321" t="s">
        <v>111</v>
      </c>
      <c r="E2248" s="321"/>
      <c r="F2248" s="316" t="str">
        <f t="shared" si="406"/>
        <v/>
      </c>
      <c r="G2248" s="321"/>
      <c r="H2248" s="321"/>
      <c r="I2248" s="315"/>
      <c r="J2248" s="316" t="str">
        <f t="shared" si="407"/>
        <v/>
      </c>
    </row>
    <row r="2249" spans="1:10" s="316" customFormat="1">
      <c r="A2249" s="321">
        <v>101</v>
      </c>
      <c r="B2249" s="295">
        <f t="shared" si="408"/>
        <v>89</v>
      </c>
      <c r="C2249" s="321">
        <v>1.1000000000000001</v>
      </c>
      <c r="D2249" s="321" t="s">
        <v>112</v>
      </c>
      <c r="E2249" s="321"/>
      <c r="F2249" s="316" t="str">
        <f t="shared" ref="F2249:F2312" si="412">IF(ISBLANK(E2249),"",E2249/SUMIFS(E:E,C:C,C2249,B:B,"0"))</f>
        <v/>
      </c>
      <c r="G2249" s="321"/>
      <c r="H2249" s="321"/>
      <c r="I2249" s="315"/>
      <c r="J2249" s="316" t="str">
        <f t="shared" ref="J2249:J2312" si="413">IF(ISBLANK(I2249),"",I2249/SUMIFS(I:I,C:C,C2249,B:B,"0"))</f>
        <v/>
      </c>
    </row>
    <row r="2250" spans="1:10" s="316" customFormat="1">
      <c r="A2250" s="321">
        <v>101</v>
      </c>
      <c r="B2250" s="295">
        <f t="shared" ref="B2250:B2313" si="414">A2250-12</f>
        <v>89</v>
      </c>
      <c r="C2250" s="321">
        <v>1.2</v>
      </c>
      <c r="D2250" s="321" t="s">
        <v>113</v>
      </c>
      <c r="E2250" s="321">
        <v>33</v>
      </c>
      <c r="F2250" s="316">
        <f t="shared" si="412"/>
        <v>1.2222222222222223</v>
      </c>
      <c r="G2250" s="321">
        <v>12.7</v>
      </c>
      <c r="H2250" s="321">
        <v>12</v>
      </c>
      <c r="I2250" s="315">
        <f t="shared" ref="I2250" si="415">G2250*(H2250^2)*0.5</f>
        <v>914.4</v>
      </c>
      <c r="J2250" s="316">
        <f t="shared" si="413"/>
        <v>4.3709055623406137</v>
      </c>
    </row>
    <row r="2251" spans="1:10" s="316" customFormat="1">
      <c r="A2251" s="321">
        <v>101</v>
      </c>
      <c r="B2251" s="295">
        <f t="shared" si="414"/>
        <v>89</v>
      </c>
      <c r="C2251" s="321">
        <v>1.3</v>
      </c>
      <c r="D2251" s="321" t="s">
        <v>115</v>
      </c>
      <c r="E2251" s="321"/>
      <c r="F2251" s="316" t="str">
        <f t="shared" si="412"/>
        <v/>
      </c>
      <c r="G2251" s="321"/>
      <c r="H2251" s="321"/>
      <c r="I2251" s="315"/>
      <c r="J2251" s="316" t="str">
        <f t="shared" si="413"/>
        <v/>
      </c>
    </row>
    <row r="2252" spans="1:10" s="316" customFormat="1">
      <c r="A2252" s="321">
        <v>101</v>
      </c>
      <c r="B2252" s="295">
        <f t="shared" si="414"/>
        <v>89</v>
      </c>
      <c r="C2252" s="321">
        <v>1.4</v>
      </c>
      <c r="D2252" s="321" t="s">
        <v>115</v>
      </c>
      <c r="E2252" s="321"/>
      <c r="F2252" s="316" t="str">
        <f t="shared" si="412"/>
        <v/>
      </c>
      <c r="G2252" s="321"/>
      <c r="H2252" s="321"/>
      <c r="I2252" s="315"/>
      <c r="J2252" s="316" t="str">
        <f t="shared" si="413"/>
        <v/>
      </c>
    </row>
    <row r="2253" spans="1:10" s="316" customFormat="1">
      <c r="A2253" s="321">
        <v>101</v>
      </c>
      <c r="B2253" s="295">
        <f t="shared" si="414"/>
        <v>89</v>
      </c>
      <c r="C2253" s="321">
        <v>1.5</v>
      </c>
      <c r="D2253" s="321" t="s">
        <v>112</v>
      </c>
      <c r="E2253" s="321"/>
      <c r="F2253" s="316" t="str">
        <f t="shared" si="412"/>
        <v/>
      </c>
      <c r="G2253" s="321"/>
      <c r="H2253" s="321"/>
      <c r="I2253" s="315"/>
      <c r="J2253" s="316" t="str">
        <f t="shared" si="413"/>
        <v/>
      </c>
    </row>
    <row r="2254" spans="1:10" s="316" customFormat="1">
      <c r="A2254" s="321">
        <v>101</v>
      </c>
      <c r="B2254" s="295">
        <f t="shared" si="414"/>
        <v>89</v>
      </c>
      <c r="C2254" s="321">
        <v>2.1</v>
      </c>
      <c r="D2254" s="321" t="s">
        <v>114</v>
      </c>
      <c r="E2254" s="321"/>
      <c r="F2254" s="316" t="str">
        <f t="shared" si="412"/>
        <v/>
      </c>
      <c r="G2254" s="321"/>
      <c r="H2254" s="321"/>
      <c r="I2254" s="315"/>
      <c r="J2254" s="316" t="str">
        <f t="shared" si="413"/>
        <v/>
      </c>
    </row>
    <row r="2255" spans="1:10" s="316" customFormat="1">
      <c r="A2255" s="321">
        <v>101</v>
      </c>
      <c r="B2255" s="295">
        <f t="shared" si="414"/>
        <v>89</v>
      </c>
      <c r="C2255" s="321">
        <v>2.2000000000000002</v>
      </c>
      <c r="D2255" s="321" t="s">
        <v>115</v>
      </c>
      <c r="E2255" s="321"/>
      <c r="F2255" s="316" t="str">
        <f t="shared" si="412"/>
        <v/>
      </c>
      <c r="G2255" s="321"/>
      <c r="H2255" s="321"/>
      <c r="I2255" s="315"/>
      <c r="J2255" s="316" t="str">
        <f t="shared" si="413"/>
        <v/>
      </c>
    </row>
    <row r="2256" spans="1:10" s="316" customFormat="1">
      <c r="A2256" s="321">
        <v>101</v>
      </c>
      <c r="B2256" s="295">
        <f t="shared" si="414"/>
        <v>89</v>
      </c>
      <c r="C2256" s="321">
        <v>2.2999999999999998</v>
      </c>
      <c r="D2256" s="321" t="s">
        <v>112</v>
      </c>
      <c r="E2256" s="321"/>
      <c r="F2256" s="316" t="str">
        <f t="shared" si="412"/>
        <v/>
      </c>
      <c r="G2256" s="321"/>
      <c r="H2256" s="321"/>
      <c r="I2256" s="315"/>
      <c r="J2256" s="316" t="str">
        <f t="shared" si="413"/>
        <v/>
      </c>
    </row>
    <row r="2257" spans="1:10" s="316" customFormat="1">
      <c r="A2257" s="321">
        <v>101</v>
      </c>
      <c r="B2257" s="295">
        <f t="shared" si="414"/>
        <v>89</v>
      </c>
      <c r="C2257" s="321">
        <v>2.4</v>
      </c>
      <c r="D2257" s="321" t="s">
        <v>114</v>
      </c>
      <c r="E2257" s="321"/>
      <c r="F2257" s="316" t="str">
        <f t="shared" si="412"/>
        <v/>
      </c>
      <c r="G2257" s="321"/>
      <c r="H2257" s="321"/>
      <c r="I2257" s="315"/>
      <c r="J2257" s="316" t="str">
        <f t="shared" si="413"/>
        <v/>
      </c>
    </row>
    <row r="2258" spans="1:10" s="316" customFormat="1">
      <c r="A2258" s="321">
        <v>101</v>
      </c>
      <c r="B2258" s="295">
        <f t="shared" si="414"/>
        <v>89</v>
      </c>
      <c r="C2258" s="321">
        <v>2.5</v>
      </c>
      <c r="D2258" s="321" t="s">
        <v>113</v>
      </c>
      <c r="E2258" s="321"/>
      <c r="F2258" s="316" t="str">
        <f t="shared" si="412"/>
        <v/>
      </c>
      <c r="G2258" s="321"/>
      <c r="H2258" s="321"/>
      <c r="I2258" s="315"/>
      <c r="J2258" s="316" t="str">
        <f t="shared" si="413"/>
        <v/>
      </c>
    </row>
    <row r="2259" spans="1:10" s="316" customFormat="1">
      <c r="A2259" s="321">
        <v>101</v>
      </c>
      <c r="B2259" s="295">
        <f t="shared" si="414"/>
        <v>89</v>
      </c>
      <c r="C2259" s="321">
        <v>3.1</v>
      </c>
      <c r="D2259" s="321" t="s">
        <v>115</v>
      </c>
      <c r="E2259" s="321"/>
      <c r="F2259" s="316" t="str">
        <f t="shared" si="412"/>
        <v/>
      </c>
      <c r="G2259" s="321"/>
      <c r="H2259" s="321"/>
      <c r="I2259" s="315"/>
      <c r="J2259" s="316" t="str">
        <f t="shared" si="413"/>
        <v/>
      </c>
    </row>
    <row r="2260" spans="1:10" s="316" customFormat="1">
      <c r="A2260" s="321">
        <v>101</v>
      </c>
      <c r="B2260" s="295">
        <f t="shared" si="414"/>
        <v>89</v>
      </c>
      <c r="C2260" s="321">
        <v>3.2</v>
      </c>
      <c r="D2260" s="321" t="s">
        <v>113</v>
      </c>
      <c r="E2260" s="321"/>
      <c r="F2260" s="316" t="str">
        <f t="shared" si="412"/>
        <v/>
      </c>
      <c r="G2260" s="321"/>
      <c r="H2260" s="321"/>
      <c r="I2260" s="315"/>
      <c r="J2260" s="316" t="str">
        <f t="shared" si="413"/>
        <v/>
      </c>
    </row>
    <row r="2261" spans="1:10" s="316" customFormat="1">
      <c r="A2261" s="321">
        <v>101</v>
      </c>
      <c r="B2261" s="295">
        <f t="shared" si="414"/>
        <v>89</v>
      </c>
      <c r="C2261" s="321">
        <v>3.3</v>
      </c>
      <c r="D2261" s="321" t="s">
        <v>114</v>
      </c>
      <c r="E2261" s="321"/>
      <c r="F2261" s="316" t="str">
        <f t="shared" si="412"/>
        <v/>
      </c>
      <c r="G2261" s="321"/>
      <c r="H2261" s="321"/>
      <c r="I2261" s="315"/>
      <c r="J2261" s="316" t="str">
        <f t="shared" si="413"/>
        <v/>
      </c>
    </row>
    <row r="2262" spans="1:10" s="316" customFormat="1">
      <c r="A2262" s="321">
        <v>101</v>
      </c>
      <c r="B2262" s="295">
        <f t="shared" si="414"/>
        <v>89</v>
      </c>
      <c r="C2262" s="321">
        <v>3.4</v>
      </c>
      <c r="D2262" s="321" t="s">
        <v>114</v>
      </c>
      <c r="E2262" s="321"/>
      <c r="F2262" s="316" t="str">
        <f t="shared" si="412"/>
        <v/>
      </c>
      <c r="G2262" s="321"/>
      <c r="H2262" s="321"/>
      <c r="I2262" s="315"/>
      <c r="J2262" s="316" t="str">
        <f t="shared" si="413"/>
        <v/>
      </c>
    </row>
    <row r="2263" spans="1:10" s="316" customFormat="1">
      <c r="A2263" s="321">
        <v>101</v>
      </c>
      <c r="B2263" s="295">
        <f t="shared" si="414"/>
        <v>89</v>
      </c>
      <c r="C2263" s="321">
        <v>3.5</v>
      </c>
      <c r="D2263" s="321" t="s">
        <v>115</v>
      </c>
      <c r="E2263" s="321"/>
      <c r="F2263" s="316" t="str">
        <f t="shared" si="412"/>
        <v/>
      </c>
      <c r="G2263" s="321"/>
      <c r="H2263" s="321"/>
      <c r="I2263" s="315"/>
      <c r="J2263" s="316" t="str">
        <f t="shared" si="413"/>
        <v/>
      </c>
    </row>
    <row r="2264" spans="1:10" s="316" customFormat="1">
      <c r="A2264" s="321">
        <v>101</v>
      </c>
      <c r="B2264" s="295">
        <f t="shared" si="414"/>
        <v>89</v>
      </c>
      <c r="C2264" s="321">
        <v>4.0999999999999996</v>
      </c>
      <c r="D2264" s="321" t="s">
        <v>111</v>
      </c>
      <c r="E2264" s="321"/>
      <c r="F2264" s="316" t="str">
        <f t="shared" si="412"/>
        <v/>
      </c>
      <c r="G2264" s="321"/>
      <c r="H2264" s="321"/>
      <c r="I2264" s="315"/>
      <c r="J2264" s="316" t="str">
        <f t="shared" si="413"/>
        <v/>
      </c>
    </row>
    <row r="2265" spans="1:10" s="316" customFormat="1">
      <c r="A2265" s="321">
        <v>101</v>
      </c>
      <c r="B2265" s="295">
        <f t="shared" si="414"/>
        <v>89</v>
      </c>
      <c r="C2265" s="321">
        <v>4.2</v>
      </c>
      <c r="D2265" s="321" t="s">
        <v>112</v>
      </c>
      <c r="E2265" s="321"/>
      <c r="F2265" s="316" t="str">
        <f t="shared" si="412"/>
        <v/>
      </c>
      <c r="G2265" s="321"/>
      <c r="H2265" s="321"/>
      <c r="I2265" s="315"/>
      <c r="J2265" s="316" t="str">
        <f t="shared" si="413"/>
        <v/>
      </c>
    </row>
    <row r="2266" spans="1:10" s="316" customFormat="1">
      <c r="A2266" s="321">
        <v>101</v>
      </c>
      <c r="B2266" s="295">
        <f t="shared" si="414"/>
        <v>89</v>
      </c>
      <c r="C2266" s="321">
        <v>4.3</v>
      </c>
      <c r="D2266" s="321" t="s">
        <v>113</v>
      </c>
      <c r="E2266" s="321"/>
      <c r="F2266" s="316" t="str">
        <f t="shared" si="412"/>
        <v/>
      </c>
      <c r="G2266" s="321"/>
      <c r="H2266" s="321"/>
      <c r="I2266" s="315"/>
      <c r="J2266" s="316" t="str">
        <f t="shared" si="413"/>
        <v/>
      </c>
    </row>
    <row r="2267" spans="1:10" s="316" customFormat="1">
      <c r="A2267" s="321">
        <v>101</v>
      </c>
      <c r="B2267" s="295">
        <f t="shared" si="414"/>
        <v>89</v>
      </c>
      <c r="C2267" s="321">
        <v>4.4000000000000004</v>
      </c>
      <c r="D2267" s="321" t="s">
        <v>112</v>
      </c>
      <c r="E2267" s="321"/>
      <c r="F2267" s="316" t="str">
        <f t="shared" si="412"/>
        <v/>
      </c>
      <c r="G2267" s="321"/>
      <c r="H2267" s="321"/>
      <c r="I2267" s="315"/>
      <c r="J2267" s="316" t="str">
        <f t="shared" si="413"/>
        <v/>
      </c>
    </row>
    <row r="2268" spans="1:10" s="316" customFormat="1">
      <c r="A2268" s="321">
        <v>101</v>
      </c>
      <c r="B2268" s="295">
        <f t="shared" si="414"/>
        <v>89</v>
      </c>
      <c r="C2268" s="321">
        <v>4.5</v>
      </c>
      <c r="D2268" s="321" t="s">
        <v>112</v>
      </c>
      <c r="E2268" s="321"/>
      <c r="F2268" s="316" t="str">
        <f t="shared" si="412"/>
        <v/>
      </c>
      <c r="G2268" s="321"/>
      <c r="H2268" s="321"/>
      <c r="I2268" s="315"/>
      <c r="J2268" s="316" t="str">
        <f t="shared" si="413"/>
        <v/>
      </c>
    </row>
    <row r="2269" spans="1:10" s="316" customFormat="1">
      <c r="A2269" s="321">
        <v>101</v>
      </c>
      <c r="B2269" s="295">
        <f t="shared" si="414"/>
        <v>89</v>
      </c>
      <c r="C2269" s="321">
        <v>5.0999999999999996</v>
      </c>
      <c r="D2269" s="321" t="s">
        <v>113</v>
      </c>
      <c r="E2269" s="321"/>
      <c r="F2269" s="316" t="str">
        <f t="shared" si="412"/>
        <v/>
      </c>
      <c r="G2269" s="321"/>
      <c r="H2269" s="321"/>
      <c r="I2269" s="315"/>
      <c r="J2269" s="316" t="str">
        <f t="shared" si="413"/>
        <v/>
      </c>
    </row>
    <row r="2270" spans="1:10" s="316" customFormat="1">
      <c r="A2270" s="321">
        <v>101</v>
      </c>
      <c r="B2270" s="295">
        <f t="shared" si="414"/>
        <v>89</v>
      </c>
      <c r="C2270" s="321">
        <v>5.2</v>
      </c>
      <c r="D2270" s="321" t="s">
        <v>114</v>
      </c>
      <c r="E2270" s="321"/>
      <c r="F2270" s="316" t="str">
        <f t="shared" si="412"/>
        <v/>
      </c>
      <c r="G2270" s="321"/>
      <c r="H2270" s="321"/>
      <c r="I2270" s="315"/>
      <c r="J2270" s="316" t="str">
        <f t="shared" si="413"/>
        <v/>
      </c>
    </row>
    <row r="2271" spans="1:10" s="316" customFormat="1">
      <c r="A2271" s="321">
        <v>101</v>
      </c>
      <c r="B2271" s="295">
        <f t="shared" si="414"/>
        <v>89</v>
      </c>
      <c r="C2271" s="321">
        <v>5.3</v>
      </c>
      <c r="D2271" s="321" t="s">
        <v>112</v>
      </c>
      <c r="E2271" s="321"/>
      <c r="F2271" s="316" t="str">
        <f t="shared" si="412"/>
        <v/>
      </c>
      <c r="G2271" s="321"/>
      <c r="H2271" s="321"/>
      <c r="I2271" s="315"/>
      <c r="J2271" s="316" t="str">
        <f t="shared" si="413"/>
        <v/>
      </c>
    </row>
    <row r="2272" spans="1:10" s="316" customFormat="1">
      <c r="A2272" s="321">
        <v>101</v>
      </c>
      <c r="B2272" s="295">
        <f t="shared" si="414"/>
        <v>89</v>
      </c>
      <c r="C2272" s="321">
        <v>5.4</v>
      </c>
      <c r="D2272" s="321" t="s">
        <v>113</v>
      </c>
      <c r="E2272" s="321"/>
      <c r="F2272" s="316" t="str">
        <f t="shared" si="412"/>
        <v/>
      </c>
      <c r="G2272" s="321"/>
      <c r="H2272" s="321"/>
      <c r="I2272" s="315"/>
      <c r="J2272" s="316" t="str">
        <f t="shared" si="413"/>
        <v/>
      </c>
    </row>
    <row r="2273" spans="1:10" s="316" customFormat="1">
      <c r="A2273" s="321">
        <v>101</v>
      </c>
      <c r="B2273" s="295">
        <f t="shared" si="414"/>
        <v>89</v>
      </c>
      <c r="C2273" s="321">
        <v>5.5</v>
      </c>
      <c r="D2273" s="321" t="s">
        <v>114</v>
      </c>
      <c r="E2273" s="321"/>
      <c r="F2273" s="316" t="str">
        <f t="shared" si="412"/>
        <v/>
      </c>
      <c r="G2273" s="321"/>
      <c r="H2273" s="321"/>
      <c r="I2273" s="315"/>
      <c r="J2273" s="316" t="str">
        <f t="shared" si="413"/>
        <v/>
      </c>
    </row>
    <row r="2274" spans="1:10" s="316" customFormat="1">
      <c r="A2274" s="321">
        <v>101</v>
      </c>
      <c r="B2274" s="295">
        <f t="shared" si="414"/>
        <v>89</v>
      </c>
      <c r="C2274" s="321">
        <v>6.1</v>
      </c>
      <c r="D2274" s="321" t="s">
        <v>115</v>
      </c>
      <c r="E2274" s="321"/>
      <c r="F2274" s="316" t="str">
        <f t="shared" si="412"/>
        <v/>
      </c>
      <c r="G2274" s="321"/>
      <c r="H2274" s="321"/>
      <c r="I2274" s="315"/>
      <c r="J2274" s="316" t="str">
        <f t="shared" si="413"/>
        <v/>
      </c>
    </row>
    <row r="2275" spans="1:10" s="316" customFormat="1">
      <c r="A2275" s="321">
        <v>101</v>
      </c>
      <c r="B2275" s="295">
        <f t="shared" si="414"/>
        <v>89</v>
      </c>
      <c r="C2275" s="321">
        <v>6.2</v>
      </c>
      <c r="D2275" s="321" t="s">
        <v>115</v>
      </c>
      <c r="E2275" s="321"/>
      <c r="F2275" s="316" t="str">
        <f t="shared" si="412"/>
        <v/>
      </c>
      <c r="G2275" s="321"/>
      <c r="H2275" s="321"/>
      <c r="I2275" s="315"/>
      <c r="J2275" s="316" t="str">
        <f t="shared" si="413"/>
        <v/>
      </c>
    </row>
    <row r="2276" spans="1:10" s="316" customFormat="1">
      <c r="A2276" s="321">
        <v>101</v>
      </c>
      <c r="B2276" s="295">
        <f t="shared" si="414"/>
        <v>89</v>
      </c>
      <c r="C2276" s="321">
        <v>6.3</v>
      </c>
      <c r="D2276" s="321" t="s">
        <v>114</v>
      </c>
      <c r="E2276" s="321"/>
      <c r="F2276" s="316" t="str">
        <f t="shared" si="412"/>
        <v/>
      </c>
      <c r="G2276" s="321"/>
      <c r="H2276" s="321"/>
      <c r="I2276" s="315"/>
      <c r="J2276" s="316" t="str">
        <f t="shared" si="413"/>
        <v/>
      </c>
    </row>
    <row r="2277" spans="1:10" s="316" customFormat="1">
      <c r="A2277" s="321">
        <v>101</v>
      </c>
      <c r="B2277" s="295">
        <f t="shared" si="414"/>
        <v>89</v>
      </c>
      <c r="C2277" s="321">
        <v>6.4</v>
      </c>
      <c r="D2277" s="321" t="s">
        <v>112</v>
      </c>
      <c r="E2277" s="321"/>
      <c r="F2277" s="316" t="str">
        <f t="shared" si="412"/>
        <v/>
      </c>
      <c r="G2277" s="321"/>
      <c r="H2277" s="321"/>
      <c r="I2277" s="315"/>
      <c r="J2277" s="316" t="str">
        <f t="shared" si="413"/>
        <v/>
      </c>
    </row>
    <row r="2278" spans="1:10" s="316" customFormat="1">
      <c r="A2278" s="321">
        <v>101</v>
      </c>
      <c r="B2278" s="295">
        <f t="shared" si="414"/>
        <v>89</v>
      </c>
      <c r="C2278" s="321">
        <v>6.5</v>
      </c>
      <c r="D2278" s="321" t="s">
        <v>113</v>
      </c>
      <c r="E2278" s="321"/>
      <c r="F2278" s="316" t="str">
        <f t="shared" si="412"/>
        <v/>
      </c>
      <c r="G2278" s="321"/>
      <c r="H2278" s="321"/>
      <c r="I2278" s="315"/>
      <c r="J2278" s="316" t="str">
        <f t="shared" si="413"/>
        <v/>
      </c>
    </row>
    <row r="2279" spans="1:10" s="316" customFormat="1">
      <c r="A2279" s="321">
        <v>101</v>
      </c>
      <c r="B2279" s="295">
        <f t="shared" si="414"/>
        <v>89</v>
      </c>
      <c r="C2279" s="321">
        <v>7.1</v>
      </c>
      <c r="D2279" s="321" t="s">
        <v>114</v>
      </c>
      <c r="E2279" s="321"/>
      <c r="F2279" s="316" t="str">
        <f t="shared" si="412"/>
        <v/>
      </c>
      <c r="G2279" s="321"/>
      <c r="H2279" s="321"/>
      <c r="I2279" s="315"/>
      <c r="J2279" s="316" t="str">
        <f t="shared" si="413"/>
        <v/>
      </c>
    </row>
    <row r="2280" spans="1:10" s="316" customFormat="1">
      <c r="A2280" s="321">
        <v>101</v>
      </c>
      <c r="B2280" s="295">
        <f t="shared" si="414"/>
        <v>89</v>
      </c>
      <c r="C2280" s="321">
        <v>7.2</v>
      </c>
      <c r="D2280" s="321" t="s">
        <v>111</v>
      </c>
      <c r="E2280" s="321"/>
      <c r="F2280" s="316" t="str">
        <f t="shared" si="412"/>
        <v/>
      </c>
      <c r="G2280" s="321"/>
      <c r="H2280" s="321"/>
      <c r="I2280" s="315"/>
      <c r="J2280" s="316" t="str">
        <f t="shared" si="413"/>
        <v/>
      </c>
    </row>
    <row r="2281" spans="1:10" s="316" customFormat="1">
      <c r="A2281" s="321">
        <v>101</v>
      </c>
      <c r="B2281" s="295">
        <f t="shared" si="414"/>
        <v>89</v>
      </c>
      <c r="C2281" s="321">
        <v>7.3</v>
      </c>
      <c r="D2281" s="321" t="s">
        <v>113</v>
      </c>
      <c r="E2281" s="321">
        <v>30</v>
      </c>
      <c r="F2281" s="316">
        <f t="shared" si="412"/>
        <v>1.1111111111111112</v>
      </c>
      <c r="G2281" s="321">
        <v>13.8</v>
      </c>
      <c r="H2281" s="321">
        <v>11.2</v>
      </c>
      <c r="I2281" s="315">
        <f t="shared" ref="I2281" si="416">G2281*(H2281^2)*0.5</f>
        <v>865.53599999999994</v>
      </c>
      <c r="J2281" s="316">
        <f t="shared" si="413"/>
        <v>6.0576131687242798</v>
      </c>
    </row>
    <row r="2282" spans="1:10" s="316" customFormat="1">
      <c r="A2282" s="321">
        <v>101</v>
      </c>
      <c r="B2282" s="295">
        <f t="shared" si="414"/>
        <v>89</v>
      </c>
      <c r="C2282" s="321">
        <v>7.4</v>
      </c>
      <c r="D2282" s="321" t="s">
        <v>115</v>
      </c>
      <c r="E2282" s="321"/>
      <c r="F2282" s="316" t="str">
        <f t="shared" si="412"/>
        <v/>
      </c>
      <c r="G2282" s="321"/>
      <c r="H2282" s="321"/>
      <c r="I2282" s="315"/>
      <c r="J2282" s="316" t="str">
        <f t="shared" si="413"/>
        <v/>
      </c>
    </row>
    <row r="2283" spans="1:10" s="316" customFormat="1">
      <c r="A2283" s="321">
        <v>101</v>
      </c>
      <c r="B2283" s="295">
        <f t="shared" si="414"/>
        <v>89</v>
      </c>
      <c r="C2283" s="321">
        <v>7.5</v>
      </c>
      <c r="D2283" s="321" t="s">
        <v>111</v>
      </c>
      <c r="E2283" s="321"/>
      <c r="F2283" s="316" t="str">
        <f t="shared" si="412"/>
        <v/>
      </c>
      <c r="G2283" s="321"/>
      <c r="H2283" s="321"/>
      <c r="I2283" s="315"/>
      <c r="J2283" s="316" t="str">
        <f t="shared" si="413"/>
        <v/>
      </c>
    </row>
    <row r="2284" spans="1:10" s="316" customFormat="1">
      <c r="A2284" s="321">
        <v>103</v>
      </c>
      <c r="B2284" s="295">
        <f t="shared" si="414"/>
        <v>91</v>
      </c>
      <c r="C2284" s="321">
        <v>1.1000000000000001</v>
      </c>
      <c r="D2284" s="321" t="s">
        <v>112</v>
      </c>
      <c r="E2284" s="321"/>
      <c r="F2284" s="316" t="str">
        <f t="shared" si="412"/>
        <v/>
      </c>
      <c r="G2284" s="321"/>
      <c r="H2284" s="321"/>
      <c r="I2284" s="315"/>
      <c r="J2284" s="316" t="str">
        <f t="shared" si="413"/>
        <v/>
      </c>
    </row>
    <row r="2285" spans="1:10" s="316" customFormat="1">
      <c r="A2285" s="321">
        <v>103</v>
      </c>
      <c r="B2285" s="295">
        <f t="shared" si="414"/>
        <v>91</v>
      </c>
      <c r="C2285" s="321">
        <v>1.2</v>
      </c>
      <c r="D2285" s="321" t="s">
        <v>113</v>
      </c>
      <c r="E2285" s="321">
        <v>34</v>
      </c>
      <c r="F2285" s="316">
        <f t="shared" si="412"/>
        <v>1.2592592592592593</v>
      </c>
      <c r="G2285" s="321">
        <v>12.5</v>
      </c>
      <c r="H2285" s="321">
        <v>12.3</v>
      </c>
      <c r="I2285" s="315">
        <f t="shared" ref="I2285" si="417">G2285*(H2285^2)*0.5</f>
        <v>945.56250000000011</v>
      </c>
      <c r="J2285" s="316">
        <f t="shared" si="413"/>
        <v>4.5198648193249094</v>
      </c>
    </row>
    <row r="2286" spans="1:10" s="316" customFormat="1">
      <c r="A2286" s="321">
        <v>103</v>
      </c>
      <c r="B2286" s="295">
        <f t="shared" si="414"/>
        <v>91</v>
      </c>
      <c r="C2286" s="321">
        <v>1.3</v>
      </c>
      <c r="D2286" s="321" t="s">
        <v>115</v>
      </c>
      <c r="E2286" s="321"/>
      <c r="F2286" s="316" t="str">
        <f t="shared" si="412"/>
        <v/>
      </c>
      <c r="G2286" s="321"/>
      <c r="H2286" s="321"/>
      <c r="I2286" s="315"/>
      <c r="J2286" s="316" t="str">
        <f t="shared" si="413"/>
        <v/>
      </c>
    </row>
    <row r="2287" spans="1:10" s="316" customFormat="1">
      <c r="A2287" s="321">
        <v>103</v>
      </c>
      <c r="B2287" s="295">
        <f t="shared" si="414"/>
        <v>91</v>
      </c>
      <c r="C2287" s="321">
        <v>1.4</v>
      </c>
      <c r="D2287" s="321" t="s">
        <v>115</v>
      </c>
      <c r="E2287" s="321"/>
      <c r="F2287" s="316" t="str">
        <f t="shared" si="412"/>
        <v/>
      </c>
      <c r="G2287" s="321"/>
      <c r="H2287" s="321"/>
      <c r="I2287" s="315"/>
      <c r="J2287" s="316" t="str">
        <f t="shared" si="413"/>
        <v/>
      </c>
    </row>
    <row r="2288" spans="1:10" s="316" customFormat="1">
      <c r="A2288" s="321">
        <v>103</v>
      </c>
      <c r="B2288" s="295">
        <f t="shared" si="414"/>
        <v>91</v>
      </c>
      <c r="C2288" s="321">
        <v>1.5</v>
      </c>
      <c r="D2288" s="321" t="s">
        <v>112</v>
      </c>
      <c r="E2288" s="321"/>
      <c r="F2288" s="316" t="str">
        <f t="shared" si="412"/>
        <v/>
      </c>
      <c r="G2288" s="321"/>
      <c r="H2288" s="321"/>
      <c r="I2288" s="315"/>
      <c r="J2288" s="316" t="str">
        <f t="shared" si="413"/>
        <v/>
      </c>
    </row>
    <row r="2289" spans="1:10" s="316" customFormat="1">
      <c r="A2289" s="321">
        <v>103</v>
      </c>
      <c r="B2289" s="295">
        <f t="shared" si="414"/>
        <v>91</v>
      </c>
      <c r="C2289" s="321">
        <v>2.1</v>
      </c>
      <c r="D2289" s="321" t="s">
        <v>114</v>
      </c>
      <c r="E2289" s="321"/>
      <c r="F2289" s="316" t="str">
        <f t="shared" si="412"/>
        <v/>
      </c>
      <c r="G2289" s="321"/>
      <c r="H2289" s="321"/>
      <c r="I2289" s="315"/>
      <c r="J2289" s="316" t="str">
        <f t="shared" si="413"/>
        <v/>
      </c>
    </row>
    <row r="2290" spans="1:10" s="316" customFormat="1">
      <c r="A2290" s="321">
        <v>103</v>
      </c>
      <c r="B2290" s="295">
        <f t="shared" si="414"/>
        <v>91</v>
      </c>
      <c r="C2290" s="321">
        <v>2.2000000000000002</v>
      </c>
      <c r="D2290" s="321" t="s">
        <v>115</v>
      </c>
      <c r="E2290" s="321"/>
      <c r="F2290" s="316" t="str">
        <f t="shared" si="412"/>
        <v/>
      </c>
      <c r="G2290" s="321"/>
      <c r="H2290" s="321"/>
      <c r="I2290" s="315"/>
      <c r="J2290" s="316" t="str">
        <f t="shared" si="413"/>
        <v/>
      </c>
    </row>
    <row r="2291" spans="1:10" s="316" customFormat="1">
      <c r="A2291" s="321">
        <v>103</v>
      </c>
      <c r="B2291" s="295">
        <f t="shared" si="414"/>
        <v>91</v>
      </c>
      <c r="C2291" s="321">
        <v>2.2999999999999998</v>
      </c>
      <c r="D2291" s="321" t="s">
        <v>112</v>
      </c>
      <c r="E2291" s="321"/>
      <c r="F2291" s="316" t="str">
        <f t="shared" si="412"/>
        <v/>
      </c>
      <c r="G2291" s="321"/>
      <c r="H2291" s="321"/>
      <c r="I2291" s="315"/>
      <c r="J2291" s="316" t="str">
        <f t="shared" si="413"/>
        <v/>
      </c>
    </row>
    <row r="2292" spans="1:10" s="316" customFormat="1">
      <c r="A2292" s="321">
        <v>103</v>
      </c>
      <c r="B2292" s="295">
        <f t="shared" si="414"/>
        <v>91</v>
      </c>
      <c r="C2292" s="321">
        <v>2.4</v>
      </c>
      <c r="D2292" s="321" t="s">
        <v>114</v>
      </c>
      <c r="E2292" s="321"/>
      <c r="F2292" s="316" t="str">
        <f t="shared" si="412"/>
        <v/>
      </c>
      <c r="G2292" s="321"/>
      <c r="H2292" s="321"/>
      <c r="I2292" s="315"/>
      <c r="J2292" s="316" t="str">
        <f t="shared" si="413"/>
        <v/>
      </c>
    </row>
    <row r="2293" spans="1:10" s="316" customFormat="1">
      <c r="A2293" s="321">
        <v>103</v>
      </c>
      <c r="B2293" s="295">
        <f t="shared" si="414"/>
        <v>91</v>
      </c>
      <c r="C2293" s="321">
        <v>2.5</v>
      </c>
      <c r="D2293" s="321" t="s">
        <v>113</v>
      </c>
      <c r="E2293" s="321"/>
      <c r="F2293" s="316" t="str">
        <f t="shared" si="412"/>
        <v/>
      </c>
      <c r="G2293" s="321"/>
      <c r="H2293" s="321"/>
      <c r="I2293" s="315"/>
      <c r="J2293" s="316" t="str">
        <f t="shared" si="413"/>
        <v/>
      </c>
    </row>
    <row r="2294" spans="1:10" s="316" customFormat="1">
      <c r="A2294" s="321">
        <v>103</v>
      </c>
      <c r="B2294" s="295">
        <f t="shared" si="414"/>
        <v>91</v>
      </c>
      <c r="C2294" s="321">
        <v>3.1</v>
      </c>
      <c r="D2294" s="321" t="s">
        <v>115</v>
      </c>
      <c r="E2294" s="321"/>
      <c r="F2294" s="316" t="str">
        <f t="shared" si="412"/>
        <v/>
      </c>
      <c r="G2294" s="321"/>
      <c r="H2294" s="321"/>
      <c r="I2294" s="315"/>
      <c r="J2294" s="316" t="str">
        <f t="shared" si="413"/>
        <v/>
      </c>
    </row>
    <row r="2295" spans="1:10" s="316" customFormat="1">
      <c r="A2295" s="321">
        <v>103</v>
      </c>
      <c r="B2295" s="295">
        <f t="shared" si="414"/>
        <v>91</v>
      </c>
      <c r="C2295" s="321">
        <v>3.2</v>
      </c>
      <c r="D2295" s="321" t="s">
        <v>113</v>
      </c>
      <c r="E2295" s="321"/>
      <c r="F2295" s="316" t="str">
        <f t="shared" si="412"/>
        <v/>
      </c>
      <c r="G2295" s="321"/>
      <c r="H2295" s="321"/>
      <c r="I2295" s="315"/>
      <c r="J2295" s="316" t="str">
        <f t="shared" si="413"/>
        <v/>
      </c>
    </row>
    <row r="2296" spans="1:10" s="316" customFormat="1">
      <c r="A2296" s="321">
        <v>103</v>
      </c>
      <c r="B2296" s="295">
        <f t="shared" si="414"/>
        <v>91</v>
      </c>
      <c r="C2296" s="321">
        <v>3.3</v>
      </c>
      <c r="D2296" s="321" t="s">
        <v>114</v>
      </c>
      <c r="E2296" s="321"/>
      <c r="F2296" s="316" t="str">
        <f t="shared" si="412"/>
        <v/>
      </c>
      <c r="G2296" s="321"/>
      <c r="H2296" s="321"/>
      <c r="I2296" s="315"/>
      <c r="J2296" s="316" t="str">
        <f t="shared" si="413"/>
        <v/>
      </c>
    </row>
    <row r="2297" spans="1:10" s="316" customFormat="1">
      <c r="A2297" s="321">
        <v>103</v>
      </c>
      <c r="B2297" s="295">
        <f t="shared" si="414"/>
        <v>91</v>
      </c>
      <c r="C2297" s="321">
        <v>3.4</v>
      </c>
      <c r="D2297" s="321" t="s">
        <v>114</v>
      </c>
      <c r="E2297" s="321"/>
      <c r="F2297" s="316" t="str">
        <f t="shared" si="412"/>
        <v/>
      </c>
      <c r="G2297" s="321"/>
      <c r="H2297" s="321"/>
      <c r="I2297" s="315"/>
      <c r="J2297" s="316" t="str">
        <f t="shared" si="413"/>
        <v/>
      </c>
    </row>
    <row r="2298" spans="1:10" s="316" customFormat="1">
      <c r="A2298" s="321">
        <v>103</v>
      </c>
      <c r="B2298" s="295">
        <f t="shared" si="414"/>
        <v>91</v>
      </c>
      <c r="C2298" s="321">
        <v>3.5</v>
      </c>
      <c r="D2298" s="321" t="s">
        <v>115</v>
      </c>
      <c r="E2298" s="321"/>
      <c r="F2298" s="316" t="str">
        <f t="shared" si="412"/>
        <v/>
      </c>
      <c r="G2298" s="321"/>
      <c r="H2298" s="321"/>
      <c r="I2298" s="315"/>
      <c r="J2298" s="316" t="str">
        <f t="shared" si="413"/>
        <v/>
      </c>
    </row>
    <row r="2299" spans="1:10" s="316" customFormat="1">
      <c r="A2299" s="321">
        <v>103</v>
      </c>
      <c r="B2299" s="295">
        <f t="shared" si="414"/>
        <v>91</v>
      </c>
      <c r="C2299" s="321">
        <v>4.0999999999999996</v>
      </c>
      <c r="D2299" s="321" t="s">
        <v>111</v>
      </c>
      <c r="E2299" s="321"/>
      <c r="F2299" s="316" t="str">
        <f t="shared" si="412"/>
        <v/>
      </c>
      <c r="G2299" s="321"/>
      <c r="H2299" s="321"/>
      <c r="I2299" s="315"/>
      <c r="J2299" s="316" t="str">
        <f t="shared" si="413"/>
        <v/>
      </c>
    </row>
    <row r="2300" spans="1:10" s="316" customFormat="1">
      <c r="A2300" s="321">
        <v>103</v>
      </c>
      <c r="B2300" s="295">
        <f t="shared" si="414"/>
        <v>91</v>
      </c>
      <c r="C2300" s="321">
        <v>4.2</v>
      </c>
      <c r="D2300" s="321" t="s">
        <v>112</v>
      </c>
      <c r="E2300" s="321"/>
      <c r="F2300" s="316" t="str">
        <f t="shared" si="412"/>
        <v/>
      </c>
      <c r="G2300" s="321"/>
      <c r="H2300" s="321"/>
      <c r="I2300" s="315"/>
      <c r="J2300" s="316" t="str">
        <f t="shared" si="413"/>
        <v/>
      </c>
    </row>
    <row r="2301" spans="1:10" s="316" customFormat="1">
      <c r="A2301" s="321">
        <v>103</v>
      </c>
      <c r="B2301" s="295">
        <f t="shared" si="414"/>
        <v>91</v>
      </c>
      <c r="C2301" s="321">
        <v>4.3</v>
      </c>
      <c r="D2301" s="321" t="s">
        <v>113</v>
      </c>
      <c r="E2301" s="321"/>
      <c r="F2301" s="316" t="str">
        <f t="shared" si="412"/>
        <v/>
      </c>
      <c r="G2301" s="321"/>
      <c r="H2301" s="321"/>
      <c r="I2301" s="315"/>
      <c r="J2301" s="316" t="str">
        <f t="shared" si="413"/>
        <v/>
      </c>
    </row>
    <row r="2302" spans="1:10" s="316" customFormat="1">
      <c r="A2302" s="321">
        <v>103</v>
      </c>
      <c r="B2302" s="295">
        <f t="shared" si="414"/>
        <v>91</v>
      </c>
      <c r="C2302" s="321">
        <v>4.4000000000000004</v>
      </c>
      <c r="D2302" s="321" t="s">
        <v>112</v>
      </c>
      <c r="E2302" s="321"/>
      <c r="F2302" s="316" t="str">
        <f t="shared" si="412"/>
        <v/>
      </c>
      <c r="G2302" s="321"/>
      <c r="H2302" s="321"/>
      <c r="I2302" s="315"/>
      <c r="J2302" s="316" t="str">
        <f t="shared" si="413"/>
        <v/>
      </c>
    </row>
    <row r="2303" spans="1:10" s="316" customFormat="1">
      <c r="A2303" s="321">
        <v>103</v>
      </c>
      <c r="B2303" s="295">
        <f t="shared" si="414"/>
        <v>91</v>
      </c>
      <c r="C2303" s="321">
        <v>4.5</v>
      </c>
      <c r="D2303" s="321" t="s">
        <v>112</v>
      </c>
      <c r="E2303" s="321"/>
      <c r="F2303" s="316" t="str">
        <f t="shared" si="412"/>
        <v/>
      </c>
      <c r="G2303" s="321"/>
      <c r="H2303" s="321"/>
      <c r="I2303" s="315"/>
      <c r="J2303" s="316" t="str">
        <f t="shared" si="413"/>
        <v/>
      </c>
    </row>
    <row r="2304" spans="1:10" s="316" customFormat="1">
      <c r="A2304" s="321">
        <v>103</v>
      </c>
      <c r="B2304" s="295">
        <f t="shared" si="414"/>
        <v>91</v>
      </c>
      <c r="C2304" s="321">
        <v>5.0999999999999996</v>
      </c>
      <c r="D2304" s="321" t="s">
        <v>113</v>
      </c>
      <c r="E2304" s="321"/>
      <c r="F2304" s="316" t="str">
        <f t="shared" si="412"/>
        <v/>
      </c>
      <c r="G2304" s="321"/>
      <c r="H2304" s="321"/>
      <c r="I2304" s="315"/>
      <c r="J2304" s="316" t="str">
        <f t="shared" si="413"/>
        <v/>
      </c>
    </row>
    <row r="2305" spans="1:10" s="316" customFormat="1">
      <c r="A2305" s="321">
        <v>103</v>
      </c>
      <c r="B2305" s="295">
        <f t="shared" si="414"/>
        <v>91</v>
      </c>
      <c r="C2305" s="321">
        <v>5.2</v>
      </c>
      <c r="D2305" s="321" t="s">
        <v>114</v>
      </c>
      <c r="E2305" s="321"/>
      <c r="F2305" s="316" t="str">
        <f t="shared" si="412"/>
        <v/>
      </c>
      <c r="G2305" s="321"/>
      <c r="H2305" s="321"/>
      <c r="I2305" s="315"/>
      <c r="J2305" s="316" t="str">
        <f t="shared" si="413"/>
        <v/>
      </c>
    </row>
    <row r="2306" spans="1:10" s="316" customFormat="1">
      <c r="A2306" s="321">
        <v>103</v>
      </c>
      <c r="B2306" s="295">
        <f t="shared" si="414"/>
        <v>91</v>
      </c>
      <c r="C2306" s="321">
        <v>5.3</v>
      </c>
      <c r="D2306" s="321" t="s">
        <v>112</v>
      </c>
      <c r="E2306" s="321"/>
      <c r="F2306" s="316" t="str">
        <f t="shared" si="412"/>
        <v/>
      </c>
      <c r="G2306" s="321"/>
      <c r="H2306" s="321"/>
      <c r="I2306" s="315"/>
      <c r="J2306" s="316" t="str">
        <f t="shared" si="413"/>
        <v/>
      </c>
    </row>
    <row r="2307" spans="1:10" s="316" customFormat="1">
      <c r="A2307" s="321">
        <v>103</v>
      </c>
      <c r="B2307" s="295">
        <f t="shared" si="414"/>
        <v>91</v>
      </c>
      <c r="C2307" s="321">
        <v>5.4</v>
      </c>
      <c r="D2307" s="321" t="s">
        <v>113</v>
      </c>
      <c r="E2307" s="321"/>
      <c r="F2307" s="316" t="str">
        <f t="shared" si="412"/>
        <v/>
      </c>
      <c r="G2307" s="321"/>
      <c r="H2307" s="321"/>
      <c r="I2307" s="315"/>
      <c r="J2307" s="316" t="str">
        <f t="shared" si="413"/>
        <v/>
      </c>
    </row>
    <row r="2308" spans="1:10" s="316" customFormat="1">
      <c r="A2308" s="321">
        <v>103</v>
      </c>
      <c r="B2308" s="295">
        <f t="shared" si="414"/>
        <v>91</v>
      </c>
      <c r="C2308" s="321">
        <v>5.5</v>
      </c>
      <c r="D2308" s="321" t="s">
        <v>114</v>
      </c>
      <c r="E2308" s="321"/>
      <c r="F2308" s="316" t="str">
        <f t="shared" si="412"/>
        <v/>
      </c>
      <c r="G2308" s="321"/>
      <c r="H2308" s="321"/>
      <c r="I2308" s="315"/>
      <c r="J2308" s="316" t="str">
        <f t="shared" si="413"/>
        <v/>
      </c>
    </row>
    <row r="2309" spans="1:10" s="316" customFormat="1">
      <c r="A2309" s="321">
        <v>103</v>
      </c>
      <c r="B2309" s="295">
        <f t="shared" si="414"/>
        <v>91</v>
      </c>
      <c r="C2309" s="321">
        <v>6.1</v>
      </c>
      <c r="D2309" s="321" t="s">
        <v>115</v>
      </c>
      <c r="E2309" s="321"/>
      <c r="F2309" s="316" t="str">
        <f t="shared" si="412"/>
        <v/>
      </c>
      <c r="G2309" s="321"/>
      <c r="H2309" s="321"/>
      <c r="I2309" s="315"/>
      <c r="J2309" s="316" t="str">
        <f t="shared" si="413"/>
        <v/>
      </c>
    </row>
    <row r="2310" spans="1:10" s="316" customFormat="1">
      <c r="A2310" s="321">
        <v>103</v>
      </c>
      <c r="B2310" s="295">
        <f t="shared" si="414"/>
        <v>91</v>
      </c>
      <c r="C2310" s="321">
        <v>6.2</v>
      </c>
      <c r="D2310" s="321" t="s">
        <v>115</v>
      </c>
      <c r="E2310" s="321"/>
      <c r="F2310" s="316" t="str">
        <f t="shared" si="412"/>
        <v/>
      </c>
      <c r="G2310" s="321"/>
      <c r="H2310" s="321"/>
      <c r="I2310" s="315"/>
      <c r="J2310" s="316" t="str">
        <f t="shared" si="413"/>
        <v/>
      </c>
    </row>
    <row r="2311" spans="1:10" s="316" customFormat="1">
      <c r="A2311" s="321">
        <v>103</v>
      </c>
      <c r="B2311" s="295">
        <f t="shared" si="414"/>
        <v>91</v>
      </c>
      <c r="C2311" s="321">
        <v>6.3</v>
      </c>
      <c r="D2311" s="321" t="s">
        <v>114</v>
      </c>
      <c r="E2311" s="321"/>
      <c r="F2311" s="316" t="str">
        <f t="shared" si="412"/>
        <v/>
      </c>
      <c r="G2311" s="321"/>
      <c r="H2311" s="321"/>
      <c r="I2311" s="315"/>
      <c r="J2311" s="316" t="str">
        <f t="shared" si="413"/>
        <v/>
      </c>
    </row>
    <row r="2312" spans="1:10" s="316" customFormat="1">
      <c r="A2312" s="321">
        <v>103</v>
      </c>
      <c r="B2312" s="295">
        <f t="shared" si="414"/>
        <v>91</v>
      </c>
      <c r="C2312" s="321">
        <v>6.4</v>
      </c>
      <c r="D2312" s="321" t="s">
        <v>112</v>
      </c>
      <c r="E2312" s="321"/>
      <c r="F2312" s="316" t="str">
        <f t="shared" si="412"/>
        <v/>
      </c>
      <c r="G2312" s="321"/>
      <c r="H2312" s="321"/>
      <c r="I2312" s="315"/>
      <c r="J2312" s="316" t="str">
        <f t="shared" si="413"/>
        <v/>
      </c>
    </row>
    <row r="2313" spans="1:10" s="316" customFormat="1">
      <c r="A2313" s="321">
        <v>103</v>
      </c>
      <c r="B2313" s="295">
        <f t="shared" si="414"/>
        <v>91</v>
      </c>
      <c r="C2313" s="321">
        <v>6.5</v>
      </c>
      <c r="D2313" s="321" t="s">
        <v>113</v>
      </c>
      <c r="E2313" s="321"/>
      <c r="F2313" s="316" t="str">
        <f t="shared" ref="F2313:F2376" si="418">IF(ISBLANK(E2313),"",E2313/SUMIFS(E:E,C:C,C2313,B:B,"0"))</f>
        <v/>
      </c>
      <c r="G2313" s="321"/>
      <c r="H2313" s="321"/>
      <c r="I2313" s="315"/>
      <c r="J2313" s="316" t="str">
        <f t="shared" ref="J2313:J2376" si="419">IF(ISBLANK(I2313),"",I2313/SUMIFS(I:I,C:C,C2313,B:B,"0"))</f>
        <v/>
      </c>
    </row>
    <row r="2314" spans="1:10" s="316" customFormat="1">
      <c r="A2314" s="321">
        <v>103</v>
      </c>
      <c r="B2314" s="295">
        <f t="shared" ref="B2314:B2377" si="420">A2314-12</f>
        <v>91</v>
      </c>
      <c r="C2314" s="321">
        <v>7.1</v>
      </c>
      <c r="D2314" s="321" t="s">
        <v>114</v>
      </c>
      <c r="E2314" s="321"/>
      <c r="F2314" s="316" t="str">
        <f t="shared" si="418"/>
        <v/>
      </c>
      <c r="G2314" s="321"/>
      <c r="H2314" s="321"/>
      <c r="I2314" s="315"/>
      <c r="J2314" s="316" t="str">
        <f t="shared" si="419"/>
        <v/>
      </c>
    </row>
    <row r="2315" spans="1:10" s="316" customFormat="1">
      <c r="A2315" s="321">
        <v>103</v>
      </c>
      <c r="B2315" s="295">
        <f t="shared" si="420"/>
        <v>91</v>
      </c>
      <c r="C2315" s="321">
        <v>7.2</v>
      </c>
      <c r="D2315" s="321" t="s">
        <v>111</v>
      </c>
      <c r="E2315" s="321"/>
      <c r="F2315" s="316" t="str">
        <f t="shared" si="418"/>
        <v/>
      </c>
      <c r="G2315" s="321"/>
      <c r="H2315" s="321"/>
      <c r="I2315" s="315"/>
      <c r="J2315" s="316" t="str">
        <f t="shared" si="419"/>
        <v/>
      </c>
    </row>
    <row r="2316" spans="1:10" s="316" customFormat="1">
      <c r="A2316" s="321">
        <v>103</v>
      </c>
      <c r="B2316" s="295">
        <f t="shared" si="420"/>
        <v>91</v>
      </c>
      <c r="C2316" s="321">
        <v>7.3</v>
      </c>
      <c r="D2316" s="321" t="s">
        <v>113</v>
      </c>
      <c r="E2316" s="321">
        <v>31</v>
      </c>
      <c r="F2316" s="316">
        <f t="shared" si="418"/>
        <v>1.1481481481481481</v>
      </c>
      <c r="G2316" s="321">
        <v>12.2</v>
      </c>
      <c r="H2316" s="321">
        <v>11.8</v>
      </c>
      <c r="I2316" s="315">
        <f t="shared" ref="I2316" si="421">G2316*(H2316^2)*0.5</f>
        <v>849.36400000000003</v>
      </c>
      <c r="J2316" s="316">
        <f t="shared" si="419"/>
        <v>5.9444304470759501</v>
      </c>
    </row>
    <row r="2317" spans="1:10" s="316" customFormat="1">
      <c r="A2317" s="321">
        <v>103</v>
      </c>
      <c r="B2317" s="295">
        <f t="shared" si="420"/>
        <v>91</v>
      </c>
      <c r="C2317" s="321">
        <v>7.4</v>
      </c>
      <c r="D2317" s="321" t="s">
        <v>115</v>
      </c>
      <c r="E2317" s="321"/>
      <c r="F2317" s="316" t="str">
        <f t="shared" si="418"/>
        <v/>
      </c>
      <c r="G2317" s="321"/>
      <c r="H2317" s="321"/>
      <c r="I2317" s="315"/>
      <c r="J2317" s="316" t="str">
        <f t="shared" si="419"/>
        <v/>
      </c>
    </row>
    <row r="2318" spans="1:10" s="316" customFormat="1">
      <c r="A2318" s="321">
        <v>103</v>
      </c>
      <c r="B2318" s="295">
        <f t="shared" si="420"/>
        <v>91</v>
      </c>
      <c r="C2318" s="321">
        <v>7.5</v>
      </c>
      <c r="D2318" s="321" t="s">
        <v>111</v>
      </c>
      <c r="E2318" s="321"/>
      <c r="F2318" s="316" t="str">
        <f t="shared" si="418"/>
        <v/>
      </c>
      <c r="G2318" s="321"/>
      <c r="H2318" s="321"/>
      <c r="I2318" s="315"/>
      <c r="J2318" s="316" t="str">
        <f t="shared" si="419"/>
        <v/>
      </c>
    </row>
    <row r="2319" spans="1:10" s="316" customFormat="1">
      <c r="A2319" s="321">
        <v>105</v>
      </c>
      <c r="B2319" s="295">
        <f t="shared" si="420"/>
        <v>93</v>
      </c>
      <c r="C2319" s="321">
        <v>1.1000000000000001</v>
      </c>
      <c r="D2319" s="321" t="s">
        <v>112</v>
      </c>
      <c r="E2319" s="321"/>
      <c r="F2319" s="316" t="str">
        <f t="shared" si="418"/>
        <v/>
      </c>
      <c r="G2319" s="321"/>
      <c r="H2319" s="321"/>
      <c r="I2319" s="315"/>
      <c r="J2319" s="316" t="str">
        <f t="shared" si="419"/>
        <v/>
      </c>
    </row>
    <row r="2320" spans="1:10" s="316" customFormat="1">
      <c r="A2320" s="321">
        <v>105</v>
      </c>
      <c r="B2320" s="295">
        <f t="shared" si="420"/>
        <v>93</v>
      </c>
      <c r="C2320" s="321">
        <v>1.2</v>
      </c>
      <c r="D2320" s="321" t="s">
        <v>113</v>
      </c>
      <c r="E2320" s="321">
        <v>34</v>
      </c>
      <c r="F2320" s="316">
        <f t="shared" si="418"/>
        <v>1.2592592592592593</v>
      </c>
      <c r="G2320" s="321">
        <v>13.6</v>
      </c>
      <c r="H2320" s="321">
        <v>12.6</v>
      </c>
      <c r="I2320" s="315">
        <f t="shared" ref="I2320" si="422">G2320*(H2320^2)*0.5</f>
        <v>1079.568</v>
      </c>
      <c r="J2320" s="316">
        <f t="shared" si="419"/>
        <v>5.1604218899004071</v>
      </c>
    </row>
    <row r="2321" spans="1:10" s="316" customFormat="1">
      <c r="A2321" s="321">
        <v>105</v>
      </c>
      <c r="B2321" s="295">
        <f t="shared" si="420"/>
        <v>93</v>
      </c>
      <c r="C2321" s="321">
        <v>1.3</v>
      </c>
      <c r="D2321" s="321" t="s">
        <v>115</v>
      </c>
      <c r="E2321" s="321"/>
      <c r="F2321" s="316" t="str">
        <f t="shared" si="418"/>
        <v/>
      </c>
      <c r="G2321" s="321"/>
      <c r="H2321" s="321"/>
      <c r="I2321" s="315"/>
      <c r="J2321" s="316" t="str">
        <f t="shared" si="419"/>
        <v/>
      </c>
    </row>
    <row r="2322" spans="1:10" s="316" customFormat="1">
      <c r="A2322" s="321">
        <v>105</v>
      </c>
      <c r="B2322" s="295">
        <f t="shared" si="420"/>
        <v>93</v>
      </c>
      <c r="C2322" s="321">
        <v>1.4</v>
      </c>
      <c r="D2322" s="321" t="s">
        <v>115</v>
      </c>
      <c r="E2322" s="321"/>
      <c r="F2322" s="316" t="str">
        <f t="shared" si="418"/>
        <v/>
      </c>
      <c r="G2322" s="321"/>
      <c r="H2322" s="321"/>
      <c r="I2322" s="315"/>
      <c r="J2322" s="316" t="str">
        <f t="shared" si="419"/>
        <v/>
      </c>
    </row>
    <row r="2323" spans="1:10" s="316" customFormat="1">
      <c r="A2323" s="321">
        <v>105</v>
      </c>
      <c r="B2323" s="295">
        <f t="shared" si="420"/>
        <v>93</v>
      </c>
      <c r="C2323" s="321">
        <v>1.5</v>
      </c>
      <c r="D2323" s="321" t="s">
        <v>112</v>
      </c>
      <c r="E2323" s="321"/>
      <c r="F2323" s="316" t="str">
        <f t="shared" si="418"/>
        <v/>
      </c>
      <c r="G2323" s="321"/>
      <c r="H2323" s="321"/>
      <c r="I2323" s="315"/>
      <c r="J2323" s="316" t="str">
        <f t="shared" si="419"/>
        <v/>
      </c>
    </row>
    <row r="2324" spans="1:10" s="316" customFormat="1">
      <c r="A2324" s="321">
        <v>105</v>
      </c>
      <c r="B2324" s="295">
        <f t="shared" si="420"/>
        <v>93</v>
      </c>
      <c r="C2324" s="321">
        <v>2.1</v>
      </c>
      <c r="D2324" s="321" t="s">
        <v>114</v>
      </c>
      <c r="E2324" s="321"/>
      <c r="F2324" s="316" t="str">
        <f t="shared" si="418"/>
        <v/>
      </c>
      <c r="G2324" s="321"/>
      <c r="H2324" s="321"/>
      <c r="I2324" s="315"/>
      <c r="J2324" s="316" t="str">
        <f t="shared" si="419"/>
        <v/>
      </c>
    </row>
    <row r="2325" spans="1:10" s="316" customFormat="1">
      <c r="A2325" s="321">
        <v>105</v>
      </c>
      <c r="B2325" s="295">
        <f t="shared" si="420"/>
        <v>93</v>
      </c>
      <c r="C2325" s="321">
        <v>2.2000000000000002</v>
      </c>
      <c r="D2325" s="321" t="s">
        <v>115</v>
      </c>
      <c r="E2325" s="321"/>
      <c r="F2325" s="316" t="str">
        <f t="shared" si="418"/>
        <v/>
      </c>
      <c r="G2325" s="321"/>
      <c r="H2325" s="321"/>
      <c r="I2325" s="315"/>
      <c r="J2325" s="316" t="str">
        <f t="shared" si="419"/>
        <v/>
      </c>
    </row>
    <row r="2326" spans="1:10" s="316" customFormat="1">
      <c r="A2326" s="321">
        <v>105</v>
      </c>
      <c r="B2326" s="295">
        <f t="shared" si="420"/>
        <v>93</v>
      </c>
      <c r="C2326" s="321">
        <v>2.2999999999999998</v>
      </c>
      <c r="D2326" s="321" t="s">
        <v>112</v>
      </c>
      <c r="E2326" s="321"/>
      <c r="F2326" s="316" t="str">
        <f t="shared" si="418"/>
        <v/>
      </c>
      <c r="G2326" s="321"/>
      <c r="H2326" s="321"/>
      <c r="I2326" s="315"/>
      <c r="J2326" s="316" t="str">
        <f t="shared" si="419"/>
        <v/>
      </c>
    </row>
    <row r="2327" spans="1:10" s="316" customFormat="1">
      <c r="A2327" s="321">
        <v>105</v>
      </c>
      <c r="B2327" s="295">
        <f t="shared" si="420"/>
        <v>93</v>
      </c>
      <c r="C2327" s="321">
        <v>2.4</v>
      </c>
      <c r="D2327" s="321" t="s">
        <v>114</v>
      </c>
      <c r="E2327" s="321"/>
      <c r="F2327" s="316" t="str">
        <f t="shared" si="418"/>
        <v/>
      </c>
      <c r="G2327" s="321"/>
      <c r="H2327" s="321"/>
      <c r="I2327" s="315"/>
      <c r="J2327" s="316" t="str">
        <f t="shared" si="419"/>
        <v/>
      </c>
    </row>
    <row r="2328" spans="1:10" s="316" customFormat="1">
      <c r="A2328" s="321">
        <v>105</v>
      </c>
      <c r="B2328" s="295">
        <f t="shared" si="420"/>
        <v>93</v>
      </c>
      <c r="C2328" s="321">
        <v>2.5</v>
      </c>
      <c r="D2328" s="321" t="s">
        <v>113</v>
      </c>
      <c r="E2328" s="321"/>
      <c r="F2328" s="316" t="str">
        <f t="shared" si="418"/>
        <v/>
      </c>
      <c r="G2328" s="321"/>
      <c r="H2328" s="321"/>
      <c r="I2328" s="315"/>
      <c r="J2328" s="316" t="str">
        <f t="shared" si="419"/>
        <v/>
      </c>
    </row>
    <row r="2329" spans="1:10" s="316" customFormat="1">
      <c r="A2329" s="321">
        <v>105</v>
      </c>
      <c r="B2329" s="295">
        <f t="shared" si="420"/>
        <v>93</v>
      </c>
      <c r="C2329" s="321">
        <v>3.1</v>
      </c>
      <c r="D2329" s="321" t="s">
        <v>115</v>
      </c>
      <c r="E2329" s="321"/>
      <c r="F2329" s="316" t="str">
        <f t="shared" si="418"/>
        <v/>
      </c>
      <c r="G2329" s="321"/>
      <c r="H2329" s="321"/>
      <c r="I2329" s="315"/>
      <c r="J2329" s="316" t="str">
        <f t="shared" si="419"/>
        <v/>
      </c>
    </row>
    <row r="2330" spans="1:10" s="316" customFormat="1">
      <c r="A2330" s="321">
        <v>105</v>
      </c>
      <c r="B2330" s="295">
        <f t="shared" si="420"/>
        <v>93</v>
      </c>
      <c r="C2330" s="321">
        <v>3.2</v>
      </c>
      <c r="D2330" s="321" t="s">
        <v>113</v>
      </c>
      <c r="E2330" s="321"/>
      <c r="F2330" s="316" t="str">
        <f t="shared" si="418"/>
        <v/>
      </c>
      <c r="G2330" s="321"/>
      <c r="H2330" s="321"/>
      <c r="I2330" s="315"/>
      <c r="J2330" s="316" t="str">
        <f t="shared" si="419"/>
        <v/>
      </c>
    </row>
    <row r="2331" spans="1:10" s="316" customFormat="1">
      <c r="A2331" s="321">
        <v>105</v>
      </c>
      <c r="B2331" s="295">
        <f t="shared" si="420"/>
        <v>93</v>
      </c>
      <c r="C2331" s="321">
        <v>3.3</v>
      </c>
      <c r="D2331" s="321" t="s">
        <v>114</v>
      </c>
      <c r="E2331" s="321"/>
      <c r="F2331" s="316" t="str">
        <f t="shared" si="418"/>
        <v/>
      </c>
      <c r="G2331" s="321"/>
      <c r="H2331" s="321"/>
      <c r="I2331" s="315"/>
      <c r="J2331" s="316" t="str">
        <f t="shared" si="419"/>
        <v/>
      </c>
    </row>
    <row r="2332" spans="1:10" s="316" customFormat="1">
      <c r="A2332" s="321">
        <v>105</v>
      </c>
      <c r="B2332" s="295">
        <f t="shared" si="420"/>
        <v>93</v>
      </c>
      <c r="C2332" s="321">
        <v>3.4</v>
      </c>
      <c r="D2332" s="321" t="s">
        <v>114</v>
      </c>
      <c r="E2332" s="321"/>
      <c r="F2332" s="316" t="str">
        <f t="shared" si="418"/>
        <v/>
      </c>
      <c r="G2332" s="321"/>
      <c r="H2332" s="321"/>
      <c r="I2332" s="315"/>
      <c r="J2332" s="316" t="str">
        <f t="shared" si="419"/>
        <v/>
      </c>
    </row>
    <row r="2333" spans="1:10" s="316" customFormat="1">
      <c r="A2333" s="321">
        <v>105</v>
      </c>
      <c r="B2333" s="295">
        <f t="shared" si="420"/>
        <v>93</v>
      </c>
      <c r="C2333" s="321">
        <v>3.5</v>
      </c>
      <c r="D2333" s="321" t="s">
        <v>115</v>
      </c>
      <c r="E2333" s="321"/>
      <c r="F2333" s="316" t="str">
        <f t="shared" si="418"/>
        <v/>
      </c>
      <c r="G2333" s="321"/>
      <c r="H2333" s="321"/>
      <c r="I2333" s="315"/>
      <c r="J2333" s="316" t="str">
        <f t="shared" si="419"/>
        <v/>
      </c>
    </row>
    <row r="2334" spans="1:10" s="316" customFormat="1">
      <c r="A2334" s="321">
        <v>105</v>
      </c>
      <c r="B2334" s="295">
        <f t="shared" si="420"/>
        <v>93</v>
      </c>
      <c r="C2334" s="321">
        <v>4.0999999999999996</v>
      </c>
      <c r="D2334" s="321" t="s">
        <v>111</v>
      </c>
      <c r="E2334" s="321"/>
      <c r="F2334" s="316" t="str">
        <f t="shared" si="418"/>
        <v/>
      </c>
      <c r="G2334" s="321"/>
      <c r="H2334" s="321"/>
      <c r="I2334" s="315"/>
      <c r="J2334" s="316" t="str">
        <f t="shared" si="419"/>
        <v/>
      </c>
    </row>
    <row r="2335" spans="1:10" s="316" customFormat="1">
      <c r="A2335" s="321">
        <v>105</v>
      </c>
      <c r="B2335" s="295">
        <f t="shared" si="420"/>
        <v>93</v>
      </c>
      <c r="C2335" s="321">
        <v>4.2</v>
      </c>
      <c r="D2335" s="321" t="s">
        <v>112</v>
      </c>
      <c r="E2335" s="321"/>
      <c r="F2335" s="316" t="str">
        <f t="shared" si="418"/>
        <v/>
      </c>
      <c r="G2335" s="321"/>
      <c r="H2335" s="321"/>
      <c r="I2335" s="315"/>
      <c r="J2335" s="316" t="str">
        <f t="shared" si="419"/>
        <v/>
      </c>
    </row>
    <row r="2336" spans="1:10" s="316" customFormat="1">
      <c r="A2336" s="321">
        <v>105</v>
      </c>
      <c r="B2336" s="295">
        <f t="shared" si="420"/>
        <v>93</v>
      </c>
      <c r="C2336" s="321">
        <v>4.3</v>
      </c>
      <c r="D2336" s="321" t="s">
        <v>113</v>
      </c>
      <c r="E2336" s="321"/>
      <c r="F2336" s="316" t="str">
        <f t="shared" si="418"/>
        <v/>
      </c>
      <c r="G2336" s="321"/>
      <c r="H2336" s="321"/>
      <c r="I2336" s="315"/>
      <c r="J2336" s="316" t="str">
        <f t="shared" si="419"/>
        <v/>
      </c>
    </row>
    <row r="2337" spans="1:10" s="316" customFormat="1">
      <c r="A2337" s="321">
        <v>105</v>
      </c>
      <c r="B2337" s="295">
        <f t="shared" si="420"/>
        <v>93</v>
      </c>
      <c r="C2337" s="321">
        <v>4.4000000000000004</v>
      </c>
      <c r="D2337" s="321" t="s">
        <v>112</v>
      </c>
      <c r="E2337" s="321"/>
      <c r="F2337" s="316" t="str">
        <f t="shared" si="418"/>
        <v/>
      </c>
      <c r="G2337" s="321"/>
      <c r="H2337" s="321"/>
      <c r="I2337" s="315"/>
      <c r="J2337" s="316" t="str">
        <f t="shared" si="419"/>
        <v/>
      </c>
    </row>
    <row r="2338" spans="1:10" s="316" customFormat="1">
      <c r="A2338" s="321">
        <v>105</v>
      </c>
      <c r="B2338" s="295">
        <f t="shared" si="420"/>
        <v>93</v>
      </c>
      <c r="C2338" s="321">
        <v>4.5</v>
      </c>
      <c r="D2338" s="321" t="s">
        <v>112</v>
      </c>
      <c r="E2338" s="321"/>
      <c r="F2338" s="316" t="str">
        <f t="shared" si="418"/>
        <v/>
      </c>
      <c r="G2338" s="321"/>
      <c r="H2338" s="321"/>
      <c r="I2338" s="315"/>
      <c r="J2338" s="316" t="str">
        <f t="shared" si="419"/>
        <v/>
      </c>
    </row>
    <row r="2339" spans="1:10" s="316" customFormat="1">
      <c r="A2339" s="321">
        <v>105</v>
      </c>
      <c r="B2339" s="295">
        <f t="shared" si="420"/>
        <v>93</v>
      </c>
      <c r="C2339" s="321">
        <v>5.0999999999999996</v>
      </c>
      <c r="D2339" s="321" t="s">
        <v>113</v>
      </c>
      <c r="E2339" s="321"/>
      <c r="F2339" s="316" t="str">
        <f t="shared" si="418"/>
        <v/>
      </c>
      <c r="G2339" s="321"/>
      <c r="H2339" s="321"/>
      <c r="I2339" s="315"/>
      <c r="J2339" s="316" t="str">
        <f t="shared" si="419"/>
        <v/>
      </c>
    </row>
    <row r="2340" spans="1:10" s="316" customFormat="1">
      <c r="A2340" s="321">
        <v>105</v>
      </c>
      <c r="B2340" s="295">
        <f t="shared" si="420"/>
        <v>93</v>
      </c>
      <c r="C2340" s="321">
        <v>5.2</v>
      </c>
      <c r="D2340" s="321" t="s">
        <v>114</v>
      </c>
      <c r="E2340" s="321"/>
      <c r="F2340" s="316" t="str">
        <f t="shared" si="418"/>
        <v/>
      </c>
      <c r="G2340" s="321"/>
      <c r="H2340" s="321"/>
      <c r="I2340" s="315"/>
      <c r="J2340" s="316" t="str">
        <f t="shared" si="419"/>
        <v/>
      </c>
    </row>
    <row r="2341" spans="1:10" s="316" customFormat="1">
      <c r="A2341" s="321">
        <v>105</v>
      </c>
      <c r="B2341" s="295">
        <f t="shared" si="420"/>
        <v>93</v>
      </c>
      <c r="C2341" s="321">
        <v>5.3</v>
      </c>
      <c r="D2341" s="321" t="s">
        <v>112</v>
      </c>
      <c r="E2341" s="321"/>
      <c r="F2341" s="316" t="str">
        <f t="shared" si="418"/>
        <v/>
      </c>
      <c r="G2341" s="321"/>
      <c r="H2341" s="321"/>
      <c r="I2341" s="315"/>
      <c r="J2341" s="316" t="str">
        <f t="shared" si="419"/>
        <v/>
      </c>
    </row>
    <row r="2342" spans="1:10" s="316" customFormat="1">
      <c r="A2342" s="321">
        <v>105</v>
      </c>
      <c r="B2342" s="295">
        <f t="shared" si="420"/>
        <v>93</v>
      </c>
      <c r="C2342" s="321">
        <v>5.4</v>
      </c>
      <c r="D2342" s="321" t="s">
        <v>113</v>
      </c>
      <c r="E2342" s="321"/>
      <c r="F2342" s="316" t="str">
        <f t="shared" si="418"/>
        <v/>
      </c>
      <c r="G2342" s="321"/>
      <c r="H2342" s="321"/>
      <c r="I2342" s="315"/>
      <c r="J2342" s="316" t="str">
        <f t="shared" si="419"/>
        <v/>
      </c>
    </row>
    <row r="2343" spans="1:10" s="316" customFormat="1">
      <c r="A2343" s="321">
        <v>105</v>
      </c>
      <c r="B2343" s="295">
        <f t="shared" si="420"/>
        <v>93</v>
      </c>
      <c r="C2343" s="321">
        <v>5.5</v>
      </c>
      <c r="D2343" s="321" t="s">
        <v>114</v>
      </c>
      <c r="E2343" s="321"/>
      <c r="F2343" s="316" t="str">
        <f t="shared" si="418"/>
        <v/>
      </c>
      <c r="G2343" s="321"/>
      <c r="H2343" s="321"/>
      <c r="I2343" s="315"/>
      <c r="J2343" s="316" t="str">
        <f t="shared" si="419"/>
        <v/>
      </c>
    </row>
    <row r="2344" spans="1:10" s="316" customFormat="1">
      <c r="A2344" s="321">
        <v>105</v>
      </c>
      <c r="B2344" s="295">
        <f t="shared" si="420"/>
        <v>93</v>
      </c>
      <c r="C2344" s="321">
        <v>6.1</v>
      </c>
      <c r="D2344" s="321" t="s">
        <v>115</v>
      </c>
      <c r="E2344" s="321"/>
      <c r="F2344" s="316" t="str">
        <f t="shared" si="418"/>
        <v/>
      </c>
      <c r="G2344" s="321"/>
      <c r="H2344" s="321"/>
      <c r="I2344" s="315"/>
      <c r="J2344" s="316" t="str">
        <f t="shared" si="419"/>
        <v/>
      </c>
    </row>
    <row r="2345" spans="1:10" s="316" customFormat="1">
      <c r="A2345" s="321">
        <v>105</v>
      </c>
      <c r="B2345" s="295">
        <f t="shared" si="420"/>
        <v>93</v>
      </c>
      <c r="C2345" s="321">
        <v>6.2</v>
      </c>
      <c r="D2345" s="321" t="s">
        <v>115</v>
      </c>
      <c r="E2345" s="321"/>
      <c r="F2345" s="316" t="str">
        <f t="shared" si="418"/>
        <v/>
      </c>
      <c r="G2345" s="321"/>
      <c r="H2345" s="321"/>
      <c r="I2345" s="315"/>
      <c r="J2345" s="316" t="str">
        <f t="shared" si="419"/>
        <v/>
      </c>
    </row>
    <row r="2346" spans="1:10" s="316" customFormat="1">
      <c r="A2346" s="321">
        <v>105</v>
      </c>
      <c r="B2346" s="295">
        <f t="shared" si="420"/>
        <v>93</v>
      </c>
      <c r="C2346" s="321">
        <v>6.3</v>
      </c>
      <c r="D2346" s="321" t="s">
        <v>114</v>
      </c>
      <c r="E2346" s="321"/>
      <c r="F2346" s="316" t="str">
        <f t="shared" si="418"/>
        <v/>
      </c>
      <c r="G2346" s="321"/>
      <c r="H2346" s="321"/>
      <c r="I2346" s="315"/>
      <c r="J2346" s="316" t="str">
        <f t="shared" si="419"/>
        <v/>
      </c>
    </row>
    <row r="2347" spans="1:10" s="316" customFormat="1">
      <c r="A2347" s="321">
        <v>105</v>
      </c>
      <c r="B2347" s="295">
        <f t="shared" si="420"/>
        <v>93</v>
      </c>
      <c r="C2347" s="321">
        <v>6.4</v>
      </c>
      <c r="D2347" s="321" t="s">
        <v>112</v>
      </c>
      <c r="E2347" s="321"/>
      <c r="F2347" s="316" t="str">
        <f t="shared" si="418"/>
        <v/>
      </c>
      <c r="G2347" s="321"/>
      <c r="H2347" s="321"/>
      <c r="I2347" s="315"/>
      <c r="J2347" s="316" t="str">
        <f t="shared" si="419"/>
        <v/>
      </c>
    </row>
    <row r="2348" spans="1:10" s="316" customFormat="1">
      <c r="A2348" s="321">
        <v>105</v>
      </c>
      <c r="B2348" s="295">
        <f t="shared" si="420"/>
        <v>93</v>
      </c>
      <c r="C2348" s="321">
        <v>6.5</v>
      </c>
      <c r="D2348" s="321" t="s">
        <v>113</v>
      </c>
      <c r="E2348" s="321"/>
      <c r="F2348" s="316" t="str">
        <f t="shared" si="418"/>
        <v/>
      </c>
      <c r="G2348" s="321"/>
      <c r="H2348" s="321"/>
      <c r="I2348" s="315"/>
      <c r="J2348" s="316" t="str">
        <f t="shared" si="419"/>
        <v/>
      </c>
    </row>
    <row r="2349" spans="1:10" s="316" customFormat="1">
      <c r="A2349" s="321">
        <v>105</v>
      </c>
      <c r="B2349" s="295">
        <f t="shared" si="420"/>
        <v>93</v>
      </c>
      <c r="C2349" s="321">
        <v>7.1</v>
      </c>
      <c r="D2349" s="321" t="s">
        <v>114</v>
      </c>
      <c r="E2349" s="321"/>
      <c r="F2349" s="316" t="str">
        <f t="shared" si="418"/>
        <v/>
      </c>
      <c r="G2349" s="321"/>
      <c r="H2349" s="321"/>
      <c r="I2349" s="315"/>
      <c r="J2349" s="316" t="str">
        <f t="shared" si="419"/>
        <v/>
      </c>
    </row>
    <row r="2350" spans="1:10" s="316" customFormat="1">
      <c r="A2350" s="321">
        <v>105</v>
      </c>
      <c r="B2350" s="295">
        <f t="shared" si="420"/>
        <v>93</v>
      </c>
      <c r="C2350" s="321">
        <v>7.2</v>
      </c>
      <c r="D2350" s="321" t="s">
        <v>111</v>
      </c>
      <c r="E2350" s="321"/>
      <c r="F2350" s="316" t="str">
        <f t="shared" si="418"/>
        <v/>
      </c>
      <c r="G2350" s="321"/>
      <c r="H2350" s="321"/>
      <c r="I2350" s="315"/>
      <c r="J2350" s="316" t="str">
        <f t="shared" si="419"/>
        <v/>
      </c>
    </row>
    <row r="2351" spans="1:10" s="316" customFormat="1">
      <c r="A2351" s="321">
        <v>105</v>
      </c>
      <c r="B2351" s="295">
        <f t="shared" si="420"/>
        <v>93</v>
      </c>
      <c r="C2351" s="321">
        <v>7.3</v>
      </c>
      <c r="D2351" s="321" t="s">
        <v>113</v>
      </c>
      <c r="E2351" s="321">
        <v>31</v>
      </c>
      <c r="F2351" s="316">
        <f t="shared" si="418"/>
        <v>1.1481481481481481</v>
      </c>
      <c r="G2351" s="321">
        <v>13.5</v>
      </c>
      <c r="H2351" s="321">
        <v>11.5</v>
      </c>
      <c r="I2351" s="315">
        <f t="shared" ref="I2351" si="423">G2351*(H2351^2)*0.5</f>
        <v>892.6875</v>
      </c>
      <c r="J2351" s="316">
        <f t="shared" si="419"/>
        <v>6.2476379440665157</v>
      </c>
    </row>
    <row r="2352" spans="1:10" s="316" customFormat="1">
      <c r="A2352" s="321">
        <v>105</v>
      </c>
      <c r="B2352" s="295">
        <f t="shared" si="420"/>
        <v>93</v>
      </c>
      <c r="C2352" s="321">
        <v>7.4</v>
      </c>
      <c r="D2352" s="321" t="s">
        <v>115</v>
      </c>
      <c r="E2352" s="321"/>
      <c r="F2352" s="316" t="str">
        <f t="shared" si="418"/>
        <v/>
      </c>
      <c r="G2352" s="321"/>
      <c r="H2352" s="321"/>
      <c r="I2352" s="315"/>
      <c r="J2352" s="316" t="str">
        <f t="shared" si="419"/>
        <v/>
      </c>
    </row>
    <row r="2353" spans="1:10" s="316" customFormat="1">
      <c r="A2353" s="321">
        <v>105</v>
      </c>
      <c r="B2353" s="295">
        <f t="shared" si="420"/>
        <v>93</v>
      </c>
      <c r="C2353" s="321">
        <v>7.5</v>
      </c>
      <c r="D2353" s="321" t="s">
        <v>111</v>
      </c>
      <c r="E2353" s="321"/>
      <c r="F2353" s="316" t="str">
        <f t="shared" si="418"/>
        <v/>
      </c>
      <c r="G2353" s="321"/>
      <c r="H2353" s="321"/>
      <c r="I2353" s="315"/>
      <c r="J2353" s="316" t="str">
        <f t="shared" si="419"/>
        <v/>
      </c>
    </row>
    <row r="2354" spans="1:10" s="316" customFormat="1">
      <c r="A2354" s="321">
        <v>107</v>
      </c>
      <c r="B2354" s="295">
        <f t="shared" si="420"/>
        <v>95</v>
      </c>
      <c r="C2354" s="321">
        <v>1.1000000000000001</v>
      </c>
      <c r="D2354" s="321" t="s">
        <v>112</v>
      </c>
      <c r="E2354" s="321"/>
      <c r="F2354" s="316" t="str">
        <f t="shared" si="418"/>
        <v/>
      </c>
      <c r="G2354" s="321"/>
      <c r="H2354" s="321"/>
      <c r="I2354" s="315"/>
      <c r="J2354" s="316" t="str">
        <f t="shared" si="419"/>
        <v/>
      </c>
    </row>
    <row r="2355" spans="1:10" s="316" customFormat="1">
      <c r="A2355" s="321">
        <v>107</v>
      </c>
      <c r="B2355" s="295">
        <f t="shared" si="420"/>
        <v>95</v>
      </c>
      <c r="C2355" s="321">
        <v>1.2</v>
      </c>
      <c r="D2355" s="321" t="s">
        <v>113</v>
      </c>
      <c r="E2355" s="321">
        <v>34</v>
      </c>
      <c r="F2355" s="316">
        <f t="shared" si="418"/>
        <v>1.2592592592592593</v>
      </c>
      <c r="G2355" s="321">
        <v>14.9</v>
      </c>
      <c r="H2355" s="321">
        <v>13.4</v>
      </c>
      <c r="I2355" s="315">
        <f t="shared" ref="I2355" si="424">G2355*(H2355^2)*0.5</f>
        <v>1337.722</v>
      </c>
      <c r="J2355" s="316">
        <f t="shared" si="419"/>
        <v>6.3944187780680348</v>
      </c>
    </row>
    <row r="2356" spans="1:10" s="316" customFormat="1">
      <c r="A2356" s="321">
        <v>107</v>
      </c>
      <c r="B2356" s="295">
        <f t="shared" si="420"/>
        <v>95</v>
      </c>
      <c r="C2356" s="321">
        <v>1.3</v>
      </c>
      <c r="D2356" s="321" t="s">
        <v>115</v>
      </c>
      <c r="E2356" s="321"/>
      <c r="F2356" s="316" t="str">
        <f t="shared" si="418"/>
        <v/>
      </c>
      <c r="G2356" s="321"/>
      <c r="H2356" s="321"/>
      <c r="I2356" s="315"/>
      <c r="J2356" s="316" t="str">
        <f t="shared" si="419"/>
        <v/>
      </c>
    </row>
    <row r="2357" spans="1:10" s="316" customFormat="1">
      <c r="A2357" s="321">
        <v>107</v>
      </c>
      <c r="B2357" s="295">
        <f t="shared" si="420"/>
        <v>95</v>
      </c>
      <c r="C2357" s="321">
        <v>1.4</v>
      </c>
      <c r="D2357" s="321" t="s">
        <v>115</v>
      </c>
      <c r="E2357" s="321"/>
      <c r="F2357" s="316" t="str">
        <f t="shared" si="418"/>
        <v/>
      </c>
      <c r="G2357" s="321"/>
      <c r="H2357" s="321"/>
      <c r="I2357" s="315"/>
      <c r="J2357" s="316" t="str">
        <f t="shared" si="419"/>
        <v/>
      </c>
    </row>
    <row r="2358" spans="1:10" s="316" customFormat="1">
      <c r="A2358" s="321">
        <v>107</v>
      </c>
      <c r="B2358" s="295">
        <f t="shared" si="420"/>
        <v>95</v>
      </c>
      <c r="C2358" s="321">
        <v>1.5</v>
      </c>
      <c r="D2358" s="321" t="s">
        <v>112</v>
      </c>
      <c r="E2358" s="321"/>
      <c r="F2358" s="316" t="str">
        <f t="shared" si="418"/>
        <v/>
      </c>
      <c r="G2358" s="321"/>
      <c r="H2358" s="321"/>
      <c r="I2358" s="315"/>
      <c r="J2358" s="316" t="str">
        <f t="shared" si="419"/>
        <v/>
      </c>
    </row>
    <row r="2359" spans="1:10" s="316" customFormat="1">
      <c r="A2359" s="321">
        <v>107</v>
      </c>
      <c r="B2359" s="295">
        <f t="shared" si="420"/>
        <v>95</v>
      </c>
      <c r="C2359" s="321">
        <v>2.1</v>
      </c>
      <c r="D2359" s="321" t="s">
        <v>114</v>
      </c>
      <c r="E2359" s="321"/>
      <c r="F2359" s="316" t="str">
        <f t="shared" si="418"/>
        <v/>
      </c>
      <c r="G2359" s="321"/>
      <c r="H2359" s="321"/>
      <c r="I2359" s="315"/>
      <c r="J2359" s="316" t="str">
        <f t="shared" si="419"/>
        <v/>
      </c>
    </row>
    <row r="2360" spans="1:10" s="316" customFormat="1">
      <c r="A2360" s="321">
        <v>107</v>
      </c>
      <c r="B2360" s="295">
        <f t="shared" si="420"/>
        <v>95</v>
      </c>
      <c r="C2360" s="321">
        <v>2.2000000000000002</v>
      </c>
      <c r="D2360" s="321" t="s">
        <v>115</v>
      </c>
      <c r="E2360" s="321"/>
      <c r="F2360" s="316" t="str">
        <f t="shared" si="418"/>
        <v/>
      </c>
      <c r="G2360" s="321"/>
      <c r="H2360" s="321"/>
      <c r="I2360" s="315"/>
      <c r="J2360" s="316" t="str">
        <f t="shared" si="419"/>
        <v/>
      </c>
    </row>
    <row r="2361" spans="1:10" s="316" customFormat="1">
      <c r="A2361" s="321">
        <v>107</v>
      </c>
      <c r="B2361" s="295">
        <f t="shared" si="420"/>
        <v>95</v>
      </c>
      <c r="C2361" s="321">
        <v>2.2999999999999998</v>
      </c>
      <c r="D2361" s="321" t="s">
        <v>112</v>
      </c>
      <c r="E2361" s="321"/>
      <c r="F2361" s="316" t="str">
        <f t="shared" si="418"/>
        <v/>
      </c>
      <c r="G2361" s="321"/>
      <c r="H2361" s="321"/>
      <c r="I2361" s="315"/>
      <c r="J2361" s="316" t="str">
        <f t="shared" si="419"/>
        <v/>
      </c>
    </row>
    <row r="2362" spans="1:10" s="316" customFormat="1">
      <c r="A2362" s="321">
        <v>107</v>
      </c>
      <c r="B2362" s="295">
        <f t="shared" si="420"/>
        <v>95</v>
      </c>
      <c r="C2362" s="321">
        <v>2.4</v>
      </c>
      <c r="D2362" s="321" t="s">
        <v>114</v>
      </c>
      <c r="E2362" s="321"/>
      <c r="F2362" s="316" t="str">
        <f t="shared" si="418"/>
        <v/>
      </c>
      <c r="G2362" s="321"/>
      <c r="H2362" s="321"/>
      <c r="I2362" s="315"/>
      <c r="J2362" s="316" t="str">
        <f t="shared" si="419"/>
        <v/>
      </c>
    </row>
    <row r="2363" spans="1:10" s="316" customFormat="1">
      <c r="A2363" s="321">
        <v>107</v>
      </c>
      <c r="B2363" s="295">
        <f t="shared" si="420"/>
        <v>95</v>
      </c>
      <c r="C2363" s="321">
        <v>2.5</v>
      </c>
      <c r="D2363" s="321" t="s">
        <v>113</v>
      </c>
      <c r="E2363" s="321"/>
      <c r="F2363" s="316" t="str">
        <f t="shared" si="418"/>
        <v/>
      </c>
      <c r="G2363" s="321"/>
      <c r="H2363" s="321"/>
      <c r="I2363" s="315"/>
      <c r="J2363" s="316" t="str">
        <f t="shared" si="419"/>
        <v/>
      </c>
    </row>
    <row r="2364" spans="1:10" s="316" customFormat="1">
      <c r="A2364" s="321">
        <v>107</v>
      </c>
      <c r="B2364" s="295">
        <f t="shared" si="420"/>
        <v>95</v>
      </c>
      <c r="C2364" s="321">
        <v>3.1</v>
      </c>
      <c r="D2364" s="321" t="s">
        <v>115</v>
      </c>
      <c r="E2364" s="321"/>
      <c r="F2364" s="316" t="str">
        <f t="shared" si="418"/>
        <v/>
      </c>
      <c r="G2364" s="321"/>
      <c r="H2364" s="321"/>
      <c r="I2364" s="315"/>
      <c r="J2364" s="316" t="str">
        <f t="shared" si="419"/>
        <v/>
      </c>
    </row>
    <row r="2365" spans="1:10" s="316" customFormat="1">
      <c r="A2365" s="321">
        <v>107</v>
      </c>
      <c r="B2365" s="295">
        <f t="shared" si="420"/>
        <v>95</v>
      </c>
      <c r="C2365" s="321">
        <v>3.2</v>
      </c>
      <c r="D2365" s="321" t="s">
        <v>113</v>
      </c>
      <c r="E2365" s="321"/>
      <c r="F2365" s="316" t="str">
        <f t="shared" si="418"/>
        <v/>
      </c>
      <c r="G2365" s="321"/>
      <c r="H2365" s="321"/>
      <c r="I2365" s="315"/>
      <c r="J2365" s="316" t="str">
        <f t="shared" si="419"/>
        <v/>
      </c>
    </row>
    <row r="2366" spans="1:10" s="316" customFormat="1">
      <c r="A2366" s="321">
        <v>107</v>
      </c>
      <c r="B2366" s="295">
        <f t="shared" si="420"/>
        <v>95</v>
      </c>
      <c r="C2366" s="321">
        <v>3.3</v>
      </c>
      <c r="D2366" s="321" t="s">
        <v>114</v>
      </c>
      <c r="E2366" s="321"/>
      <c r="F2366" s="316" t="str">
        <f t="shared" si="418"/>
        <v/>
      </c>
      <c r="G2366" s="321"/>
      <c r="H2366" s="321"/>
      <c r="I2366" s="315"/>
      <c r="J2366" s="316" t="str">
        <f t="shared" si="419"/>
        <v/>
      </c>
    </row>
    <row r="2367" spans="1:10" s="316" customFormat="1">
      <c r="A2367" s="321">
        <v>107</v>
      </c>
      <c r="B2367" s="295">
        <f t="shared" si="420"/>
        <v>95</v>
      </c>
      <c r="C2367" s="321">
        <v>3.4</v>
      </c>
      <c r="D2367" s="321" t="s">
        <v>114</v>
      </c>
      <c r="E2367" s="321"/>
      <c r="F2367" s="316" t="str">
        <f t="shared" si="418"/>
        <v/>
      </c>
      <c r="G2367" s="321"/>
      <c r="H2367" s="321"/>
      <c r="I2367" s="315"/>
      <c r="J2367" s="316" t="str">
        <f t="shared" si="419"/>
        <v/>
      </c>
    </row>
    <row r="2368" spans="1:10" s="316" customFormat="1">
      <c r="A2368" s="321">
        <v>107</v>
      </c>
      <c r="B2368" s="295">
        <f t="shared" si="420"/>
        <v>95</v>
      </c>
      <c r="C2368" s="321">
        <v>3.5</v>
      </c>
      <c r="D2368" s="321" t="s">
        <v>115</v>
      </c>
      <c r="E2368" s="321"/>
      <c r="F2368" s="316" t="str">
        <f t="shared" si="418"/>
        <v/>
      </c>
      <c r="G2368" s="321"/>
      <c r="H2368" s="321"/>
      <c r="I2368" s="315"/>
      <c r="J2368" s="316" t="str">
        <f t="shared" si="419"/>
        <v/>
      </c>
    </row>
    <row r="2369" spans="1:10" s="316" customFormat="1">
      <c r="A2369" s="321">
        <v>107</v>
      </c>
      <c r="B2369" s="295">
        <f t="shared" si="420"/>
        <v>95</v>
      </c>
      <c r="C2369" s="321">
        <v>4.0999999999999996</v>
      </c>
      <c r="D2369" s="321" t="s">
        <v>111</v>
      </c>
      <c r="E2369" s="321"/>
      <c r="F2369" s="316" t="str">
        <f t="shared" si="418"/>
        <v/>
      </c>
      <c r="G2369" s="321"/>
      <c r="H2369" s="321"/>
      <c r="I2369" s="315"/>
      <c r="J2369" s="316" t="str">
        <f t="shared" si="419"/>
        <v/>
      </c>
    </row>
    <row r="2370" spans="1:10" s="316" customFormat="1">
      <c r="A2370" s="321">
        <v>107</v>
      </c>
      <c r="B2370" s="295">
        <f t="shared" si="420"/>
        <v>95</v>
      </c>
      <c r="C2370" s="321">
        <v>4.2</v>
      </c>
      <c r="D2370" s="321" t="s">
        <v>112</v>
      </c>
      <c r="E2370" s="321"/>
      <c r="F2370" s="316" t="str">
        <f t="shared" si="418"/>
        <v/>
      </c>
      <c r="G2370" s="321"/>
      <c r="H2370" s="321"/>
      <c r="I2370" s="315"/>
      <c r="J2370" s="316" t="str">
        <f t="shared" si="419"/>
        <v/>
      </c>
    </row>
    <row r="2371" spans="1:10" s="316" customFormat="1">
      <c r="A2371" s="321">
        <v>107</v>
      </c>
      <c r="B2371" s="295">
        <f t="shared" si="420"/>
        <v>95</v>
      </c>
      <c r="C2371" s="321">
        <v>4.3</v>
      </c>
      <c r="D2371" s="321" t="s">
        <v>113</v>
      </c>
      <c r="E2371" s="321"/>
      <c r="F2371" s="316" t="str">
        <f t="shared" si="418"/>
        <v/>
      </c>
      <c r="G2371" s="321"/>
      <c r="H2371" s="321"/>
      <c r="I2371" s="315"/>
      <c r="J2371" s="316" t="str">
        <f t="shared" si="419"/>
        <v/>
      </c>
    </row>
    <row r="2372" spans="1:10" s="316" customFormat="1">
      <c r="A2372" s="321">
        <v>107</v>
      </c>
      <c r="B2372" s="295">
        <f t="shared" si="420"/>
        <v>95</v>
      </c>
      <c r="C2372" s="321">
        <v>4.4000000000000004</v>
      </c>
      <c r="D2372" s="321" t="s">
        <v>112</v>
      </c>
      <c r="E2372" s="321"/>
      <c r="F2372" s="316" t="str">
        <f t="shared" si="418"/>
        <v/>
      </c>
      <c r="G2372" s="321"/>
      <c r="H2372" s="321"/>
      <c r="I2372" s="315"/>
      <c r="J2372" s="316" t="str">
        <f t="shared" si="419"/>
        <v/>
      </c>
    </row>
    <row r="2373" spans="1:10" s="316" customFormat="1">
      <c r="A2373" s="321">
        <v>107</v>
      </c>
      <c r="B2373" s="295">
        <f t="shared" si="420"/>
        <v>95</v>
      </c>
      <c r="C2373" s="321">
        <v>4.5</v>
      </c>
      <c r="D2373" s="321" t="s">
        <v>112</v>
      </c>
      <c r="E2373" s="321"/>
      <c r="F2373" s="316" t="str">
        <f t="shared" si="418"/>
        <v/>
      </c>
      <c r="G2373" s="321"/>
      <c r="H2373" s="321"/>
      <c r="I2373" s="315"/>
      <c r="J2373" s="316" t="str">
        <f t="shared" si="419"/>
        <v/>
      </c>
    </row>
    <row r="2374" spans="1:10" s="316" customFormat="1">
      <c r="A2374" s="321">
        <v>107</v>
      </c>
      <c r="B2374" s="295">
        <f t="shared" si="420"/>
        <v>95</v>
      </c>
      <c r="C2374" s="321">
        <v>5.0999999999999996</v>
      </c>
      <c r="D2374" s="321" t="s">
        <v>113</v>
      </c>
      <c r="E2374" s="321"/>
      <c r="F2374" s="316" t="str">
        <f t="shared" si="418"/>
        <v/>
      </c>
      <c r="G2374" s="321"/>
      <c r="H2374" s="321"/>
      <c r="I2374" s="315"/>
      <c r="J2374" s="316" t="str">
        <f t="shared" si="419"/>
        <v/>
      </c>
    </row>
    <row r="2375" spans="1:10" s="316" customFormat="1">
      <c r="A2375" s="321">
        <v>107</v>
      </c>
      <c r="B2375" s="295">
        <f t="shared" si="420"/>
        <v>95</v>
      </c>
      <c r="C2375" s="321">
        <v>5.2</v>
      </c>
      <c r="D2375" s="321" t="s">
        <v>114</v>
      </c>
      <c r="E2375" s="321"/>
      <c r="F2375" s="316" t="str">
        <f t="shared" si="418"/>
        <v/>
      </c>
      <c r="G2375" s="321"/>
      <c r="H2375" s="321"/>
      <c r="I2375" s="315"/>
      <c r="J2375" s="316" t="str">
        <f t="shared" si="419"/>
        <v/>
      </c>
    </row>
    <row r="2376" spans="1:10" s="316" customFormat="1">
      <c r="A2376" s="321">
        <v>107</v>
      </c>
      <c r="B2376" s="295">
        <f t="shared" si="420"/>
        <v>95</v>
      </c>
      <c r="C2376" s="321">
        <v>5.3</v>
      </c>
      <c r="D2376" s="321" t="s">
        <v>112</v>
      </c>
      <c r="E2376" s="321"/>
      <c r="F2376" s="316" t="str">
        <f t="shared" si="418"/>
        <v/>
      </c>
      <c r="G2376" s="321"/>
      <c r="H2376" s="321"/>
      <c r="I2376" s="315"/>
      <c r="J2376" s="316" t="str">
        <f t="shared" si="419"/>
        <v/>
      </c>
    </row>
    <row r="2377" spans="1:10" s="316" customFormat="1">
      <c r="A2377" s="321">
        <v>107</v>
      </c>
      <c r="B2377" s="295">
        <f t="shared" si="420"/>
        <v>95</v>
      </c>
      <c r="C2377" s="321">
        <v>5.4</v>
      </c>
      <c r="D2377" s="321" t="s">
        <v>113</v>
      </c>
      <c r="E2377" s="321"/>
      <c r="F2377" s="316" t="str">
        <f t="shared" ref="F2377:F2440" si="425">IF(ISBLANK(E2377),"",E2377/SUMIFS(E:E,C:C,C2377,B:B,"0"))</f>
        <v/>
      </c>
      <c r="G2377" s="321"/>
      <c r="H2377" s="321"/>
      <c r="I2377" s="315"/>
      <c r="J2377" s="316" t="str">
        <f t="shared" ref="J2377:J2440" si="426">IF(ISBLANK(I2377),"",I2377/SUMIFS(I:I,C:C,C2377,B:B,"0"))</f>
        <v/>
      </c>
    </row>
    <row r="2378" spans="1:10" s="316" customFormat="1">
      <c r="A2378" s="321">
        <v>107</v>
      </c>
      <c r="B2378" s="295">
        <f t="shared" ref="B2378:B2441" si="427">A2378-12</f>
        <v>95</v>
      </c>
      <c r="C2378" s="321">
        <v>5.5</v>
      </c>
      <c r="D2378" s="321" t="s">
        <v>114</v>
      </c>
      <c r="E2378" s="321"/>
      <c r="F2378" s="316" t="str">
        <f t="shared" si="425"/>
        <v/>
      </c>
      <c r="G2378" s="321"/>
      <c r="H2378" s="321"/>
      <c r="I2378" s="315"/>
      <c r="J2378" s="316" t="str">
        <f t="shared" si="426"/>
        <v/>
      </c>
    </row>
    <row r="2379" spans="1:10" s="316" customFormat="1">
      <c r="A2379" s="321">
        <v>107</v>
      </c>
      <c r="B2379" s="295">
        <f t="shared" si="427"/>
        <v>95</v>
      </c>
      <c r="C2379" s="321">
        <v>6.1</v>
      </c>
      <c r="D2379" s="321" t="s">
        <v>115</v>
      </c>
      <c r="E2379" s="321"/>
      <c r="F2379" s="316" t="str">
        <f t="shared" si="425"/>
        <v/>
      </c>
      <c r="G2379" s="321"/>
      <c r="H2379" s="321"/>
      <c r="I2379" s="315"/>
      <c r="J2379" s="316" t="str">
        <f t="shared" si="426"/>
        <v/>
      </c>
    </row>
    <row r="2380" spans="1:10" s="316" customFormat="1">
      <c r="A2380" s="321">
        <v>107</v>
      </c>
      <c r="B2380" s="295">
        <f t="shared" si="427"/>
        <v>95</v>
      </c>
      <c r="C2380" s="321">
        <v>6.2</v>
      </c>
      <c r="D2380" s="321" t="s">
        <v>115</v>
      </c>
      <c r="E2380" s="321"/>
      <c r="F2380" s="316" t="str">
        <f t="shared" si="425"/>
        <v/>
      </c>
      <c r="G2380" s="321"/>
      <c r="H2380" s="321"/>
      <c r="I2380" s="315"/>
      <c r="J2380" s="316" t="str">
        <f t="shared" si="426"/>
        <v/>
      </c>
    </row>
    <row r="2381" spans="1:10" s="316" customFormat="1">
      <c r="A2381" s="321">
        <v>107</v>
      </c>
      <c r="B2381" s="295">
        <f t="shared" si="427"/>
        <v>95</v>
      </c>
      <c r="C2381" s="321">
        <v>6.3</v>
      </c>
      <c r="D2381" s="321" t="s">
        <v>114</v>
      </c>
      <c r="E2381" s="321"/>
      <c r="F2381" s="316" t="str">
        <f t="shared" si="425"/>
        <v/>
      </c>
      <c r="G2381" s="321"/>
      <c r="H2381" s="321"/>
      <c r="I2381" s="315"/>
      <c r="J2381" s="316" t="str">
        <f t="shared" si="426"/>
        <v/>
      </c>
    </row>
    <row r="2382" spans="1:10" s="316" customFormat="1">
      <c r="A2382" s="321">
        <v>107</v>
      </c>
      <c r="B2382" s="295">
        <f t="shared" si="427"/>
        <v>95</v>
      </c>
      <c r="C2382" s="321">
        <v>6.4</v>
      </c>
      <c r="D2382" s="321" t="s">
        <v>112</v>
      </c>
      <c r="E2382" s="321"/>
      <c r="F2382" s="316" t="str">
        <f t="shared" si="425"/>
        <v/>
      </c>
      <c r="G2382" s="321"/>
      <c r="H2382" s="321"/>
      <c r="I2382" s="315"/>
      <c r="J2382" s="316" t="str">
        <f t="shared" si="426"/>
        <v/>
      </c>
    </row>
    <row r="2383" spans="1:10" s="316" customFormat="1">
      <c r="A2383" s="321">
        <v>107</v>
      </c>
      <c r="B2383" s="295">
        <f t="shared" si="427"/>
        <v>95</v>
      </c>
      <c r="C2383" s="321">
        <v>6.5</v>
      </c>
      <c r="D2383" s="321" t="s">
        <v>113</v>
      </c>
      <c r="E2383" s="321"/>
      <c r="F2383" s="316" t="str">
        <f t="shared" si="425"/>
        <v/>
      </c>
      <c r="G2383" s="321"/>
      <c r="H2383" s="321"/>
      <c r="I2383" s="315"/>
      <c r="J2383" s="316" t="str">
        <f t="shared" si="426"/>
        <v/>
      </c>
    </row>
    <row r="2384" spans="1:10" s="316" customFormat="1">
      <c r="A2384" s="321">
        <v>107</v>
      </c>
      <c r="B2384" s="295">
        <f t="shared" si="427"/>
        <v>95</v>
      </c>
      <c r="C2384" s="321">
        <v>7.1</v>
      </c>
      <c r="D2384" s="321" t="s">
        <v>114</v>
      </c>
      <c r="E2384" s="321"/>
      <c r="F2384" s="316" t="str">
        <f t="shared" si="425"/>
        <v/>
      </c>
      <c r="G2384" s="321"/>
      <c r="H2384" s="321"/>
      <c r="I2384" s="315"/>
      <c r="J2384" s="316" t="str">
        <f t="shared" si="426"/>
        <v/>
      </c>
    </row>
    <row r="2385" spans="1:10" s="316" customFormat="1">
      <c r="A2385" s="321">
        <v>107</v>
      </c>
      <c r="B2385" s="295">
        <f t="shared" si="427"/>
        <v>95</v>
      </c>
      <c r="C2385" s="321">
        <v>7.2</v>
      </c>
      <c r="D2385" s="321" t="s">
        <v>111</v>
      </c>
      <c r="E2385" s="321"/>
      <c r="F2385" s="316" t="str">
        <f t="shared" si="425"/>
        <v/>
      </c>
      <c r="G2385" s="321"/>
      <c r="H2385" s="321"/>
      <c r="I2385" s="315"/>
      <c r="J2385" s="316" t="str">
        <f t="shared" si="426"/>
        <v/>
      </c>
    </row>
    <row r="2386" spans="1:10" s="316" customFormat="1">
      <c r="A2386" s="321">
        <v>107</v>
      </c>
      <c r="B2386" s="295">
        <f t="shared" si="427"/>
        <v>95</v>
      </c>
      <c r="C2386" s="321">
        <v>7.3</v>
      </c>
      <c r="D2386" s="321" t="s">
        <v>113</v>
      </c>
      <c r="E2386" s="321">
        <v>31</v>
      </c>
      <c r="F2386" s="316">
        <f t="shared" si="425"/>
        <v>1.1481481481481481</v>
      </c>
      <c r="G2386" s="321">
        <v>14</v>
      </c>
      <c r="H2386" s="321">
        <v>11.4</v>
      </c>
      <c r="I2386" s="315">
        <f t="shared" ref="I2386" si="428">G2386*(H2386^2)*0.5</f>
        <v>909.72</v>
      </c>
      <c r="J2386" s="316">
        <f t="shared" si="426"/>
        <v>6.366843033509701</v>
      </c>
    </row>
    <row r="2387" spans="1:10" s="316" customFormat="1">
      <c r="A2387" s="321">
        <v>107</v>
      </c>
      <c r="B2387" s="295">
        <f t="shared" si="427"/>
        <v>95</v>
      </c>
      <c r="C2387" s="321">
        <v>7.4</v>
      </c>
      <c r="D2387" s="321" t="s">
        <v>115</v>
      </c>
      <c r="E2387" s="321"/>
      <c r="F2387" s="316" t="str">
        <f t="shared" si="425"/>
        <v/>
      </c>
      <c r="G2387" s="321"/>
      <c r="H2387" s="321"/>
      <c r="I2387" s="315"/>
      <c r="J2387" s="316" t="str">
        <f t="shared" si="426"/>
        <v/>
      </c>
    </row>
    <row r="2388" spans="1:10" s="316" customFormat="1">
      <c r="A2388" s="321">
        <v>107</v>
      </c>
      <c r="B2388" s="295">
        <f t="shared" si="427"/>
        <v>95</v>
      </c>
      <c r="C2388" s="321">
        <v>7.5</v>
      </c>
      <c r="D2388" s="321" t="s">
        <v>111</v>
      </c>
      <c r="E2388" s="321"/>
      <c r="F2388" s="316" t="str">
        <f t="shared" si="425"/>
        <v/>
      </c>
      <c r="G2388" s="321"/>
      <c r="H2388" s="321"/>
      <c r="I2388" s="315"/>
      <c r="J2388" s="316" t="str">
        <f t="shared" si="426"/>
        <v/>
      </c>
    </row>
    <row r="2389" spans="1:10" s="316" customFormat="1">
      <c r="A2389" s="321">
        <v>109</v>
      </c>
      <c r="B2389" s="295">
        <f t="shared" si="427"/>
        <v>97</v>
      </c>
      <c r="C2389" s="321">
        <v>1.1000000000000001</v>
      </c>
      <c r="D2389" s="321" t="s">
        <v>112</v>
      </c>
      <c r="E2389" s="321"/>
      <c r="F2389" s="316" t="str">
        <f t="shared" si="425"/>
        <v/>
      </c>
      <c r="G2389" s="321"/>
      <c r="H2389" s="321"/>
      <c r="I2389" s="315"/>
      <c r="J2389" s="316" t="str">
        <f t="shared" si="426"/>
        <v/>
      </c>
    </row>
    <row r="2390" spans="1:10" s="316" customFormat="1">
      <c r="A2390" s="321">
        <v>109</v>
      </c>
      <c r="B2390" s="295">
        <f t="shared" si="427"/>
        <v>97</v>
      </c>
      <c r="C2390" s="321">
        <v>1.2</v>
      </c>
      <c r="D2390" s="321" t="s">
        <v>113</v>
      </c>
      <c r="E2390" s="321">
        <v>34</v>
      </c>
      <c r="F2390" s="316">
        <f t="shared" si="425"/>
        <v>1.2592592592592593</v>
      </c>
      <c r="G2390" s="321">
        <v>14.7</v>
      </c>
      <c r="H2390" s="321">
        <v>13.6</v>
      </c>
      <c r="I2390" s="315">
        <f t="shared" ref="I2390" si="429">G2390*(H2390^2)*0.5</f>
        <v>1359.4559999999997</v>
      </c>
      <c r="J2390" s="316">
        <f t="shared" si="426"/>
        <v>6.4983090465412516</v>
      </c>
    </row>
    <row r="2391" spans="1:10" s="316" customFormat="1">
      <c r="A2391" s="321">
        <v>109</v>
      </c>
      <c r="B2391" s="295">
        <f t="shared" si="427"/>
        <v>97</v>
      </c>
      <c r="C2391" s="321">
        <v>1.3</v>
      </c>
      <c r="D2391" s="321" t="s">
        <v>115</v>
      </c>
      <c r="E2391" s="321"/>
      <c r="F2391" s="316" t="str">
        <f t="shared" si="425"/>
        <v/>
      </c>
      <c r="G2391" s="321"/>
      <c r="H2391" s="321"/>
      <c r="I2391" s="315"/>
      <c r="J2391" s="316" t="str">
        <f t="shared" si="426"/>
        <v/>
      </c>
    </row>
    <row r="2392" spans="1:10" s="316" customFormat="1">
      <c r="A2392" s="321">
        <v>109</v>
      </c>
      <c r="B2392" s="295">
        <f t="shared" si="427"/>
        <v>97</v>
      </c>
      <c r="C2392" s="321">
        <v>1.4</v>
      </c>
      <c r="D2392" s="321" t="s">
        <v>115</v>
      </c>
      <c r="E2392" s="321"/>
      <c r="F2392" s="316" t="str">
        <f t="shared" si="425"/>
        <v/>
      </c>
      <c r="G2392" s="321"/>
      <c r="H2392" s="321"/>
      <c r="I2392" s="315"/>
      <c r="J2392" s="316" t="str">
        <f t="shared" si="426"/>
        <v/>
      </c>
    </row>
    <row r="2393" spans="1:10" s="316" customFormat="1">
      <c r="A2393" s="321">
        <v>109</v>
      </c>
      <c r="B2393" s="295">
        <f t="shared" si="427"/>
        <v>97</v>
      </c>
      <c r="C2393" s="321">
        <v>1.5</v>
      </c>
      <c r="D2393" s="321" t="s">
        <v>112</v>
      </c>
      <c r="E2393" s="321"/>
      <c r="F2393" s="316" t="str">
        <f t="shared" si="425"/>
        <v/>
      </c>
      <c r="G2393" s="321"/>
      <c r="H2393" s="321"/>
      <c r="I2393" s="315"/>
      <c r="J2393" s="316" t="str">
        <f t="shared" si="426"/>
        <v/>
      </c>
    </row>
    <row r="2394" spans="1:10" s="316" customFormat="1">
      <c r="A2394" s="321">
        <v>109</v>
      </c>
      <c r="B2394" s="295">
        <f t="shared" si="427"/>
        <v>97</v>
      </c>
      <c r="C2394" s="321">
        <v>2.1</v>
      </c>
      <c r="D2394" s="321" t="s">
        <v>114</v>
      </c>
      <c r="E2394" s="321"/>
      <c r="F2394" s="316" t="str">
        <f t="shared" si="425"/>
        <v/>
      </c>
      <c r="G2394" s="321"/>
      <c r="H2394" s="321"/>
      <c r="I2394" s="315"/>
      <c r="J2394" s="316" t="str">
        <f t="shared" si="426"/>
        <v/>
      </c>
    </row>
    <row r="2395" spans="1:10" s="316" customFormat="1">
      <c r="A2395" s="321">
        <v>109</v>
      </c>
      <c r="B2395" s="295">
        <f t="shared" si="427"/>
        <v>97</v>
      </c>
      <c r="C2395" s="321">
        <v>2.2000000000000002</v>
      </c>
      <c r="D2395" s="321" t="s">
        <v>115</v>
      </c>
      <c r="E2395" s="321"/>
      <c r="F2395" s="316" t="str">
        <f t="shared" si="425"/>
        <v/>
      </c>
      <c r="G2395" s="321"/>
      <c r="H2395" s="321"/>
      <c r="I2395" s="315"/>
      <c r="J2395" s="316" t="str">
        <f t="shared" si="426"/>
        <v/>
      </c>
    </row>
    <row r="2396" spans="1:10" s="316" customFormat="1">
      <c r="A2396" s="321">
        <v>109</v>
      </c>
      <c r="B2396" s="295">
        <f t="shared" si="427"/>
        <v>97</v>
      </c>
      <c r="C2396" s="321">
        <v>2.2999999999999998</v>
      </c>
      <c r="D2396" s="321" t="s">
        <v>112</v>
      </c>
      <c r="E2396" s="321"/>
      <c r="F2396" s="316" t="str">
        <f t="shared" si="425"/>
        <v/>
      </c>
      <c r="G2396" s="321"/>
      <c r="H2396" s="321"/>
      <c r="I2396" s="315"/>
      <c r="J2396" s="316" t="str">
        <f t="shared" si="426"/>
        <v/>
      </c>
    </row>
    <row r="2397" spans="1:10" s="316" customFormat="1">
      <c r="A2397" s="321">
        <v>109</v>
      </c>
      <c r="B2397" s="295">
        <f t="shared" si="427"/>
        <v>97</v>
      </c>
      <c r="C2397" s="321">
        <v>2.4</v>
      </c>
      <c r="D2397" s="321" t="s">
        <v>114</v>
      </c>
      <c r="E2397" s="321"/>
      <c r="F2397" s="316" t="str">
        <f t="shared" si="425"/>
        <v/>
      </c>
      <c r="G2397" s="321"/>
      <c r="H2397" s="321"/>
      <c r="I2397" s="315"/>
      <c r="J2397" s="316" t="str">
        <f t="shared" si="426"/>
        <v/>
      </c>
    </row>
    <row r="2398" spans="1:10" s="316" customFormat="1">
      <c r="A2398" s="321">
        <v>109</v>
      </c>
      <c r="B2398" s="295">
        <f t="shared" si="427"/>
        <v>97</v>
      </c>
      <c r="C2398" s="321">
        <v>2.5</v>
      </c>
      <c r="D2398" s="321" t="s">
        <v>113</v>
      </c>
      <c r="E2398" s="321"/>
      <c r="F2398" s="316" t="str">
        <f t="shared" si="425"/>
        <v/>
      </c>
      <c r="G2398" s="321"/>
      <c r="H2398" s="321"/>
      <c r="I2398" s="315"/>
      <c r="J2398" s="316" t="str">
        <f t="shared" si="426"/>
        <v/>
      </c>
    </row>
    <row r="2399" spans="1:10" s="316" customFormat="1">
      <c r="A2399" s="321">
        <v>109</v>
      </c>
      <c r="B2399" s="295">
        <f t="shared" si="427"/>
        <v>97</v>
      </c>
      <c r="C2399" s="321">
        <v>3.1</v>
      </c>
      <c r="D2399" s="321" t="s">
        <v>115</v>
      </c>
      <c r="E2399" s="321"/>
      <c r="F2399" s="316" t="str">
        <f t="shared" si="425"/>
        <v/>
      </c>
      <c r="G2399" s="321"/>
      <c r="H2399" s="321"/>
      <c r="I2399" s="315"/>
      <c r="J2399" s="316" t="str">
        <f t="shared" si="426"/>
        <v/>
      </c>
    </row>
    <row r="2400" spans="1:10" s="316" customFormat="1">
      <c r="A2400" s="321">
        <v>109</v>
      </c>
      <c r="B2400" s="295">
        <f t="shared" si="427"/>
        <v>97</v>
      </c>
      <c r="C2400" s="321">
        <v>3.2</v>
      </c>
      <c r="D2400" s="321" t="s">
        <v>113</v>
      </c>
      <c r="E2400" s="321"/>
      <c r="F2400" s="316" t="str">
        <f t="shared" si="425"/>
        <v/>
      </c>
      <c r="G2400" s="321"/>
      <c r="H2400" s="321"/>
      <c r="I2400" s="315"/>
      <c r="J2400" s="316" t="str">
        <f t="shared" si="426"/>
        <v/>
      </c>
    </row>
    <row r="2401" spans="1:10" s="316" customFormat="1">
      <c r="A2401" s="321">
        <v>109</v>
      </c>
      <c r="B2401" s="295">
        <f t="shared" si="427"/>
        <v>97</v>
      </c>
      <c r="C2401" s="321">
        <v>3.3</v>
      </c>
      <c r="D2401" s="321" t="s">
        <v>114</v>
      </c>
      <c r="E2401" s="321"/>
      <c r="F2401" s="316" t="str">
        <f t="shared" si="425"/>
        <v/>
      </c>
      <c r="G2401" s="321"/>
      <c r="H2401" s="321"/>
      <c r="I2401" s="315"/>
      <c r="J2401" s="316" t="str">
        <f t="shared" si="426"/>
        <v/>
      </c>
    </row>
    <row r="2402" spans="1:10" s="316" customFormat="1">
      <c r="A2402" s="321">
        <v>109</v>
      </c>
      <c r="B2402" s="295">
        <f t="shared" si="427"/>
        <v>97</v>
      </c>
      <c r="C2402" s="321">
        <v>3.4</v>
      </c>
      <c r="D2402" s="321" t="s">
        <v>114</v>
      </c>
      <c r="E2402" s="321"/>
      <c r="F2402" s="316" t="str">
        <f t="shared" si="425"/>
        <v/>
      </c>
      <c r="G2402" s="321"/>
      <c r="H2402" s="321"/>
      <c r="I2402" s="315"/>
      <c r="J2402" s="316" t="str">
        <f t="shared" si="426"/>
        <v/>
      </c>
    </row>
    <row r="2403" spans="1:10" s="316" customFormat="1">
      <c r="A2403" s="321">
        <v>109</v>
      </c>
      <c r="B2403" s="295">
        <f t="shared" si="427"/>
        <v>97</v>
      </c>
      <c r="C2403" s="321">
        <v>3.5</v>
      </c>
      <c r="D2403" s="321" t="s">
        <v>115</v>
      </c>
      <c r="E2403" s="321"/>
      <c r="F2403" s="316" t="str">
        <f t="shared" si="425"/>
        <v/>
      </c>
      <c r="G2403" s="321"/>
      <c r="H2403" s="321"/>
      <c r="I2403" s="315"/>
      <c r="J2403" s="316" t="str">
        <f t="shared" si="426"/>
        <v/>
      </c>
    </row>
    <row r="2404" spans="1:10" s="316" customFormat="1">
      <c r="A2404" s="321">
        <v>109</v>
      </c>
      <c r="B2404" s="295">
        <f t="shared" si="427"/>
        <v>97</v>
      </c>
      <c r="C2404" s="321">
        <v>4.0999999999999996</v>
      </c>
      <c r="D2404" s="321" t="s">
        <v>111</v>
      </c>
      <c r="E2404" s="321"/>
      <c r="F2404" s="316" t="str">
        <f t="shared" si="425"/>
        <v/>
      </c>
      <c r="G2404" s="321"/>
      <c r="H2404" s="321"/>
      <c r="I2404" s="315"/>
      <c r="J2404" s="316" t="str">
        <f t="shared" si="426"/>
        <v/>
      </c>
    </row>
    <row r="2405" spans="1:10" s="316" customFormat="1">
      <c r="A2405" s="321">
        <v>109</v>
      </c>
      <c r="B2405" s="295">
        <f t="shared" si="427"/>
        <v>97</v>
      </c>
      <c r="C2405" s="321">
        <v>4.2</v>
      </c>
      <c r="D2405" s="321" t="s">
        <v>112</v>
      </c>
      <c r="E2405" s="321"/>
      <c r="F2405" s="316" t="str">
        <f t="shared" si="425"/>
        <v/>
      </c>
      <c r="G2405" s="321"/>
      <c r="H2405" s="321"/>
      <c r="I2405" s="315"/>
      <c r="J2405" s="316" t="str">
        <f t="shared" si="426"/>
        <v/>
      </c>
    </row>
    <row r="2406" spans="1:10" s="316" customFormat="1">
      <c r="A2406" s="321">
        <v>109</v>
      </c>
      <c r="B2406" s="295">
        <f t="shared" si="427"/>
        <v>97</v>
      </c>
      <c r="C2406" s="321">
        <v>4.3</v>
      </c>
      <c r="D2406" s="321" t="s">
        <v>113</v>
      </c>
      <c r="E2406" s="321"/>
      <c r="F2406" s="316" t="str">
        <f t="shared" si="425"/>
        <v/>
      </c>
      <c r="G2406" s="321"/>
      <c r="H2406" s="321"/>
      <c r="I2406" s="315"/>
      <c r="J2406" s="316" t="str">
        <f t="shared" si="426"/>
        <v/>
      </c>
    </row>
    <row r="2407" spans="1:10" s="316" customFormat="1">
      <c r="A2407" s="321">
        <v>109</v>
      </c>
      <c r="B2407" s="295">
        <f t="shared" si="427"/>
        <v>97</v>
      </c>
      <c r="C2407" s="321">
        <v>4.4000000000000004</v>
      </c>
      <c r="D2407" s="321" t="s">
        <v>112</v>
      </c>
      <c r="E2407" s="321"/>
      <c r="F2407" s="316" t="str">
        <f t="shared" si="425"/>
        <v/>
      </c>
      <c r="G2407" s="321"/>
      <c r="H2407" s="321"/>
      <c r="I2407" s="315"/>
      <c r="J2407" s="316" t="str">
        <f t="shared" si="426"/>
        <v/>
      </c>
    </row>
    <row r="2408" spans="1:10" s="316" customFormat="1">
      <c r="A2408" s="321">
        <v>109</v>
      </c>
      <c r="B2408" s="295">
        <f t="shared" si="427"/>
        <v>97</v>
      </c>
      <c r="C2408" s="321">
        <v>4.5</v>
      </c>
      <c r="D2408" s="321" t="s">
        <v>112</v>
      </c>
      <c r="E2408" s="321"/>
      <c r="F2408" s="316" t="str">
        <f t="shared" si="425"/>
        <v/>
      </c>
      <c r="G2408" s="321"/>
      <c r="H2408" s="321"/>
      <c r="I2408" s="315"/>
      <c r="J2408" s="316" t="str">
        <f t="shared" si="426"/>
        <v/>
      </c>
    </row>
    <row r="2409" spans="1:10" s="316" customFormat="1">
      <c r="A2409" s="321">
        <v>109</v>
      </c>
      <c r="B2409" s="295">
        <f t="shared" si="427"/>
        <v>97</v>
      </c>
      <c r="C2409" s="321">
        <v>5.0999999999999996</v>
      </c>
      <c r="D2409" s="321" t="s">
        <v>113</v>
      </c>
      <c r="E2409" s="321"/>
      <c r="F2409" s="316" t="str">
        <f t="shared" si="425"/>
        <v/>
      </c>
      <c r="G2409" s="321"/>
      <c r="H2409" s="321"/>
      <c r="I2409" s="315"/>
      <c r="J2409" s="316" t="str">
        <f t="shared" si="426"/>
        <v/>
      </c>
    </row>
    <row r="2410" spans="1:10" s="316" customFormat="1">
      <c r="A2410" s="321">
        <v>109</v>
      </c>
      <c r="B2410" s="295">
        <f t="shared" si="427"/>
        <v>97</v>
      </c>
      <c r="C2410" s="321">
        <v>5.2</v>
      </c>
      <c r="D2410" s="321" t="s">
        <v>114</v>
      </c>
      <c r="E2410" s="321"/>
      <c r="F2410" s="316" t="str">
        <f t="shared" si="425"/>
        <v/>
      </c>
      <c r="G2410" s="321"/>
      <c r="H2410" s="321"/>
      <c r="I2410" s="315"/>
      <c r="J2410" s="316" t="str">
        <f t="shared" si="426"/>
        <v/>
      </c>
    </row>
    <row r="2411" spans="1:10" s="316" customFormat="1">
      <c r="A2411" s="321">
        <v>109</v>
      </c>
      <c r="B2411" s="295">
        <f t="shared" si="427"/>
        <v>97</v>
      </c>
      <c r="C2411" s="321">
        <v>5.3</v>
      </c>
      <c r="D2411" s="321" t="s">
        <v>112</v>
      </c>
      <c r="E2411" s="321"/>
      <c r="F2411" s="316" t="str">
        <f t="shared" si="425"/>
        <v/>
      </c>
      <c r="G2411" s="321"/>
      <c r="H2411" s="321"/>
      <c r="I2411" s="315"/>
      <c r="J2411" s="316" t="str">
        <f t="shared" si="426"/>
        <v/>
      </c>
    </row>
    <row r="2412" spans="1:10" s="316" customFormat="1">
      <c r="A2412" s="321">
        <v>109</v>
      </c>
      <c r="B2412" s="295">
        <f t="shared" si="427"/>
        <v>97</v>
      </c>
      <c r="C2412" s="321">
        <v>5.4</v>
      </c>
      <c r="D2412" s="321" t="s">
        <v>113</v>
      </c>
      <c r="E2412" s="321"/>
      <c r="F2412" s="316" t="str">
        <f t="shared" si="425"/>
        <v/>
      </c>
      <c r="G2412" s="321"/>
      <c r="H2412" s="321"/>
      <c r="I2412" s="315"/>
      <c r="J2412" s="316" t="str">
        <f t="shared" si="426"/>
        <v/>
      </c>
    </row>
    <row r="2413" spans="1:10" s="316" customFormat="1">
      <c r="A2413" s="321">
        <v>109</v>
      </c>
      <c r="B2413" s="295">
        <f t="shared" si="427"/>
        <v>97</v>
      </c>
      <c r="C2413" s="321">
        <v>5.5</v>
      </c>
      <c r="D2413" s="321" t="s">
        <v>114</v>
      </c>
      <c r="E2413" s="321"/>
      <c r="F2413" s="316" t="str">
        <f t="shared" si="425"/>
        <v/>
      </c>
      <c r="G2413" s="321"/>
      <c r="H2413" s="321"/>
      <c r="I2413" s="315"/>
      <c r="J2413" s="316" t="str">
        <f t="shared" si="426"/>
        <v/>
      </c>
    </row>
    <row r="2414" spans="1:10" s="316" customFormat="1">
      <c r="A2414" s="321">
        <v>109</v>
      </c>
      <c r="B2414" s="295">
        <f t="shared" si="427"/>
        <v>97</v>
      </c>
      <c r="C2414" s="321">
        <v>6.1</v>
      </c>
      <c r="D2414" s="321" t="s">
        <v>115</v>
      </c>
      <c r="E2414" s="321"/>
      <c r="F2414" s="316" t="str">
        <f t="shared" si="425"/>
        <v/>
      </c>
      <c r="G2414" s="321"/>
      <c r="H2414" s="321"/>
      <c r="I2414" s="315"/>
      <c r="J2414" s="316" t="str">
        <f t="shared" si="426"/>
        <v/>
      </c>
    </row>
    <row r="2415" spans="1:10" s="316" customFormat="1">
      <c r="A2415" s="321">
        <v>109</v>
      </c>
      <c r="B2415" s="295">
        <f t="shared" si="427"/>
        <v>97</v>
      </c>
      <c r="C2415" s="321">
        <v>6.2</v>
      </c>
      <c r="D2415" s="321" t="s">
        <v>115</v>
      </c>
      <c r="E2415" s="321"/>
      <c r="F2415" s="316" t="str">
        <f t="shared" si="425"/>
        <v/>
      </c>
      <c r="G2415" s="321"/>
      <c r="H2415" s="321"/>
      <c r="I2415" s="315"/>
      <c r="J2415" s="316" t="str">
        <f t="shared" si="426"/>
        <v/>
      </c>
    </row>
    <row r="2416" spans="1:10" s="316" customFormat="1">
      <c r="A2416" s="321">
        <v>109</v>
      </c>
      <c r="B2416" s="295">
        <f t="shared" si="427"/>
        <v>97</v>
      </c>
      <c r="C2416" s="321">
        <v>6.3</v>
      </c>
      <c r="D2416" s="321" t="s">
        <v>114</v>
      </c>
      <c r="E2416" s="321"/>
      <c r="F2416" s="316" t="str">
        <f t="shared" si="425"/>
        <v/>
      </c>
      <c r="G2416" s="321"/>
      <c r="H2416" s="321"/>
      <c r="I2416" s="315"/>
      <c r="J2416" s="316" t="str">
        <f t="shared" si="426"/>
        <v/>
      </c>
    </row>
    <row r="2417" spans="1:10" s="316" customFormat="1">
      <c r="A2417" s="321">
        <v>109</v>
      </c>
      <c r="B2417" s="295">
        <f t="shared" si="427"/>
        <v>97</v>
      </c>
      <c r="C2417" s="321">
        <v>6.4</v>
      </c>
      <c r="D2417" s="321" t="s">
        <v>112</v>
      </c>
      <c r="E2417" s="321"/>
      <c r="F2417" s="316" t="str">
        <f t="shared" si="425"/>
        <v/>
      </c>
      <c r="G2417" s="321"/>
      <c r="H2417" s="321"/>
      <c r="I2417" s="315"/>
      <c r="J2417" s="316" t="str">
        <f t="shared" si="426"/>
        <v/>
      </c>
    </row>
    <row r="2418" spans="1:10" s="316" customFormat="1">
      <c r="A2418" s="321">
        <v>109</v>
      </c>
      <c r="B2418" s="295">
        <f t="shared" si="427"/>
        <v>97</v>
      </c>
      <c r="C2418" s="321">
        <v>6.5</v>
      </c>
      <c r="D2418" s="321" t="s">
        <v>113</v>
      </c>
      <c r="E2418" s="321"/>
      <c r="F2418" s="316" t="str">
        <f t="shared" si="425"/>
        <v/>
      </c>
      <c r="G2418" s="321"/>
      <c r="H2418" s="321"/>
      <c r="I2418" s="315"/>
      <c r="J2418" s="316" t="str">
        <f t="shared" si="426"/>
        <v/>
      </c>
    </row>
    <row r="2419" spans="1:10" s="316" customFormat="1">
      <c r="A2419" s="321">
        <v>109</v>
      </c>
      <c r="B2419" s="295">
        <f t="shared" si="427"/>
        <v>97</v>
      </c>
      <c r="C2419" s="321">
        <v>7.1</v>
      </c>
      <c r="D2419" s="321" t="s">
        <v>114</v>
      </c>
      <c r="E2419" s="321"/>
      <c r="F2419" s="316" t="str">
        <f t="shared" si="425"/>
        <v/>
      </c>
      <c r="G2419" s="321"/>
      <c r="H2419" s="321"/>
      <c r="I2419" s="315"/>
      <c r="J2419" s="316" t="str">
        <f t="shared" si="426"/>
        <v/>
      </c>
    </row>
    <row r="2420" spans="1:10" s="316" customFormat="1">
      <c r="A2420" s="321">
        <v>109</v>
      </c>
      <c r="B2420" s="295">
        <f t="shared" si="427"/>
        <v>97</v>
      </c>
      <c r="C2420" s="321">
        <v>7.2</v>
      </c>
      <c r="D2420" s="321" t="s">
        <v>111</v>
      </c>
      <c r="E2420" s="321"/>
      <c r="F2420" s="316" t="str">
        <f t="shared" si="425"/>
        <v/>
      </c>
      <c r="G2420" s="321"/>
      <c r="H2420" s="321"/>
      <c r="I2420" s="315"/>
      <c r="J2420" s="316" t="str">
        <f t="shared" si="426"/>
        <v/>
      </c>
    </row>
    <row r="2421" spans="1:10" s="316" customFormat="1">
      <c r="A2421" s="321">
        <v>109</v>
      </c>
      <c r="B2421" s="295">
        <f t="shared" si="427"/>
        <v>97</v>
      </c>
      <c r="C2421" s="321">
        <v>7.3</v>
      </c>
      <c r="D2421" s="321" t="s">
        <v>113</v>
      </c>
      <c r="E2421" s="321">
        <v>31</v>
      </c>
      <c r="F2421" s="316">
        <f t="shared" si="425"/>
        <v>1.1481481481481481</v>
      </c>
      <c r="G2421" s="321">
        <v>14.6</v>
      </c>
      <c r="H2421" s="321">
        <v>11.7</v>
      </c>
      <c r="I2421" s="315">
        <f t="shared" ref="I2421" si="430">G2421*(H2421^2)*0.5</f>
        <v>999.29699999999991</v>
      </c>
      <c r="J2421" s="316">
        <f t="shared" si="426"/>
        <v>6.9937641723356005</v>
      </c>
    </row>
    <row r="2422" spans="1:10" s="316" customFormat="1">
      <c r="A2422" s="321">
        <v>109</v>
      </c>
      <c r="B2422" s="295">
        <f t="shared" si="427"/>
        <v>97</v>
      </c>
      <c r="C2422" s="321">
        <v>7.4</v>
      </c>
      <c r="D2422" s="321" t="s">
        <v>115</v>
      </c>
      <c r="E2422" s="321"/>
      <c r="F2422" s="316" t="str">
        <f t="shared" si="425"/>
        <v/>
      </c>
      <c r="G2422" s="321"/>
      <c r="H2422" s="321"/>
      <c r="I2422" s="315"/>
      <c r="J2422" s="316" t="str">
        <f t="shared" si="426"/>
        <v/>
      </c>
    </row>
    <row r="2423" spans="1:10" s="316" customFormat="1">
      <c r="A2423" s="321">
        <v>109</v>
      </c>
      <c r="B2423" s="295">
        <f t="shared" si="427"/>
        <v>97</v>
      </c>
      <c r="C2423" s="321">
        <v>7.5</v>
      </c>
      <c r="D2423" s="321" t="s">
        <v>111</v>
      </c>
      <c r="E2423" s="321"/>
      <c r="F2423" s="316" t="str">
        <f t="shared" si="425"/>
        <v/>
      </c>
      <c r="G2423" s="321"/>
      <c r="H2423" s="321"/>
      <c r="I2423" s="315"/>
      <c r="J2423" s="316" t="str">
        <f t="shared" si="426"/>
        <v/>
      </c>
    </row>
    <row r="2424" spans="1:10" s="316" customFormat="1">
      <c r="A2424" s="321">
        <v>112</v>
      </c>
      <c r="B2424" s="295">
        <f t="shared" si="427"/>
        <v>100</v>
      </c>
      <c r="C2424" s="321">
        <v>1.1000000000000001</v>
      </c>
      <c r="D2424" s="321" t="s">
        <v>112</v>
      </c>
      <c r="E2424" s="321"/>
      <c r="F2424" s="316" t="str">
        <f t="shared" si="425"/>
        <v/>
      </c>
      <c r="G2424" s="321"/>
      <c r="H2424" s="321"/>
      <c r="I2424" s="315"/>
      <c r="J2424" s="316" t="str">
        <f t="shared" si="426"/>
        <v/>
      </c>
    </row>
    <row r="2425" spans="1:10" s="316" customFormat="1">
      <c r="A2425" s="321">
        <v>112</v>
      </c>
      <c r="B2425" s="295">
        <f t="shared" si="427"/>
        <v>100</v>
      </c>
      <c r="C2425" s="321">
        <v>1.2</v>
      </c>
      <c r="D2425" s="321" t="s">
        <v>113</v>
      </c>
      <c r="E2425" s="321">
        <v>33</v>
      </c>
      <c r="F2425" s="316">
        <f t="shared" si="425"/>
        <v>1.2222222222222223</v>
      </c>
      <c r="G2425" s="321">
        <v>15.8</v>
      </c>
      <c r="H2425" s="321">
        <v>13.7</v>
      </c>
      <c r="I2425" s="315">
        <f t="shared" ref="I2425" si="431">G2425*(H2425^2)*0.5</f>
        <v>1482.7509999999997</v>
      </c>
      <c r="J2425" s="316">
        <f t="shared" si="426"/>
        <v>7.0876690654703705</v>
      </c>
    </row>
    <row r="2426" spans="1:10" s="316" customFormat="1">
      <c r="A2426" s="321">
        <v>112</v>
      </c>
      <c r="B2426" s="295">
        <f t="shared" si="427"/>
        <v>100</v>
      </c>
      <c r="C2426" s="321">
        <v>1.3</v>
      </c>
      <c r="D2426" s="321" t="s">
        <v>115</v>
      </c>
      <c r="E2426" s="321"/>
      <c r="F2426" s="316" t="str">
        <f t="shared" si="425"/>
        <v/>
      </c>
      <c r="G2426" s="321"/>
      <c r="H2426" s="321"/>
      <c r="I2426" s="315"/>
      <c r="J2426" s="316" t="str">
        <f t="shared" si="426"/>
        <v/>
      </c>
    </row>
    <row r="2427" spans="1:10" s="316" customFormat="1">
      <c r="A2427" s="321">
        <v>112</v>
      </c>
      <c r="B2427" s="295">
        <f t="shared" si="427"/>
        <v>100</v>
      </c>
      <c r="C2427" s="321">
        <v>1.4</v>
      </c>
      <c r="D2427" s="321" t="s">
        <v>115</v>
      </c>
      <c r="E2427" s="321"/>
      <c r="F2427" s="316" t="str">
        <f t="shared" si="425"/>
        <v/>
      </c>
      <c r="G2427" s="321"/>
      <c r="H2427" s="321"/>
      <c r="I2427" s="315"/>
      <c r="J2427" s="316" t="str">
        <f t="shared" si="426"/>
        <v/>
      </c>
    </row>
    <row r="2428" spans="1:10" s="316" customFormat="1">
      <c r="A2428" s="321">
        <v>112</v>
      </c>
      <c r="B2428" s="295">
        <f t="shared" si="427"/>
        <v>100</v>
      </c>
      <c r="C2428" s="321">
        <v>1.5</v>
      </c>
      <c r="D2428" s="321" t="s">
        <v>112</v>
      </c>
      <c r="E2428" s="321"/>
      <c r="F2428" s="316" t="str">
        <f t="shared" si="425"/>
        <v/>
      </c>
      <c r="G2428" s="321"/>
      <c r="H2428" s="321"/>
      <c r="I2428" s="315"/>
      <c r="J2428" s="316" t="str">
        <f t="shared" si="426"/>
        <v/>
      </c>
    </row>
    <row r="2429" spans="1:10" s="316" customFormat="1">
      <c r="A2429" s="321">
        <v>112</v>
      </c>
      <c r="B2429" s="295">
        <f t="shared" si="427"/>
        <v>100</v>
      </c>
      <c r="C2429" s="321">
        <v>2.1</v>
      </c>
      <c r="D2429" s="321" t="s">
        <v>114</v>
      </c>
      <c r="E2429" s="321"/>
      <c r="F2429" s="316" t="str">
        <f t="shared" si="425"/>
        <v/>
      </c>
      <c r="G2429" s="321"/>
      <c r="H2429" s="321"/>
      <c r="I2429" s="315"/>
      <c r="J2429" s="316" t="str">
        <f t="shared" si="426"/>
        <v/>
      </c>
    </row>
    <row r="2430" spans="1:10" s="316" customFormat="1">
      <c r="A2430" s="321">
        <v>112</v>
      </c>
      <c r="B2430" s="295">
        <f t="shared" si="427"/>
        <v>100</v>
      </c>
      <c r="C2430" s="321">
        <v>2.2000000000000002</v>
      </c>
      <c r="D2430" s="321" t="s">
        <v>115</v>
      </c>
      <c r="E2430" s="321"/>
      <c r="F2430" s="316" t="str">
        <f t="shared" si="425"/>
        <v/>
      </c>
      <c r="G2430" s="321"/>
      <c r="H2430" s="321"/>
      <c r="I2430" s="315"/>
      <c r="J2430" s="316" t="str">
        <f t="shared" si="426"/>
        <v/>
      </c>
    </row>
    <row r="2431" spans="1:10" s="316" customFormat="1">
      <c r="A2431" s="321">
        <v>112</v>
      </c>
      <c r="B2431" s="295">
        <f t="shared" si="427"/>
        <v>100</v>
      </c>
      <c r="C2431" s="321">
        <v>2.2999999999999998</v>
      </c>
      <c r="D2431" s="321" t="s">
        <v>112</v>
      </c>
      <c r="E2431" s="321"/>
      <c r="F2431" s="316" t="str">
        <f t="shared" si="425"/>
        <v/>
      </c>
      <c r="G2431" s="321"/>
      <c r="H2431" s="321"/>
      <c r="I2431" s="315"/>
      <c r="J2431" s="316" t="str">
        <f t="shared" si="426"/>
        <v/>
      </c>
    </row>
    <row r="2432" spans="1:10" s="316" customFormat="1">
      <c r="A2432" s="321">
        <v>112</v>
      </c>
      <c r="B2432" s="295">
        <f t="shared" si="427"/>
        <v>100</v>
      </c>
      <c r="C2432" s="321">
        <v>2.4</v>
      </c>
      <c r="D2432" s="321" t="s">
        <v>114</v>
      </c>
      <c r="E2432" s="321"/>
      <c r="F2432" s="316" t="str">
        <f t="shared" si="425"/>
        <v/>
      </c>
      <c r="G2432" s="321"/>
      <c r="H2432" s="321"/>
      <c r="I2432" s="315"/>
      <c r="J2432" s="316" t="str">
        <f t="shared" si="426"/>
        <v/>
      </c>
    </row>
    <row r="2433" spans="1:10" s="316" customFormat="1">
      <c r="A2433" s="321">
        <v>112</v>
      </c>
      <c r="B2433" s="295">
        <f t="shared" si="427"/>
        <v>100</v>
      </c>
      <c r="C2433" s="321">
        <v>2.5</v>
      </c>
      <c r="D2433" s="321" t="s">
        <v>113</v>
      </c>
      <c r="E2433" s="321"/>
      <c r="F2433" s="316" t="str">
        <f t="shared" si="425"/>
        <v/>
      </c>
      <c r="G2433" s="321"/>
      <c r="H2433" s="321"/>
      <c r="I2433" s="315"/>
      <c r="J2433" s="316" t="str">
        <f t="shared" si="426"/>
        <v/>
      </c>
    </row>
    <row r="2434" spans="1:10" s="316" customFormat="1">
      <c r="A2434" s="321">
        <v>112</v>
      </c>
      <c r="B2434" s="295">
        <f t="shared" si="427"/>
        <v>100</v>
      </c>
      <c r="C2434" s="321">
        <v>3.1</v>
      </c>
      <c r="D2434" s="321" t="s">
        <v>115</v>
      </c>
      <c r="E2434" s="321"/>
      <c r="F2434" s="316" t="str">
        <f t="shared" si="425"/>
        <v/>
      </c>
      <c r="G2434" s="321"/>
      <c r="H2434" s="321"/>
      <c r="I2434" s="315"/>
      <c r="J2434" s="316" t="str">
        <f t="shared" si="426"/>
        <v/>
      </c>
    </row>
    <row r="2435" spans="1:10" s="316" customFormat="1">
      <c r="A2435" s="321">
        <v>112</v>
      </c>
      <c r="B2435" s="295">
        <f t="shared" si="427"/>
        <v>100</v>
      </c>
      <c r="C2435" s="321">
        <v>3.2</v>
      </c>
      <c r="D2435" s="321" t="s">
        <v>113</v>
      </c>
      <c r="E2435" s="321"/>
      <c r="F2435" s="316" t="str">
        <f t="shared" si="425"/>
        <v/>
      </c>
      <c r="G2435" s="321"/>
      <c r="H2435" s="321"/>
      <c r="I2435" s="315"/>
      <c r="J2435" s="316" t="str">
        <f t="shared" si="426"/>
        <v/>
      </c>
    </row>
    <row r="2436" spans="1:10" s="316" customFormat="1">
      <c r="A2436" s="321">
        <v>112</v>
      </c>
      <c r="B2436" s="295">
        <f t="shared" si="427"/>
        <v>100</v>
      </c>
      <c r="C2436" s="321">
        <v>3.3</v>
      </c>
      <c r="D2436" s="321" t="s">
        <v>114</v>
      </c>
      <c r="E2436" s="321"/>
      <c r="F2436" s="316" t="str">
        <f t="shared" si="425"/>
        <v/>
      </c>
      <c r="G2436" s="321"/>
      <c r="H2436" s="321"/>
      <c r="I2436" s="315"/>
      <c r="J2436" s="316" t="str">
        <f t="shared" si="426"/>
        <v/>
      </c>
    </row>
    <row r="2437" spans="1:10" s="316" customFormat="1">
      <c r="A2437" s="321">
        <v>112</v>
      </c>
      <c r="B2437" s="295">
        <f t="shared" si="427"/>
        <v>100</v>
      </c>
      <c r="C2437" s="321">
        <v>3.4</v>
      </c>
      <c r="D2437" s="321" t="s">
        <v>114</v>
      </c>
      <c r="E2437" s="321"/>
      <c r="F2437" s="316" t="str">
        <f t="shared" si="425"/>
        <v/>
      </c>
      <c r="G2437" s="321"/>
      <c r="H2437" s="321"/>
      <c r="I2437" s="315"/>
      <c r="J2437" s="316" t="str">
        <f t="shared" si="426"/>
        <v/>
      </c>
    </row>
    <row r="2438" spans="1:10" s="316" customFormat="1">
      <c r="A2438" s="321">
        <v>112</v>
      </c>
      <c r="B2438" s="295">
        <f t="shared" si="427"/>
        <v>100</v>
      </c>
      <c r="C2438" s="321">
        <v>3.5</v>
      </c>
      <c r="D2438" s="321" t="s">
        <v>115</v>
      </c>
      <c r="E2438" s="321"/>
      <c r="F2438" s="316" t="str">
        <f t="shared" si="425"/>
        <v/>
      </c>
      <c r="G2438" s="321"/>
      <c r="H2438" s="321"/>
      <c r="I2438" s="315"/>
      <c r="J2438" s="316" t="str">
        <f t="shared" si="426"/>
        <v/>
      </c>
    </row>
    <row r="2439" spans="1:10" s="316" customFormat="1">
      <c r="A2439" s="321">
        <v>112</v>
      </c>
      <c r="B2439" s="295">
        <f t="shared" si="427"/>
        <v>100</v>
      </c>
      <c r="C2439" s="321">
        <v>4.0999999999999996</v>
      </c>
      <c r="D2439" s="321" t="s">
        <v>111</v>
      </c>
      <c r="E2439" s="321"/>
      <c r="F2439" s="316" t="str">
        <f t="shared" si="425"/>
        <v/>
      </c>
      <c r="G2439" s="321"/>
      <c r="H2439" s="321"/>
      <c r="I2439" s="315"/>
      <c r="J2439" s="316" t="str">
        <f t="shared" si="426"/>
        <v/>
      </c>
    </row>
    <row r="2440" spans="1:10" s="316" customFormat="1">
      <c r="A2440" s="321">
        <v>112</v>
      </c>
      <c r="B2440" s="295">
        <f t="shared" si="427"/>
        <v>100</v>
      </c>
      <c r="C2440" s="321">
        <v>4.2</v>
      </c>
      <c r="D2440" s="321" t="s">
        <v>112</v>
      </c>
      <c r="E2440" s="321"/>
      <c r="F2440" s="316" t="str">
        <f t="shared" si="425"/>
        <v/>
      </c>
      <c r="G2440" s="321"/>
      <c r="H2440" s="321"/>
      <c r="I2440" s="315"/>
      <c r="J2440" s="316" t="str">
        <f t="shared" si="426"/>
        <v/>
      </c>
    </row>
    <row r="2441" spans="1:10" s="316" customFormat="1">
      <c r="A2441" s="321">
        <v>112</v>
      </c>
      <c r="B2441" s="295">
        <f t="shared" si="427"/>
        <v>100</v>
      </c>
      <c r="C2441" s="321">
        <v>4.3</v>
      </c>
      <c r="D2441" s="321" t="s">
        <v>113</v>
      </c>
      <c r="E2441" s="321"/>
      <c r="F2441" s="316" t="str">
        <f t="shared" ref="F2441:F2504" si="432">IF(ISBLANK(E2441),"",E2441/SUMIFS(E:E,C:C,C2441,B:B,"0"))</f>
        <v/>
      </c>
      <c r="G2441" s="321"/>
      <c r="H2441" s="321"/>
      <c r="I2441" s="315"/>
      <c r="J2441" s="316" t="str">
        <f t="shared" ref="J2441:J2504" si="433">IF(ISBLANK(I2441),"",I2441/SUMIFS(I:I,C:C,C2441,B:B,"0"))</f>
        <v/>
      </c>
    </row>
    <row r="2442" spans="1:10" s="316" customFormat="1">
      <c r="A2442" s="321">
        <v>112</v>
      </c>
      <c r="B2442" s="295">
        <f t="shared" ref="B2442:B2505" si="434">A2442-12</f>
        <v>100</v>
      </c>
      <c r="C2442" s="321">
        <v>4.4000000000000004</v>
      </c>
      <c r="D2442" s="321" t="s">
        <v>112</v>
      </c>
      <c r="E2442" s="321"/>
      <c r="F2442" s="316" t="str">
        <f t="shared" si="432"/>
        <v/>
      </c>
      <c r="G2442" s="321"/>
      <c r="H2442" s="321"/>
      <c r="I2442" s="315"/>
      <c r="J2442" s="316" t="str">
        <f t="shared" si="433"/>
        <v/>
      </c>
    </row>
    <row r="2443" spans="1:10" s="316" customFormat="1">
      <c r="A2443" s="321">
        <v>112</v>
      </c>
      <c r="B2443" s="295">
        <f t="shared" si="434"/>
        <v>100</v>
      </c>
      <c r="C2443" s="321">
        <v>4.5</v>
      </c>
      <c r="D2443" s="321" t="s">
        <v>112</v>
      </c>
      <c r="E2443" s="321"/>
      <c r="F2443" s="316" t="str">
        <f t="shared" si="432"/>
        <v/>
      </c>
      <c r="G2443" s="321"/>
      <c r="H2443" s="321"/>
      <c r="I2443" s="315"/>
      <c r="J2443" s="316" t="str">
        <f t="shared" si="433"/>
        <v/>
      </c>
    </row>
    <row r="2444" spans="1:10" s="316" customFormat="1">
      <c r="A2444" s="321">
        <v>112</v>
      </c>
      <c r="B2444" s="295">
        <f t="shared" si="434"/>
        <v>100</v>
      </c>
      <c r="C2444" s="321">
        <v>5.0999999999999996</v>
      </c>
      <c r="D2444" s="321" t="s">
        <v>113</v>
      </c>
      <c r="E2444" s="321"/>
      <c r="F2444" s="316" t="str">
        <f t="shared" si="432"/>
        <v/>
      </c>
      <c r="G2444" s="321"/>
      <c r="H2444" s="321"/>
      <c r="I2444" s="315"/>
      <c r="J2444" s="316" t="str">
        <f t="shared" si="433"/>
        <v/>
      </c>
    </row>
    <row r="2445" spans="1:10" s="316" customFormat="1">
      <c r="A2445" s="321">
        <v>112</v>
      </c>
      <c r="B2445" s="295">
        <f t="shared" si="434"/>
        <v>100</v>
      </c>
      <c r="C2445" s="321">
        <v>5.2</v>
      </c>
      <c r="D2445" s="321" t="s">
        <v>114</v>
      </c>
      <c r="E2445" s="321"/>
      <c r="F2445" s="316" t="str">
        <f t="shared" si="432"/>
        <v/>
      </c>
      <c r="G2445" s="321"/>
      <c r="H2445" s="321"/>
      <c r="I2445" s="315"/>
      <c r="J2445" s="316" t="str">
        <f t="shared" si="433"/>
        <v/>
      </c>
    </row>
    <row r="2446" spans="1:10" s="316" customFormat="1">
      <c r="A2446" s="321">
        <v>112</v>
      </c>
      <c r="B2446" s="295">
        <f t="shared" si="434"/>
        <v>100</v>
      </c>
      <c r="C2446" s="321">
        <v>5.3</v>
      </c>
      <c r="D2446" s="321" t="s">
        <v>112</v>
      </c>
      <c r="E2446" s="321"/>
      <c r="F2446" s="316" t="str">
        <f t="shared" si="432"/>
        <v/>
      </c>
      <c r="G2446" s="321"/>
      <c r="H2446" s="321"/>
      <c r="I2446" s="315"/>
      <c r="J2446" s="316" t="str">
        <f t="shared" si="433"/>
        <v/>
      </c>
    </row>
    <row r="2447" spans="1:10" s="316" customFormat="1">
      <c r="A2447" s="321">
        <v>112</v>
      </c>
      <c r="B2447" s="295">
        <f t="shared" si="434"/>
        <v>100</v>
      </c>
      <c r="C2447" s="321">
        <v>5.4</v>
      </c>
      <c r="D2447" s="321" t="s">
        <v>113</v>
      </c>
      <c r="E2447" s="321"/>
      <c r="F2447" s="316" t="str">
        <f t="shared" si="432"/>
        <v/>
      </c>
      <c r="G2447" s="321"/>
      <c r="H2447" s="321"/>
      <c r="I2447" s="315"/>
      <c r="J2447" s="316" t="str">
        <f t="shared" si="433"/>
        <v/>
      </c>
    </row>
    <row r="2448" spans="1:10" s="316" customFormat="1">
      <c r="A2448" s="321">
        <v>112</v>
      </c>
      <c r="B2448" s="295">
        <f t="shared" si="434"/>
        <v>100</v>
      </c>
      <c r="C2448" s="321">
        <v>5.5</v>
      </c>
      <c r="D2448" s="321" t="s">
        <v>114</v>
      </c>
      <c r="E2448" s="321"/>
      <c r="F2448" s="316" t="str">
        <f t="shared" si="432"/>
        <v/>
      </c>
      <c r="G2448" s="321"/>
      <c r="H2448" s="321"/>
      <c r="I2448" s="315"/>
      <c r="J2448" s="316" t="str">
        <f t="shared" si="433"/>
        <v/>
      </c>
    </row>
    <row r="2449" spans="1:10" s="316" customFormat="1">
      <c r="A2449" s="321">
        <v>112</v>
      </c>
      <c r="B2449" s="295">
        <f t="shared" si="434"/>
        <v>100</v>
      </c>
      <c r="C2449" s="321">
        <v>6.1</v>
      </c>
      <c r="D2449" s="321" t="s">
        <v>115</v>
      </c>
      <c r="E2449" s="321"/>
      <c r="F2449" s="316" t="str">
        <f t="shared" si="432"/>
        <v/>
      </c>
      <c r="G2449" s="321"/>
      <c r="H2449" s="321"/>
      <c r="I2449" s="315"/>
      <c r="J2449" s="316" t="str">
        <f t="shared" si="433"/>
        <v/>
      </c>
    </row>
    <row r="2450" spans="1:10" s="316" customFormat="1">
      <c r="A2450" s="321">
        <v>112</v>
      </c>
      <c r="B2450" s="295">
        <f t="shared" si="434"/>
        <v>100</v>
      </c>
      <c r="C2450" s="321">
        <v>6.2</v>
      </c>
      <c r="D2450" s="321" t="s">
        <v>115</v>
      </c>
      <c r="E2450" s="321"/>
      <c r="F2450" s="316" t="str">
        <f t="shared" si="432"/>
        <v/>
      </c>
      <c r="G2450" s="321"/>
      <c r="H2450" s="321"/>
      <c r="I2450" s="315"/>
      <c r="J2450" s="316" t="str">
        <f t="shared" si="433"/>
        <v/>
      </c>
    </row>
    <row r="2451" spans="1:10" s="316" customFormat="1">
      <c r="A2451" s="321">
        <v>112</v>
      </c>
      <c r="B2451" s="295">
        <f t="shared" si="434"/>
        <v>100</v>
      </c>
      <c r="C2451" s="321">
        <v>6.3</v>
      </c>
      <c r="D2451" s="321" t="s">
        <v>114</v>
      </c>
      <c r="E2451" s="321"/>
      <c r="F2451" s="316" t="str">
        <f t="shared" si="432"/>
        <v/>
      </c>
      <c r="G2451" s="321"/>
      <c r="H2451" s="321"/>
      <c r="I2451" s="315"/>
      <c r="J2451" s="316" t="str">
        <f t="shared" si="433"/>
        <v/>
      </c>
    </row>
    <row r="2452" spans="1:10" s="316" customFormat="1">
      <c r="A2452" s="321">
        <v>112</v>
      </c>
      <c r="B2452" s="295">
        <f t="shared" si="434"/>
        <v>100</v>
      </c>
      <c r="C2452" s="321">
        <v>6.4</v>
      </c>
      <c r="D2452" s="321" t="s">
        <v>112</v>
      </c>
      <c r="E2452" s="321"/>
      <c r="F2452" s="316" t="str">
        <f t="shared" si="432"/>
        <v/>
      </c>
      <c r="G2452" s="321"/>
      <c r="H2452" s="321"/>
      <c r="I2452" s="315"/>
      <c r="J2452" s="316" t="str">
        <f t="shared" si="433"/>
        <v/>
      </c>
    </row>
    <row r="2453" spans="1:10" s="316" customFormat="1">
      <c r="A2453" s="321">
        <v>112</v>
      </c>
      <c r="B2453" s="295">
        <f t="shared" si="434"/>
        <v>100</v>
      </c>
      <c r="C2453" s="321">
        <v>6.5</v>
      </c>
      <c r="D2453" s="321" t="s">
        <v>113</v>
      </c>
      <c r="E2453" s="321"/>
      <c r="F2453" s="316" t="str">
        <f t="shared" si="432"/>
        <v/>
      </c>
      <c r="G2453" s="321"/>
      <c r="H2453" s="321"/>
      <c r="I2453" s="315"/>
      <c r="J2453" s="316" t="str">
        <f t="shared" si="433"/>
        <v/>
      </c>
    </row>
    <row r="2454" spans="1:10" s="316" customFormat="1">
      <c r="A2454" s="321">
        <v>112</v>
      </c>
      <c r="B2454" s="295">
        <f t="shared" si="434"/>
        <v>100</v>
      </c>
      <c r="C2454" s="321">
        <v>7.1</v>
      </c>
      <c r="D2454" s="321" t="s">
        <v>114</v>
      </c>
      <c r="E2454" s="321"/>
      <c r="F2454" s="316" t="str">
        <f t="shared" si="432"/>
        <v/>
      </c>
      <c r="G2454" s="321"/>
      <c r="H2454" s="321"/>
      <c r="I2454" s="315"/>
      <c r="J2454" s="316" t="str">
        <f t="shared" si="433"/>
        <v/>
      </c>
    </row>
    <row r="2455" spans="1:10" s="316" customFormat="1">
      <c r="A2455" s="321">
        <v>112</v>
      </c>
      <c r="B2455" s="295">
        <f t="shared" si="434"/>
        <v>100</v>
      </c>
      <c r="C2455" s="321">
        <v>7.2</v>
      </c>
      <c r="D2455" s="321" t="s">
        <v>111</v>
      </c>
      <c r="E2455" s="321"/>
      <c r="F2455" s="316" t="str">
        <f t="shared" si="432"/>
        <v/>
      </c>
      <c r="G2455" s="321"/>
      <c r="H2455" s="321"/>
      <c r="I2455" s="315"/>
      <c r="J2455" s="316" t="str">
        <f t="shared" si="433"/>
        <v/>
      </c>
    </row>
    <row r="2456" spans="1:10" s="316" customFormat="1">
      <c r="A2456" s="321">
        <v>112</v>
      </c>
      <c r="B2456" s="295">
        <f t="shared" si="434"/>
        <v>100</v>
      </c>
      <c r="C2456" s="321">
        <v>7.3</v>
      </c>
      <c r="D2456" s="321" t="s">
        <v>113</v>
      </c>
      <c r="E2456" s="321">
        <v>31</v>
      </c>
      <c r="F2456" s="316">
        <f t="shared" si="432"/>
        <v>1.1481481481481481</v>
      </c>
      <c r="G2456" s="321">
        <v>15.7</v>
      </c>
      <c r="H2456" s="321">
        <v>11.8</v>
      </c>
      <c r="I2456" s="315">
        <f t="shared" ref="I2456" si="435">G2456*(H2456^2)*0.5</f>
        <v>1093.0340000000001</v>
      </c>
      <c r="J2456" s="316">
        <f t="shared" si="433"/>
        <v>7.6497998376305265</v>
      </c>
    </row>
    <row r="2457" spans="1:10" s="316" customFormat="1">
      <c r="A2457" s="321">
        <v>112</v>
      </c>
      <c r="B2457" s="295">
        <f t="shared" si="434"/>
        <v>100</v>
      </c>
      <c r="C2457" s="321">
        <v>7.4</v>
      </c>
      <c r="D2457" s="321" t="s">
        <v>115</v>
      </c>
      <c r="E2457" s="321"/>
      <c r="F2457" s="316" t="str">
        <f t="shared" si="432"/>
        <v/>
      </c>
      <c r="G2457" s="321"/>
      <c r="H2457" s="321"/>
      <c r="I2457" s="315"/>
      <c r="J2457" s="316" t="str">
        <f t="shared" si="433"/>
        <v/>
      </c>
    </row>
    <row r="2458" spans="1:10" s="316" customFormat="1">
      <c r="A2458" s="321">
        <v>112</v>
      </c>
      <c r="B2458" s="295">
        <f t="shared" si="434"/>
        <v>100</v>
      </c>
      <c r="C2458" s="321">
        <v>7.5</v>
      </c>
      <c r="D2458" s="321" t="s">
        <v>111</v>
      </c>
      <c r="E2458" s="321"/>
      <c r="F2458" s="316" t="str">
        <f t="shared" si="432"/>
        <v/>
      </c>
      <c r="G2458" s="321"/>
      <c r="H2458" s="321"/>
      <c r="I2458" s="315"/>
      <c r="J2458" s="316" t="str">
        <f t="shared" si="433"/>
        <v/>
      </c>
    </row>
    <row r="2459" spans="1:10" s="316" customFormat="1">
      <c r="A2459" s="321">
        <v>114</v>
      </c>
      <c r="B2459" s="295">
        <f t="shared" si="434"/>
        <v>102</v>
      </c>
      <c r="C2459" s="321">
        <v>1.1000000000000001</v>
      </c>
      <c r="D2459" s="321" t="s">
        <v>112</v>
      </c>
      <c r="E2459" s="321"/>
      <c r="F2459" s="316" t="str">
        <f t="shared" si="432"/>
        <v/>
      </c>
      <c r="G2459" s="321"/>
      <c r="H2459" s="321"/>
      <c r="I2459" s="315"/>
      <c r="J2459" s="316" t="str">
        <f t="shared" si="433"/>
        <v/>
      </c>
    </row>
    <row r="2460" spans="1:10" s="316" customFormat="1">
      <c r="A2460" s="321">
        <v>114</v>
      </c>
      <c r="B2460" s="295">
        <f t="shared" si="434"/>
        <v>102</v>
      </c>
      <c r="C2460" s="321">
        <v>1.2</v>
      </c>
      <c r="D2460" s="321" t="s">
        <v>113</v>
      </c>
      <c r="E2460" s="321">
        <v>33</v>
      </c>
      <c r="F2460" s="316">
        <f t="shared" si="432"/>
        <v>1.2222222222222223</v>
      </c>
      <c r="G2460" s="321">
        <v>16.399999999999999</v>
      </c>
      <c r="H2460" s="321">
        <v>14.1</v>
      </c>
      <c r="I2460" s="315">
        <f t="shared" ref="I2460" si="436">G2460*(H2460^2)*0.5</f>
        <v>1630.242</v>
      </c>
      <c r="J2460" s="316">
        <f t="shared" si="433"/>
        <v>7.7926879109375404</v>
      </c>
    </row>
    <row r="2461" spans="1:10" s="316" customFormat="1">
      <c r="A2461" s="321">
        <v>114</v>
      </c>
      <c r="B2461" s="295">
        <f t="shared" si="434"/>
        <v>102</v>
      </c>
      <c r="C2461" s="321">
        <v>1.3</v>
      </c>
      <c r="D2461" s="321" t="s">
        <v>115</v>
      </c>
      <c r="E2461" s="321"/>
      <c r="F2461" s="316" t="str">
        <f t="shared" si="432"/>
        <v/>
      </c>
      <c r="G2461" s="321"/>
      <c r="H2461" s="321"/>
      <c r="I2461" s="315"/>
      <c r="J2461" s="316" t="str">
        <f t="shared" si="433"/>
        <v/>
      </c>
    </row>
    <row r="2462" spans="1:10" s="316" customFormat="1">
      <c r="A2462" s="321">
        <v>114</v>
      </c>
      <c r="B2462" s="295">
        <f t="shared" si="434"/>
        <v>102</v>
      </c>
      <c r="C2462" s="321">
        <v>1.4</v>
      </c>
      <c r="D2462" s="321" t="s">
        <v>115</v>
      </c>
      <c r="E2462" s="321"/>
      <c r="F2462" s="316" t="str">
        <f t="shared" si="432"/>
        <v/>
      </c>
      <c r="G2462" s="321"/>
      <c r="H2462" s="321"/>
      <c r="I2462" s="315"/>
      <c r="J2462" s="316" t="str">
        <f t="shared" si="433"/>
        <v/>
      </c>
    </row>
    <row r="2463" spans="1:10" s="316" customFormat="1">
      <c r="A2463" s="321">
        <v>114</v>
      </c>
      <c r="B2463" s="295">
        <f t="shared" si="434"/>
        <v>102</v>
      </c>
      <c r="C2463" s="321">
        <v>1.5</v>
      </c>
      <c r="D2463" s="321" t="s">
        <v>112</v>
      </c>
      <c r="E2463" s="321"/>
      <c r="F2463" s="316" t="str">
        <f t="shared" si="432"/>
        <v/>
      </c>
      <c r="G2463" s="321"/>
      <c r="H2463" s="321"/>
      <c r="I2463" s="315"/>
      <c r="J2463" s="316" t="str">
        <f t="shared" si="433"/>
        <v/>
      </c>
    </row>
    <row r="2464" spans="1:10" s="316" customFormat="1">
      <c r="A2464" s="321">
        <v>114</v>
      </c>
      <c r="B2464" s="295">
        <f t="shared" si="434"/>
        <v>102</v>
      </c>
      <c r="C2464" s="321">
        <v>2.1</v>
      </c>
      <c r="D2464" s="321" t="s">
        <v>114</v>
      </c>
      <c r="E2464" s="321"/>
      <c r="F2464" s="316" t="str">
        <f t="shared" si="432"/>
        <v/>
      </c>
      <c r="G2464" s="321"/>
      <c r="H2464" s="321"/>
      <c r="I2464" s="315"/>
      <c r="J2464" s="316" t="str">
        <f t="shared" si="433"/>
        <v/>
      </c>
    </row>
    <row r="2465" spans="1:10" s="316" customFormat="1">
      <c r="A2465" s="321">
        <v>114</v>
      </c>
      <c r="B2465" s="295">
        <f t="shared" si="434"/>
        <v>102</v>
      </c>
      <c r="C2465" s="321">
        <v>2.2000000000000002</v>
      </c>
      <c r="D2465" s="321" t="s">
        <v>115</v>
      </c>
      <c r="E2465" s="321"/>
      <c r="F2465" s="316" t="str">
        <f t="shared" si="432"/>
        <v/>
      </c>
      <c r="G2465" s="321"/>
      <c r="H2465" s="321"/>
      <c r="I2465" s="315"/>
      <c r="J2465" s="316" t="str">
        <f t="shared" si="433"/>
        <v/>
      </c>
    </row>
    <row r="2466" spans="1:10" s="316" customFormat="1">
      <c r="A2466" s="321">
        <v>114</v>
      </c>
      <c r="B2466" s="295">
        <f t="shared" si="434"/>
        <v>102</v>
      </c>
      <c r="C2466" s="321">
        <v>2.2999999999999998</v>
      </c>
      <c r="D2466" s="321" t="s">
        <v>112</v>
      </c>
      <c r="E2466" s="321"/>
      <c r="F2466" s="316" t="str">
        <f t="shared" si="432"/>
        <v/>
      </c>
      <c r="G2466" s="321"/>
      <c r="H2466" s="321"/>
      <c r="I2466" s="315"/>
      <c r="J2466" s="316" t="str">
        <f t="shared" si="433"/>
        <v/>
      </c>
    </row>
    <row r="2467" spans="1:10" s="316" customFormat="1">
      <c r="A2467" s="321">
        <v>114</v>
      </c>
      <c r="B2467" s="295">
        <f t="shared" si="434"/>
        <v>102</v>
      </c>
      <c r="C2467" s="321">
        <v>2.4</v>
      </c>
      <c r="D2467" s="321" t="s">
        <v>114</v>
      </c>
      <c r="E2467" s="321"/>
      <c r="F2467" s="316" t="str">
        <f t="shared" si="432"/>
        <v/>
      </c>
      <c r="G2467" s="321"/>
      <c r="H2467" s="321"/>
      <c r="I2467" s="315"/>
      <c r="J2467" s="316" t="str">
        <f t="shared" si="433"/>
        <v/>
      </c>
    </row>
    <row r="2468" spans="1:10" s="316" customFormat="1">
      <c r="A2468" s="321">
        <v>114</v>
      </c>
      <c r="B2468" s="295">
        <f t="shared" si="434"/>
        <v>102</v>
      </c>
      <c r="C2468" s="321">
        <v>2.5</v>
      </c>
      <c r="D2468" s="321" t="s">
        <v>113</v>
      </c>
      <c r="E2468" s="321"/>
      <c r="F2468" s="316" t="str">
        <f t="shared" si="432"/>
        <v/>
      </c>
      <c r="G2468" s="321"/>
      <c r="H2468" s="321"/>
      <c r="I2468" s="315"/>
      <c r="J2468" s="316" t="str">
        <f t="shared" si="433"/>
        <v/>
      </c>
    </row>
    <row r="2469" spans="1:10" s="316" customFormat="1">
      <c r="A2469" s="321">
        <v>114</v>
      </c>
      <c r="B2469" s="295">
        <f t="shared" si="434"/>
        <v>102</v>
      </c>
      <c r="C2469" s="321">
        <v>3.1</v>
      </c>
      <c r="D2469" s="321" t="s">
        <v>115</v>
      </c>
      <c r="E2469" s="321"/>
      <c r="F2469" s="316" t="str">
        <f t="shared" si="432"/>
        <v/>
      </c>
      <c r="G2469" s="321"/>
      <c r="H2469" s="321"/>
      <c r="I2469" s="315"/>
      <c r="J2469" s="316" t="str">
        <f t="shared" si="433"/>
        <v/>
      </c>
    </row>
    <row r="2470" spans="1:10" s="316" customFormat="1">
      <c r="A2470" s="321">
        <v>114</v>
      </c>
      <c r="B2470" s="295">
        <f t="shared" si="434"/>
        <v>102</v>
      </c>
      <c r="C2470" s="321">
        <v>3.2</v>
      </c>
      <c r="D2470" s="321" t="s">
        <v>113</v>
      </c>
      <c r="E2470" s="321"/>
      <c r="F2470" s="316" t="str">
        <f t="shared" si="432"/>
        <v/>
      </c>
      <c r="G2470" s="321"/>
      <c r="H2470" s="321"/>
      <c r="I2470" s="315"/>
      <c r="J2470" s="316" t="str">
        <f t="shared" si="433"/>
        <v/>
      </c>
    </row>
    <row r="2471" spans="1:10" s="316" customFormat="1">
      <c r="A2471" s="321">
        <v>114</v>
      </c>
      <c r="B2471" s="295">
        <f t="shared" si="434"/>
        <v>102</v>
      </c>
      <c r="C2471" s="321">
        <v>3.3</v>
      </c>
      <c r="D2471" s="321" t="s">
        <v>114</v>
      </c>
      <c r="E2471" s="321"/>
      <c r="F2471" s="316" t="str">
        <f t="shared" si="432"/>
        <v/>
      </c>
      <c r="G2471" s="321"/>
      <c r="H2471" s="321"/>
      <c r="I2471" s="315"/>
      <c r="J2471" s="316" t="str">
        <f t="shared" si="433"/>
        <v/>
      </c>
    </row>
    <row r="2472" spans="1:10" s="316" customFormat="1">
      <c r="A2472" s="321">
        <v>114</v>
      </c>
      <c r="B2472" s="295">
        <f t="shared" si="434"/>
        <v>102</v>
      </c>
      <c r="C2472" s="321">
        <v>3.4</v>
      </c>
      <c r="D2472" s="321" t="s">
        <v>114</v>
      </c>
      <c r="E2472" s="321"/>
      <c r="F2472" s="316" t="str">
        <f t="shared" si="432"/>
        <v/>
      </c>
      <c r="G2472" s="321"/>
      <c r="H2472" s="321"/>
      <c r="I2472" s="315"/>
      <c r="J2472" s="316" t="str">
        <f t="shared" si="433"/>
        <v/>
      </c>
    </row>
    <row r="2473" spans="1:10" s="316" customFormat="1">
      <c r="A2473" s="321">
        <v>114</v>
      </c>
      <c r="B2473" s="295">
        <f t="shared" si="434"/>
        <v>102</v>
      </c>
      <c r="C2473" s="321">
        <v>3.5</v>
      </c>
      <c r="D2473" s="321" t="s">
        <v>115</v>
      </c>
      <c r="E2473" s="321"/>
      <c r="F2473" s="316" t="str">
        <f t="shared" si="432"/>
        <v/>
      </c>
      <c r="G2473" s="321"/>
      <c r="H2473" s="321"/>
      <c r="I2473" s="315"/>
      <c r="J2473" s="316" t="str">
        <f t="shared" si="433"/>
        <v/>
      </c>
    </row>
    <row r="2474" spans="1:10" s="316" customFormat="1">
      <c r="A2474" s="321">
        <v>114</v>
      </c>
      <c r="B2474" s="295">
        <f t="shared" si="434"/>
        <v>102</v>
      </c>
      <c r="C2474" s="321">
        <v>4.0999999999999996</v>
      </c>
      <c r="D2474" s="321" t="s">
        <v>111</v>
      </c>
      <c r="E2474" s="321"/>
      <c r="F2474" s="316" t="str">
        <f t="shared" si="432"/>
        <v/>
      </c>
      <c r="G2474" s="321"/>
      <c r="H2474" s="321"/>
      <c r="I2474" s="315"/>
      <c r="J2474" s="316" t="str">
        <f t="shared" si="433"/>
        <v/>
      </c>
    </row>
    <row r="2475" spans="1:10" s="316" customFormat="1">
      <c r="A2475" s="321">
        <v>114</v>
      </c>
      <c r="B2475" s="295">
        <f t="shared" si="434"/>
        <v>102</v>
      </c>
      <c r="C2475" s="321">
        <v>4.2</v>
      </c>
      <c r="D2475" s="321" t="s">
        <v>112</v>
      </c>
      <c r="E2475" s="321"/>
      <c r="F2475" s="316" t="str">
        <f t="shared" si="432"/>
        <v/>
      </c>
      <c r="G2475" s="321"/>
      <c r="H2475" s="321"/>
      <c r="I2475" s="315"/>
      <c r="J2475" s="316" t="str">
        <f t="shared" si="433"/>
        <v/>
      </c>
    </row>
    <row r="2476" spans="1:10" s="316" customFormat="1">
      <c r="A2476" s="321">
        <v>114</v>
      </c>
      <c r="B2476" s="295">
        <f t="shared" si="434"/>
        <v>102</v>
      </c>
      <c r="C2476" s="321">
        <v>4.3</v>
      </c>
      <c r="D2476" s="321" t="s">
        <v>113</v>
      </c>
      <c r="E2476" s="321"/>
      <c r="F2476" s="316" t="str">
        <f t="shared" si="432"/>
        <v/>
      </c>
      <c r="G2476" s="321"/>
      <c r="H2476" s="321"/>
      <c r="I2476" s="315"/>
      <c r="J2476" s="316" t="str">
        <f t="shared" si="433"/>
        <v/>
      </c>
    </row>
    <row r="2477" spans="1:10" s="316" customFormat="1">
      <c r="A2477" s="321">
        <v>114</v>
      </c>
      <c r="B2477" s="295">
        <f t="shared" si="434"/>
        <v>102</v>
      </c>
      <c r="C2477" s="321">
        <v>4.4000000000000004</v>
      </c>
      <c r="D2477" s="321" t="s">
        <v>112</v>
      </c>
      <c r="E2477" s="321"/>
      <c r="F2477" s="316" t="str">
        <f t="shared" si="432"/>
        <v/>
      </c>
      <c r="G2477" s="321"/>
      <c r="H2477" s="321"/>
      <c r="I2477" s="315"/>
      <c r="J2477" s="316" t="str">
        <f t="shared" si="433"/>
        <v/>
      </c>
    </row>
    <row r="2478" spans="1:10" s="316" customFormat="1">
      <c r="A2478" s="321">
        <v>114</v>
      </c>
      <c r="B2478" s="295">
        <f t="shared" si="434"/>
        <v>102</v>
      </c>
      <c r="C2478" s="321">
        <v>4.5</v>
      </c>
      <c r="D2478" s="321" t="s">
        <v>112</v>
      </c>
      <c r="E2478" s="321"/>
      <c r="F2478" s="316" t="str">
        <f t="shared" si="432"/>
        <v/>
      </c>
      <c r="G2478" s="321"/>
      <c r="H2478" s="321"/>
      <c r="I2478" s="315"/>
      <c r="J2478" s="316" t="str">
        <f t="shared" si="433"/>
        <v/>
      </c>
    </row>
    <row r="2479" spans="1:10" s="316" customFormat="1">
      <c r="A2479" s="321">
        <v>114</v>
      </c>
      <c r="B2479" s="295">
        <f t="shared" si="434"/>
        <v>102</v>
      </c>
      <c r="C2479" s="321">
        <v>5.0999999999999996</v>
      </c>
      <c r="D2479" s="321" t="s">
        <v>113</v>
      </c>
      <c r="E2479" s="321"/>
      <c r="F2479" s="316" t="str">
        <f t="shared" si="432"/>
        <v/>
      </c>
      <c r="G2479" s="321"/>
      <c r="H2479" s="321"/>
      <c r="I2479" s="315"/>
      <c r="J2479" s="316" t="str">
        <f t="shared" si="433"/>
        <v/>
      </c>
    </row>
    <row r="2480" spans="1:10" s="316" customFormat="1">
      <c r="A2480" s="321">
        <v>114</v>
      </c>
      <c r="B2480" s="295">
        <f t="shared" si="434"/>
        <v>102</v>
      </c>
      <c r="C2480" s="321">
        <v>5.2</v>
      </c>
      <c r="D2480" s="321" t="s">
        <v>114</v>
      </c>
      <c r="E2480" s="321"/>
      <c r="F2480" s="316" t="str">
        <f t="shared" si="432"/>
        <v/>
      </c>
      <c r="G2480" s="321"/>
      <c r="H2480" s="321"/>
      <c r="I2480" s="315"/>
      <c r="J2480" s="316" t="str">
        <f t="shared" si="433"/>
        <v/>
      </c>
    </row>
    <row r="2481" spans="1:11" s="316" customFormat="1">
      <c r="A2481" s="321">
        <v>114</v>
      </c>
      <c r="B2481" s="295">
        <f t="shared" si="434"/>
        <v>102</v>
      </c>
      <c r="C2481" s="321">
        <v>5.3</v>
      </c>
      <c r="D2481" s="321" t="s">
        <v>112</v>
      </c>
      <c r="E2481" s="321"/>
      <c r="F2481" s="316" t="str">
        <f t="shared" si="432"/>
        <v/>
      </c>
      <c r="G2481" s="321"/>
      <c r="H2481" s="321"/>
      <c r="I2481" s="315"/>
      <c r="J2481" s="316" t="str">
        <f t="shared" si="433"/>
        <v/>
      </c>
    </row>
    <row r="2482" spans="1:11" s="316" customFormat="1">
      <c r="A2482" s="321">
        <v>114</v>
      </c>
      <c r="B2482" s="295">
        <f t="shared" si="434"/>
        <v>102</v>
      </c>
      <c r="C2482" s="321">
        <v>5.4</v>
      </c>
      <c r="D2482" s="321" t="s">
        <v>113</v>
      </c>
      <c r="E2482" s="321"/>
      <c r="F2482" s="316" t="str">
        <f t="shared" si="432"/>
        <v/>
      </c>
      <c r="G2482" s="321"/>
      <c r="H2482" s="321"/>
      <c r="I2482" s="315"/>
      <c r="J2482" s="316" t="str">
        <f t="shared" si="433"/>
        <v/>
      </c>
    </row>
    <row r="2483" spans="1:11" s="316" customFormat="1">
      <c r="A2483" s="321">
        <v>114</v>
      </c>
      <c r="B2483" s="295">
        <f t="shared" si="434"/>
        <v>102</v>
      </c>
      <c r="C2483" s="321">
        <v>5.5</v>
      </c>
      <c r="D2483" s="321" t="s">
        <v>114</v>
      </c>
      <c r="E2483" s="321"/>
      <c r="F2483" s="316" t="str">
        <f t="shared" si="432"/>
        <v/>
      </c>
      <c r="G2483" s="321"/>
      <c r="H2483" s="321"/>
      <c r="I2483" s="315"/>
      <c r="J2483" s="316" t="str">
        <f t="shared" si="433"/>
        <v/>
      </c>
    </row>
    <row r="2484" spans="1:11">
      <c r="A2484" s="321">
        <v>114</v>
      </c>
      <c r="B2484" s="295">
        <f t="shared" si="434"/>
        <v>102</v>
      </c>
      <c r="C2484" s="321">
        <v>6.1</v>
      </c>
      <c r="D2484" s="321" t="s">
        <v>115</v>
      </c>
      <c r="E2484" s="321"/>
      <c r="F2484" s="316" t="str">
        <f t="shared" si="432"/>
        <v/>
      </c>
      <c r="G2484" s="321"/>
      <c r="H2484" s="321"/>
      <c r="J2484" s="316" t="str">
        <f t="shared" si="433"/>
        <v/>
      </c>
    </row>
    <row r="2485" spans="1:11">
      <c r="A2485" s="321">
        <v>114</v>
      </c>
      <c r="B2485" s="295">
        <f t="shared" si="434"/>
        <v>102</v>
      </c>
      <c r="C2485" s="321">
        <v>6.2</v>
      </c>
      <c r="D2485" s="321" t="s">
        <v>115</v>
      </c>
      <c r="E2485" s="321"/>
      <c r="F2485" s="316" t="str">
        <f t="shared" si="432"/>
        <v/>
      </c>
      <c r="G2485" s="321"/>
      <c r="H2485" s="321"/>
      <c r="J2485" s="316" t="str">
        <f t="shared" si="433"/>
        <v/>
      </c>
    </row>
    <row r="2486" spans="1:11">
      <c r="A2486" s="321">
        <v>114</v>
      </c>
      <c r="B2486" s="295">
        <f t="shared" si="434"/>
        <v>102</v>
      </c>
      <c r="C2486" s="321">
        <v>6.3</v>
      </c>
      <c r="D2486" s="321" t="s">
        <v>114</v>
      </c>
      <c r="E2486" s="321"/>
      <c r="F2486" s="316" t="str">
        <f t="shared" si="432"/>
        <v/>
      </c>
      <c r="G2486" s="321"/>
      <c r="H2486" s="321"/>
      <c r="J2486" s="316" t="str">
        <f t="shared" si="433"/>
        <v/>
      </c>
    </row>
    <row r="2487" spans="1:11">
      <c r="A2487" s="321">
        <v>114</v>
      </c>
      <c r="B2487" s="295">
        <f t="shared" si="434"/>
        <v>102</v>
      </c>
      <c r="C2487" s="321">
        <v>6.4</v>
      </c>
      <c r="D2487" s="321" t="s">
        <v>112</v>
      </c>
      <c r="E2487" s="321"/>
      <c r="F2487" s="316" t="str">
        <f t="shared" si="432"/>
        <v/>
      </c>
      <c r="G2487" s="321"/>
      <c r="H2487" s="321"/>
      <c r="J2487" s="316" t="str">
        <f t="shared" si="433"/>
        <v/>
      </c>
    </row>
    <row r="2488" spans="1:11">
      <c r="A2488" s="321">
        <v>114</v>
      </c>
      <c r="B2488" s="295">
        <f t="shared" si="434"/>
        <v>102</v>
      </c>
      <c r="C2488" s="321">
        <v>6.5</v>
      </c>
      <c r="D2488" s="321" t="s">
        <v>113</v>
      </c>
      <c r="E2488" s="321"/>
      <c r="F2488" s="316" t="str">
        <f t="shared" si="432"/>
        <v/>
      </c>
      <c r="G2488" s="321"/>
      <c r="H2488" s="321"/>
      <c r="J2488" s="316" t="str">
        <f t="shared" si="433"/>
        <v/>
      </c>
    </row>
    <row r="2489" spans="1:11">
      <c r="A2489" s="321">
        <v>114</v>
      </c>
      <c r="B2489" s="295">
        <f t="shared" si="434"/>
        <v>102</v>
      </c>
      <c r="C2489" s="321">
        <v>7.1</v>
      </c>
      <c r="D2489" s="321" t="s">
        <v>114</v>
      </c>
      <c r="E2489" s="321"/>
      <c r="F2489" s="316" t="str">
        <f t="shared" si="432"/>
        <v/>
      </c>
      <c r="G2489" s="321"/>
      <c r="H2489" s="321"/>
      <c r="J2489" s="316" t="str">
        <f t="shared" si="433"/>
        <v/>
      </c>
    </row>
    <row r="2490" spans="1:11">
      <c r="A2490" s="321">
        <v>114</v>
      </c>
      <c r="B2490" s="295">
        <f t="shared" si="434"/>
        <v>102</v>
      </c>
      <c r="C2490" s="321">
        <v>7.2</v>
      </c>
      <c r="D2490" s="321" t="s">
        <v>111</v>
      </c>
      <c r="E2490" s="321"/>
      <c r="F2490" s="316" t="str">
        <f t="shared" si="432"/>
        <v/>
      </c>
      <c r="G2490" s="321"/>
      <c r="H2490" s="321"/>
      <c r="J2490" s="316" t="str">
        <f t="shared" si="433"/>
        <v/>
      </c>
    </row>
    <row r="2491" spans="1:11">
      <c r="A2491" s="321">
        <v>114</v>
      </c>
      <c r="B2491" s="295">
        <f t="shared" si="434"/>
        <v>102</v>
      </c>
      <c r="C2491" s="321">
        <v>7.3</v>
      </c>
      <c r="D2491" s="321" t="s">
        <v>113</v>
      </c>
      <c r="E2491" s="321">
        <v>30</v>
      </c>
      <c r="F2491" s="316">
        <f t="shared" si="432"/>
        <v>1.1111111111111112</v>
      </c>
      <c r="G2491" s="321">
        <v>16.8</v>
      </c>
      <c r="H2491" s="321">
        <v>12.8</v>
      </c>
      <c r="I2491" s="315">
        <f t="shared" ref="I2491" si="437">G2491*(H2491^2)*0.5</f>
        <v>1376.2560000000003</v>
      </c>
      <c r="J2491" s="316">
        <f t="shared" si="433"/>
        <v>9.6319811875367467</v>
      </c>
    </row>
    <row r="2492" spans="1:11">
      <c r="A2492" s="321">
        <v>114</v>
      </c>
      <c r="B2492" s="295">
        <f t="shared" si="434"/>
        <v>102</v>
      </c>
      <c r="C2492" s="321">
        <v>7.4</v>
      </c>
      <c r="D2492" s="321" t="s">
        <v>115</v>
      </c>
      <c r="E2492" s="321"/>
      <c r="F2492" s="316" t="str">
        <f t="shared" si="432"/>
        <v/>
      </c>
      <c r="G2492" s="321"/>
      <c r="H2492" s="321"/>
      <c r="J2492" s="316" t="str">
        <f t="shared" si="433"/>
        <v/>
      </c>
    </row>
    <row r="2493" spans="1:11">
      <c r="A2493" s="321">
        <v>114</v>
      </c>
      <c r="B2493" s="295">
        <f t="shared" si="434"/>
        <v>102</v>
      </c>
      <c r="C2493" s="321">
        <v>7.5</v>
      </c>
      <c r="D2493" s="321" t="s">
        <v>111</v>
      </c>
      <c r="E2493" s="321"/>
      <c r="F2493" s="316" t="str">
        <f t="shared" si="432"/>
        <v/>
      </c>
      <c r="G2493" s="321"/>
      <c r="H2493" s="321"/>
      <c r="J2493" s="316" t="str">
        <f t="shared" si="433"/>
        <v/>
      </c>
    </row>
    <row r="2494" spans="1:11">
      <c r="A2494" s="321">
        <v>116</v>
      </c>
      <c r="B2494" s="295">
        <f t="shared" si="434"/>
        <v>104</v>
      </c>
      <c r="C2494" s="321">
        <v>1.1000000000000001</v>
      </c>
      <c r="D2494" s="321" t="s">
        <v>112</v>
      </c>
      <c r="E2494" s="321"/>
      <c r="F2494" s="316" t="str">
        <f t="shared" si="432"/>
        <v/>
      </c>
      <c r="G2494" s="321"/>
      <c r="H2494" s="321"/>
      <c r="J2494" s="316" t="str">
        <f t="shared" si="433"/>
        <v/>
      </c>
    </row>
    <row r="2495" spans="1:11">
      <c r="A2495" s="321">
        <v>116</v>
      </c>
      <c r="B2495" s="295">
        <f t="shared" si="434"/>
        <v>104</v>
      </c>
      <c r="C2495" s="321">
        <v>1.2</v>
      </c>
      <c r="D2495" s="321" t="s">
        <v>113</v>
      </c>
      <c r="E2495" s="321">
        <v>34</v>
      </c>
      <c r="F2495" s="316">
        <f t="shared" si="432"/>
        <v>1.2592592592592593</v>
      </c>
      <c r="G2495" s="321">
        <v>17.399999999999999</v>
      </c>
      <c r="H2495" s="321">
        <v>13.9</v>
      </c>
      <c r="I2495" s="315">
        <f t="shared" ref="I2495" si="438">G2495*(H2495^2)*0.5</f>
        <v>1680.9269999999999</v>
      </c>
      <c r="J2495" s="316">
        <f t="shared" si="433"/>
        <v>8.0349662884826341</v>
      </c>
      <c r="K2495" s="316" t="s">
        <v>172</v>
      </c>
    </row>
    <row r="2496" spans="1:11">
      <c r="A2496" s="321">
        <v>116</v>
      </c>
      <c r="B2496" s="295">
        <f t="shared" si="434"/>
        <v>104</v>
      </c>
      <c r="C2496" s="321">
        <v>1.3</v>
      </c>
      <c r="D2496" s="321" t="s">
        <v>115</v>
      </c>
      <c r="E2496" s="321"/>
      <c r="F2496" s="316" t="str">
        <f t="shared" si="432"/>
        <v/>
      </c>
      <c r="G2496" s="321"/>
      <c r="H2496" s="321"/>
      <c r="J2496" s="316" t="str">
        <f t="shared" si="433"/>
        <v/>
      </c>
    </row>
    <row r="2497" spans="1:10">
      <c r="A2497" s="321">
        <v>116</v>
      </c>
      <c r="B2497" s="295">
        <f t="shared" si="434"/>
        <v>104</v>
      </c>
      <c r="C2497" s="321">
        <v>1.4</v>
      </c>
      <c r="D2497" s="321" t="s">
        <v>115</v>
      </c>
      <c r="E2497" s="321"/>
      <c r="F2497" s="316" t="str">
        <f t="shared" si="432"/>
        <v/>
      </c>
      <c r="G2497" s="321"/>
      <c r="H2497" s="321"/>
      <c r="J2497" s="316" t="str">
        <f t="shared" si="433"/>
        <v/>
      </c>
    </row>
    <row r="2498" spans="1:10">
      <c r="A2498" s="321">
        <v>116</v>
      </c>
      <c r="B2498" s="295">
        <f t="shared" si="434"/>
        <v>104</v>
      </c>
      <c r="C2498" s="321">
        <v>1.5</v>
      </c>
      <c r="D2498" s="321" t="s">
        <v>112</v>
      </c>
      <c r="E2498" s="321"/>
      <c r="F2498" s="316" t="str">
        <f t="shared" si="432"/>
        <v/>
      </c>
      <c r="G2498" s="321"/>
      <c r="H2498" s="321"/>
      <c r="J2498" s="316" t="str">
        <f t="shared" si="433"/>
        <v/>
      </c>
    </row>
    <row r="2499" spans="1:10">
      <c r="A2499" s="321">
        <v>116</v>
      </c>
      <c r="B2499" s="295">
        <f t="shared" si="434"/>
        <v>104</v>
      </c>
      <c r="C2499" s="321">
        <v>2.1</v>
      </c>
      <c r="D2499" s="321" t="s">
        <v>114</v>
      </c>
      <c r="E2499" s="321"/>
      <c r="F2499" s="316" t="str">
        <f t="shared" si="432"/>
        <v/>
      </c>
      <c r="G2499" s="321"/>
      <c r="H2499" s="321"/>
      <c r="J2499" s="316" t="str">
        <f t="shared" si="433"/>
        <v/>
      </c>
    </row>
    <row r="2500" spans="1:10" s="316" customFormat="1">
      <c r="A2500" s="321">
        <v>116</v>
      </c>
      <c r="B2500" s="295">
        <f t="shared" si="434"/>
        <v>104</v>
      </c>
      <c r="C2500" s="321">
        <v>2.2000000000000002</v>
      </c>
      <c r="D2500" s="321" t="s">
        <v>115</v>
      </c>
      <c r="E2500" s="321"/>
      <c r="F2500" s="316" t="str">
        <f t="shared" si="432"/>
        <v/>
      </c>
      <c r="G2500" s="321"/>
      <c r="H2500" s="321"/>
      <c r="I2500" s="315"/>
      <c r="J2500" s="316" t="str">
        <f t="shared" si="433"/>
        <v/>
      </c>
    </row>
    <row r="2501" spans="1:10" s="316" customFormat="1">
      <c r="A2501" s="321">
        <v>116</v>
      </c>
      <c r="B2501" s="295">
        <f t="shared" si="434"/>
        <v>104</v>
      </c>
      <c r="C2501" s="321">
        <v>2.2999999999999998</v>
      </c>
      <c r="D2501" s="321" t="s">
        <v>112</v>
      </c>
      <c r="E2501" s="321"/>
      <c r="F2501" s="316" t="str">
        <f t="shared" si="432"/>
        <v/>
      </c>
      <c r="G2501" s="321"/>
      <c r="H2501" s="321"/>
      <c r="I2501" s="315"/>
      <c r="J2501" s="316" t="str">
        <f t="shared" si="433"/>
        <v/>
      </c>
    </row>
    <row r="2502" spans="1:10" s="316" customFormat="1">
      <c r="A2502" s="321">
        <v>116</v>
      </c>
      <c r="B2502" s="295">
        <f t="shared" si="434"/>
        <v>104</v>
      </c>
      <c r="C2502" s="321">
        <v>2.4</v>
      </c>
      <c r="D2502" s="321" t="s">
        <v>114</v>
      </c>
      <c r="E2502" s="321"/>
      <c r="F2502" s="316" t="str">
        <f t="shared" si="432"/>
        <v/>
      </c>
      <c r="G2502" s="321"/>
      <c r="H2502" s="321"/>
      <c r="I2502" s="315"/>
      <c r="J2502" s="316" t="str">
        <f t="shared" si="433"/>
        <v/>
      </c>
    </row>
    <row r="2503" spans="1:10" s="316" customFormat="1">
      <c r="A2503" s="321">
        <v>116</v>
      </c>
      <c r="B2503" s="295">
        <f t="shared" si="434"/>
        <v>104</v>
      </c>
      <c r="C2503" s="321">
        <v>2.5</v>
      </c>
      <c r="D2503" s="321" t="s">
        <v>113</v>
      </c>
      <c r="E2503" s="321"/>
      <c r="F2503" s="316" t="str">
        <f t="shared" si="432"/>
        <v/>
      </c>
      <c r="G2503" s="321"/>
      <c r="H2503" s="321"/>
      <c r="I2503" s="315"/>
      <c r="J2503" s="316" t="str">
        <f t="shared" si="433"/>
        <v/>
      </c>
    </row>
    <row r="2504" spans="1:10" s="316" customFormat="1">
      <c r="A2504" s="321">
        <v>116</v>
      </c>
      <c r="B2504" s="295">
        <f t="shared" si="434"/>
        <v>104</v>
      </c>
      <c r="C2504" s="321">
        <v>3.1</v>
      </c>
      <c r="D2504" s="321" t="s">
        <v>115</v>
      </c>
      <c r="E2504" s="321"/>
      <c r="F2504" s="316" t="str">
        <f t="shared" si="432"/>
        <v/>
      </c>
      <c r="G2504" s="321"/>
      <c r="H2504" s="321"/>
      <c r="I2504" s="315"/>
      <c r="J2504" s="316" t="str">
        <f t="shared" si="433"/>
        <v/>
      </c>
    </row>
    <row r="2505" spans="1:10" s="316" customFormat="1">
      <c r="A2505" s="321">
        <v>116</v>
      </c>
      <c r="B2505" s="295">
        <f t="shared" si="434"/>
        <v>104</v>
      </c>
      <c r="C2505" s="321">
        <v>3.2</v>
      </c>
      <c r="D2505" s="321" t="s">
        <v>113</v>
      </c>
      <c r="E2505" s="321"/>
      <c r="F2505" s="316" t="str">
        <f t="shared" ref="F2505:F2568" si="439">IF(ISBLANK(E2505),"",E2505/SUMIFS(E:E,C:C,C2505,B:B,"0"))</f>
        <v/>
      </c>
      <c r="G2505" s="321"/>
      <c r="H2505" s="321"/>
      <c r="I2505" s="315"/>
      <c r="J2505" s="316" t="str">
        <f t="shared" ref="J2505:J2568" si="440">IF(ISBLANK(I2505),"",I2505/SUMIFS(I:I,C:C,C2505,B:B,"0"))</f>
        <v/>
      </c>
    </row>
    <row r="2506" spans="1:10" s="316" customFormat="1">
      <c r="A2506" s="321">
        <v>116</v>
      </c>
      <c r="B2506" s="295">
        <f t="shared" ref="B2506:B2528" si="441">A2506-12</f>
        <v>104</v>
      </c>
      <c r="C2506" s="321">
        <v>3.3</v>
      </c>
      <c r="D2506" s="321" t="s">
        <v>114</v>
      </c>
      <c r="E2506" s="321"/>
      <c r="F2506" s="316" t="str">
        <f t="shared" si="439"/>
        <v/>
      </c>
      <c r="G2506" s="321"/>
      <c r="H2506" s="321"/>
      <c r="I2506" s="315"/>
      <c r="J2506" s="316" t="str">
        <f t="shared" si="440"/>
        <v/>
      </c>
    </row>
    <row r="2507" spans="1:10" s="316" customFormat="1">
      <c r="A2507" s="321">
        <v>116</v>
      </c>
      <c r="B2507" s="295">
        <f t="shared" si="441"/>
        <v>104</v>
      </c>
      <c r="C2507" s="321">
        <v>3.4</v>
      </c>
      <c r="D2507" s="321" t="s">
        <v>114</v>
      </c>
      <c r="E2507" s="321"/>
      <c r="F2507" s="316" t="str">
        <f t="shared" si="439"/>
        <v/>
      </c>
      <c r="G2507" s="321"/>
      <c r="H2507" s="321"/>
      <c r="I2507" s="315"/>
      <c r="J2507" s="316" t="str">
        <f t="shared" si="440"/>
        <v/>
      </c>
    </row>
    <row r="2508" spans="1:10" s="316" customFormat="1">
      <c r="A2508" s="321">
        <v>116</v>
      </c>
      <c r="B2508" s="295">
        <f t="shared" si="441"/>
        <v>104</v>
      </c>
      <c r="C2508" s="321">
        <v>3.5</v>
      </c>
      <c r="D2508" s="321" t="s">
        <v>115</v>
      </c>
      <c r="E2508" s="321"/>
      <c r="F2508" s="316" t="str">
        <f t="shared" si="439"/>
        <v/>
      </c>
      <c r="G2508" s="321"/>
      <c r="H2508" s="321"/>
      <c r="I2508" s="315"/>
      <c r="J2508" s="316" t="str">
        <f t="shared" si="440"/>
        <v/>
      </c>
    </row>
    <row r="2509" spans="1:10" s="316" customFormat="1">
      <c r="A2509" s="321">
        <v>116</v>
      </c>
      <c r="B2509" s="295">
        <f t="shared" si="441"/>
        <v>104</v>
      </c>
      <c r="C2509" s="321">
        <v>4.0999999999999996</v>
      </c>
      <c r="D2509" s="321" t="s">
        <v>111</v>
      </c>
      <c r="E2509" s="321"/>
      <c r="F2509" s="316" t="str">
        <f t="shared" si="439"/>
        <v/>
      </c>
      <c r="G2509" s="321"/>
      <c r="H2509" s="321"/>
      <c r="I2509" s="315"/>
      <c r="J2509" s="316" t="str">
        <f t="shared" si="440"/>
        <v/>
      </c>
    </row>
    <row r="2510" spans="1:10" s="316" customFormat="1">
      <c r="A2510" s="321">
        <v>116</v>
      </c>
      <c r="B2510" s="295">
        <f t="shared" si="441"/>
        <v>104</v>
      </c>
      <c r="C2510" s="321">
        <v>4.2</v>
      </c>
      <c r="D2510" s="321" t="s">
        <v>112</v>
      </c>
      <c r="E2510" s="321"/>
      <c r="F2510" s="316" t="str">
        <f t="shared" si="439"/>
        <v/>
      </c>
      <c r="G2510" s="321"/>
      <c r="H2510" s="321"/>
      <c r="I2510" s="315"/>
      <c r="J2510" s="316" t="str">
        <f t="shared" si="440"/>
        <v/>
      </c>
    </row>
    <row r="2511" spans="1:10" s="316" customFormat="1">
      <c r="A2511" s="321">
        <v>116</v>
      </c>
      <c r="B2511" s="295">
        <f t="shared" si="441"/>
        <v>104</v>
      </c>
      <c r="C2511" s="321">
        <v>4.3</v>
      </c>
      <c r="D2511" s="321" t="s">
        <v>113</v>
      </c>
      <c r="E2511" s="321"/>
      <c r="F2511" s="316" t="str">
        <f t="shared" si="439"/>
        <v/>
      </c>
      <c r="G2511" s="321"/>
      <c r="H2511" s="321"/>
      <c r="I2511" s="315"/>
      <c r="J2511" s="316" t="str">
        <f t="shared" si="440"/>
        <v/>
      </c>
    </row>
    <row r="2512" spans="1:10" s="316" customFormat="1">
      <c r="A2512" s="321">
        <v>116</v>
      </c>
      <c r="B2512" s="295">
        <f t="shared" si="441"/>
        <v>104</v>
      </c>
      <c r="C2512" s="321">
        <v>4.4000000000000004</v>
      </c>
      <c r="D2512" s="321" t="s">
        <v>112</v>
      </c>
      <c r="E2512" s="321"/>
      <c r="F2512" s="316" t="str">
        <f t="shared" si="439"/>
        <v/>
      </c>
      <c r="G2512" s="321"/>
      <c r="H2512" s="321"/>
      <c r="I2512" s="315"/>
      <c r="J2512" s="316" t="str">
        <f t="shared" si="440"/>
        <v/>
      </c>
    </row>
    <row r="2513" spans="1:11" s="316" customFormat="1">
      <c r="A2513" s="321">
        <v>116</v>
      </c>
      <c r="B2513" s="295">
        <f t="shared" si="441"/>
        <v>104</v>
      </c>
      <c r="C2513" s="321">
        <v>4.5</v>
      </c>
      <c r="D2513" s="321" t="s">
        <v>112</v>
      </c>
      <c r="E2513" s="321"/>
      <c r="F2513" s="316" t="str">
        <f t="shared" si="439"/>
        <v/>
      </c>
      <c r="G2513" s="321"/>
      <c r="H2513" s="321"/>
      <c r="I2513" s="315"/>
      <c r="J2513" s="316" t="str">
        <f t="shared" si="440"/>
        <v/>
      </c>
    </row>
    <row r="2514" spans="1:11" s="316" customFormat="1">
      <c r="A2514" s="321">
        <v>116</v>
      </c>
      <c r="B2514" s="295">
        <f t="shared" si="441"/>
        <v>104</v>
      </c>
      <c r="C2514" s="321">
        <v>5.0999999999999996</v>
      </c>
      <c r="D2514" s="321" t="s">
        <v>113</v>
      </c>
      <c r="E2514" s="321"/>
      <c r="F2514" s="316" t="str">
        <f t="shared" si="439"/>
        <v/>
      </c>
      <c r="G2514" s="321"/>
      <c r="H2514" s="321"/>
      <c r="I2514" s="315"/>
      <c r="J2514" s="316" t="str">
        <f t="shared" si="440"/>
        <v/>
      </c>
    </row>
    <row r="2515" spans="1:11" s="316" customFormat="1">
      <c r="A2515" s="321">
        <v>116</v>
      </c>
      <c r="B2515" s="295">
        <f t="shared" si="441"/>
        <v>104</v>
      </c>
      <c r="C2515" s="321">
        <v>5.2</v>
      </c>
      <c r="D2515" s="321" t="s">
        <v>114</v>
      </c>
      <c r="E2515" s="321"/>
      <c r="F2515" s="316" t="str">
        <f t="shared" si="439"/>
        <v/>
      </c>
      <c r="G2515" s="321"/>
      <c r="H2515" s="321"/>
      <c r="I2515" s="315"/>
      <c r="J2515" s="316" t="str">
        <f t="shared" si="440"/>
        <v/>
      </c>
    </row>
    <row r="2516" spans="1:11">
      <c r="A2516" s="321">
        <v>116</v>
      </c>
      <c r="B2516" s="295">
        <f t="shared" si="441"/>
        <v>104</v>
      </c>
      <c r="C2516" s="321">
        <v>5.3</v>
      </c>
      <c r="D2516" s="321" t="s">
        <v>112</v>
      </c>
      <c r="E2516" s="321"/>
      <c r="F2516" s="316" t="str">
        <f t="shared" si="439"/>
        <v/>
      </c>
      <c r="G2516" s="321"/>
      <c r="H2516" s="321"/>
      <c r="J2516" s="316" t="str">
        <f t="shared" si="440"/>
        <v/>
      </c>
    </row>
    <row r="2517" spans="1:11">
      <c r="A2517" s="321">
        <v>116</v>
      </c>
      <c r="B2517" s="295">
        <f t="shared" si="441"/>
        <v>104</v>
      </c>
      <c r="C2517" s="321">
        <v>5.4</v>
      </c>
      <c r="D2517" s="321" t="s">
        <v>113</v>
      </c>
      <c r="E2517" s="321"/>
      <c r="F2517" s="316" t="str">
        <f t="shared" si="439"/>
        <v/>
      </c>
      <c r="G2517" s="321"/>
      <c r="H2517" s="321"/>
      <c r="J2517" s="316" t="str">
        <f t="shared" si="440"/>
        <v/>
      </c>
    </row>
    <row r="2518" spans="1:11">
      <c r="A2518" s="321">
        <v>116</v>
      </c>
      <c r="B2518" s="295">
        <f t="shared" si="441"/>
        <v>104</v>
      </c>
      <c r="C2518" s="321">
        <v>5.5</v>
      </c>
      <c r="D2518" s="321" t="s">
        <v>114</v>
      </c>
      <c r="E2518" s="321"/>
      <c r="F2518" s="316" t="str">
        <f t="shared" si="439"/>
        <v/>
      </c>
      <c r="G2518" s="321"/>
      <c r="H2518" s="321"/>
      <c r="J2518" s="316" t="str">
        <f t="shared" si="440"/>
        <v/>
      </c>
    </row>
    <row r="2519" spans="1:11">
      <c r="A2519" s="321">
        <v>116</v>
      </c>
      <c r="B2519" s="295">
        <f t="shared" si="441"/>
        <v>104</v>
      </c>
      <c r="C2519" s="321">
        <v>6.1</v>
      </c>
      <c r="D2519" s="321" t="s">
        <v>115</v>
      </c>
      <c r="E2519" s="321"/>
      <c r="F2519" s="316" t="str">
        <f t="shared" si="439"/>
        <v/>
      </c>
      <c r="G2519" s="321"/>
      <c r="H2519" s="321"/>
      <c r="J2519" s="316" t="str">
        <f t="shared" si="440"/>
        <v/>
      </c>
    </row>
    <row r="2520" spans="1:11">
      <c r="A2520" s="321">
        <v>116</v>
      </c>
      <c r="B2520" s="295">
        <f t="shared" si="441"/>
        <v>104</v>
      </c>
      <c r="C2520" s="321">
        <v>6.2</v>
      </c>
      <c r="D2520" s="321" t="s">
        <v>115</v>
      </c>
      <c r="E2520" s="321"/>
      <c r="F2520" s="316" t="str">
        <f t="shared" si="439"/>
        <v/>
      </c>
      <c r="G2520" s="321"/>
      <c r="H2520" s="321"/>
      <c r="J2520" s="316" t="str">
        <f t="shared" si="440"/>
        <v/>
      </c>
    </row>
    <row r="2521" spans="1:11">
      <c r="A2521" s="321">
        <v>116</v>
      </c>
      <c r="B2521" s="295">
        <f t="shared" si="441"/>
        <v>104</v>
      </c>
      <c r="C2521" s="321">
        <v>6.3</v>
      </c>
      <c r="D2521" s="321" t="s">
        <v>114</v>
      </c>
      <c r="E2521" s="321"/>
      <c r="F2521" s="316" t="str">
        <f t="shared" si="439"/>
        <v/>
      </c>
      <c r="G2521" s="321"/>
      <c r="H2521" s="321"/>
      <c r="J2521" s="316" t="str">
        <f t="shared" si="440"/>
        <v/>
      </c>
    </row>
    <row r="2522" spans="1:11">
      <c r="A2522" s="321">
        <v>116</v>
      </c>
      <c r="B2522" s="295">
        <f t="shared" si="441"/>
        <v>104</v>
      </c>
      <c r="C2522" s="321">
        <v>6.4</v>
      </c>
      <c r="D2522" s="321" t="s">
        <v>112</v>
      </c>
      <c r="E2522" s="321"/>
      <c r="F2522" s="316" t="str">
        <f t="shared" si="439"/>
        <v/>
      </c>
      <c r="G2522" s="321"/>
      <c r="H2522" s="321"/>
      <c r="J2522" s="316" t="str">
        <f t="shared" si="440"/>
        <v/>
      </c>
    </row>
    <row r="2523" spans="1:11">
      <c r="A2523" s="321">
        <v>116</v>
      </c>
      <c r="B2523" s="295">
        <f t="shared" si="441"/>
        <v>104</v>
      </c>
      <c r="C2523" s="321">
        <v>6.5</v>
      </c>
      <c r="D2523" s="321" t="s">
        <v>113</v>
      </c>
      <c r="E2523" s="321"/>
      <c r="F2523" s="316" t="str">
        <f t="shared" si="439"/>
        <v/>
      </c>
      <c r="G2523" s="321"/>
      <c r="H2523" s="321"/>
      <c r="J2523" s="316" t="str">
        <f t="shared" si="440"/>
        <v/>
      </c>
    </row>
    <row r="2524" spans="1:11">
      <c r="A2524" s="321">
        <v>116</v>
      </c>
      <c r="B2524" s="295">
        <f t="shared" si="441"/>
        <v>104</v>
      </c>
      <c r="C2524" s="321">
        <v>7.1</v>
      </c>
      <c r="D2524" s="321" t="s">
        <v>114</v>
      </c>
      <c r="E2524" s="321"/>
      <c r="F2524" s="316" t="str">
        <f t="shared" si="439"/>
        <v/>
      </c>
      <c r="G2524" s="321"/>
      <c r="H2524" s="321"/>
      <c r="J2524" s="316" t="str">
        <f t="shared" si="440"/>
        <v/>
      </c>
    </row>
    <row r="2525" spans="1:11">
      <c r="A2525" s="321">
        <v>116</v>
      </c>
      <c r="B2525" s="295">
        <f t="shared" si="441"/>
        <v>104</v>
      </c>
      <c r="C2525" s="321">
        <v>7.2</v>
      </c>
      <c r="D2525" s="321" t="s">
        <v>111</v>
      </c>
      <c r="E2525" s="321"/>
      <c r="F2525" s="316" t="str">
        <f t="shared" si="439"/>
        <v/>
      </c>
      <c r="G2525" s="321"/>
      <c r="H2525" s="321"/>
      <c r="J2525" s="316" t="str">
        <f t="shared" si="440"/>
        <v/>
      </c>
    </row>
    <row r="2526" spans="1:11">
      <c r="A2526" s="321">
        <v>116</v>
      </c>
      <c r="B2526" s="295">
        <f t="shared" si="441"/>
        <v>104</v>
      </c>
      <c r="C2526" s="321">
        <v>7.3</v>
      </c>
      <c r="D2526" s="321" t="s">
        <v>113</v>
      </c>
      <c r="E2526" s="321">
        <v>30</v>
      </c>
      <c r="F2526" s="316">
        <f t="shared" si="439"/>
        <v>1.1111111111111112</v>
      </c>
      <c r="G2526" s="321">
        <v>18.2</v>
      </c>
      <c r="H2526" s="321">
        <v>13.5</v>
      </c>
      <c r="I2526" s="315">
        <f t="shared" ref="I2526" si="442">G2526*(H2526^2)*0.5</f>
        <v>1658.4749999999999</v>
      </c>
      <c r="J2526" s="316">
        <f t="shared" si="440"/>
        <v>11.607142857142858</v>
      </c>
      <c r="K2526" s="316" t="s">
        <v>172</v>
      </c>
    </row>
    <row r="2527" spans="1:11">
      <c r="A2527" s="321">
        <v>116</v>
      </c>
      <c r="B2527" s="295">
        <f t="shared" si="441"/>
        <v>104</v>
      </c>
      <c r="C2527" s="321">
        <v>7.4</v>
      </c>
      <c r="D2527" s="321" t="s">
        <v>115</v>
      </c>
      <c r="E2527" s="321"/>
      <c r="F2527" s="316" t="str">
        <f t="shared" si="439"/>
        <v/>
      </c>
      <c r="G2527" s="321"/>
      <c r="H2527" s="321"/>
      <c r="J2527" s="316" t="str">
        <f t="shared" si="440"/>
        <v/>
      </c>
    </row>
    <row r="2528" spans="1:11">
      <c r="A2528" s="321">
        <v>116</v>
      </c>
      <c r="B2528" s="295">
        <f t="shared" si="441"/>
        <v>104</v>
      </c>
      <c r="C2528" s="321">
        <v>7.5</v>
      </c>
      <c r="D2528" s="321" t="s">
        <v>111</v>
      </c>
      <c r="E2528" s="321"/>
      <c r="F2528" s="316" t="str">
        <f t="shared" si="439"/>
        <v/>
      </c>
      <c r="G2528" s="321"/>
      <c r="H2528" s="321"/>
      <c r="J2528" s="316" t="str">
        <f t="shared" si="440"/>
        <v/>
      </c>
    </row>
  </sheetData>
  <autoFilter ref="A8:K2528" xr:uid="{AAE78920-196B-417E-A3B2-9371E8BF947D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8018-889A-4CE4-B004-0D7FFC25826D}">
  <dimension ref="A1:K43"/>
  <sheetViews>
    <sheetView zoomScale="90" zoomScaleNormal="90" workbookViewId="0">
      <selection activeCell="N15" sqref="N15"/>
    </sheetView>
  </sheetViews>
  <sheetFormatPr defaultRowHeight="15.75"/>
  <cols>
    <col min="1" max="1" width="12.42578125" style="331" customWidth="1"/>
    <col min="2" max="2" width="14.42578125" style="332" customWidth="1"/>
    <col min="3" max="3" width="13.42578125" style="333" customWidth="1"/>
    <col min="4" max="5" width="17.7109375" style="333" customWidth="1"/>
    <col min="6" max="6" width="14.42578125" style="334" customWidth="1"/>
    <col min="7" max="7" width="41.140625" style="332" customWidth="1"/>
    <col min="8" max="16384" width="9.140625" style="332"/>
  </cols>
  <sheetData>
    <row r="1" spans="1:11" s="295" customFormat="1" ht="25.5">
      <c r="A1" s="4" t="s">
        <v>206</v>
      </c>
      <c r="I1" s="315"/>
      <c r="K1" s="316"/>
    </row>
    <row r="2" spans="1:11" s="295" customFormat="1" ht="22.5">
      <c r="A2" s="344" t="s">
        <v>203</v>
      </c>
      <c r="I2" s="315"/>
      <c r="K2" s="316"/>
    </row>
    <row r="3" spans="1:11" s="295" customFormat="1" ht="22.5">
      <c r="A3" s="344" t="s">
        <v>204</v>
      </c>
      <c r="I3" s="315"/>
      <c r="K3" s="316"/>
    </row>
    <row r="4" spans="1:11" s="295" customFormat="1" ht="22.5">
      <c r="A4" s="344"/>
      <c r="I4" s="315"/>
      <c r="K4" s="316"/>
    </row>
    <row r="5" spans="1:11" s="323" customFormat="1" ht="23.25">
      <c r="A5" s="350" t="s">
        <v>190</v>
      </c>
      <c r="C5" s="324"/>
      <c r="D5" s="324"/>
      <c r="E5" s="324"/>
      <c r="F5" s="325"/>
    </row>
    <row r="6" spans="1:11" s="326" customFormat="1">
      <c r="A6" s="326" t="s">
        <v>116</v>
      </c>
      <c r="C6" s="327"/>
      <c r="D6" s="327"/>
      <c r="E6" s="327"/>
      <c r="F6" s="328"/>
      <c r="G6" s="326" t="s">
        <v>117</v>
      </c>
      <c r="H6" s="329"/>
      <c r="J6" s="330" t="s">
        <v>118</v>
      </c>
    </row>
    <row r="7" spans="1:11">
      <c r="G7" s="335"/>
    </row>
    <row r="8" spans="1:11" s="341" customFormat="1" ht="31.5">
      <c r="A8" s="336" t="s">
        <v>121</v>
      </c>
      <c r="B8" s="337" t="s">
        <v>10</v>
      </c>
      <c r="C8" s="338" t="s">
        <v>191</v>
      </c>
      <c r="D8" s="338" t="s">
        <v>192</v>
      </c>
      <c r="E8" s="338" t="s">
        <v>193</v>
      </c>
      <c r="F8" s="339" t="s">
        <v>194</v>
      </c>
      <c r="G8" s="340" t="s">
        <v>128</v>
      </c>
    </row>
    <row r="9" spans="1:11">
      <c r="A9" s="331">
        <v>1.1000000000000001</v>
      </c>
      <c r="B9" s="342" t="s">
        <v>112</v>
      </c>
      <c r="C9" s="343">
        <v>30</v>
      </c>
      <c r="D9" s="343"/>
      <c r="E9" s="343"/>
      <c r="F9" s="334">
        <v>1.3714108779032603</v>
      </c>
      <c r="G9" s="335" t="s">
        <v>172</v>
      </c>
    </row>
    <row r="10" spans="1:11">
      <c r="A10" s="331">
        <v>1.2</v>
      </c>
      <c r="B10" s="342" t="s">
        <v>113</v>
      </c>
      <c r="C10" s="331">
        <v>104</v>
      </c>
      <c r="D10" s="331"/>
      <c r="E10" s="331"/>
      <c r="F10" s="334">
        <v>0.14495115952801485</v>
      </c>
      <c r="G10" s="335" t="s">
        <v>172</v>
      </c>
    </row>
    <row r="11" spans="1:11">
      <c r="A11" s="331">
        <v>1.3</v>
      </c>
      <c r="B11" s="342" t="s">
        <v>115</v>
      </c>
      <c r="C11" s="343">
        <v>39</v>
      </c>
      <c r="D11" s="343" t="s">
        <v>195</v>
      </c>
      <c r="E11" s="343" t="s">
        <v>196</v>
      </c>
      <c r="F11" s="334" t="s">
        <v>207</v>
      </c>
      <c r="G11" s="335" t="s">
        <v>172</v>
      </c>
    </row>
    <row r="12" spans="1:11">
      <c r="A12" s="331">
        <v>1.4</v>
      </c>
      <c r="B12" s="342" t="s">
        <v>115</v>
      </c>
      <c r="C12" s="331">
        <v>14</v>
      </c>
      <c r="D12" s="331" t="s">
        <v>195</v>
      </c>
      <c r="E12" s="331" t="s">
        <v>197</v>
      </c>
      <c r="F12" s="334">
        <v>1.1007543697238202</v>
      </c>
      <c r="G12" s="335" t="s">
        <v>198</v>
      </c>
    </row>
    <row r="13" spans="1:11">
      <c r="A13" s="331">
        <v>1.5</v>
      </c>
      <c r="B13" s="342" t="s">
        <v>112</v>
      </c>
      <c r="C13" s="343">
        <v>77</v>
      </c>
      <c r="D13" s="343"/>
      <c r="E13" s="343"/>
      <c r="F13" s="334">
        <v>1.7694450827205883</v>
      </c>
      <c r="G13" s="335" t="s">
        <v>172</v>
      </c>
    </row>
    <row r="14" spans="1:11">
      <c r="A14" s="331">
        <v>2.1</v>
      </c>
      <c r="B14" s="342" t="s">
        <v>114</v>
      </c>
      <c r="C14" s="331">
        <v>67</v>
      </c>
      <c r="D14" s="331" t="s">
        <v>195</v>
      </c>
      <c r="E14" s="331" t="s">
        <v>196</v>
      </c>
      <c r="F14" s="334">
        <v>1.3103299753535449</v>
      </c>
      <c r="G14" s="335" t="s">
        <v>172</v>
      </c>
    </row>
    <row r="15" spans="1:11">
      <c r="A15" s="331">
        <v>2.2000000000000002</v>
      </c>
      <c r="B15" s="342" t="s">
        <v>115</v>
      </c>
      <c r="C15" s="343">
        <v>14</v>
      </c>
      <c r="D15" s="343" t="s">
        <v>195</v>
      </c>
      <c r="E15" s="343" t="s">
        <v>197</v>
      </c>
      <c r="F15" s="334">
        <v>0.78571102878312904</v>
      </c>
      <c r="G15" s="335" t="s">
        <v>157</v>
      </c>
    </row>
    <row r="16" spans="1:11">
      <c r="A16" s="331">
        <v>2.2999999999999998</v>
      </c>
      <c r="B16" s="342" t="s">
        <v>112</v>
      </c>
      <c r="C16" s="343">
        <v>28</v>
      </c>
      <c r="D16" s="343"/>
      <c r="E16" s="343"/>
      <c r="F16" s="334">
        <v>2.5846965254405663</v>
      </c>
      <c r="G16" s="335" t="s">
        <v>199</v>
      </c>
    </row>
    <row r="17" spans="1:7">
      <c r="A17" s="331">
        <v>2.4</v>
      </c>
      <c r="B17" s="342" t="s">
        <v>114</v>
      </c>
      <c r="C17" s="343">
        <v>75</v>
      </c>
      <c r="D17" s="343" t="s">
        <v>195</v>
      </c>
      <c r="E17" s="343" t="s">
        <v>196</v>
      </c>
      <c r="F17" s="334">
        <v>0.84872558139534893</v>
      </c>
      <c r="G17" s="335" t="s">
        <v>172</v>
      </c>
    </row>
    <row r="18" spans="1:7">
      <c r="A18" s="331">
        <v>2.5</v>
      </c>
      <c r="B18" s="342" t="s">
        <v>113</v>
      </c>
      <c r="C18" s="343">
        <v>84</v>
      </c>
      <c r="D18" s="343"/>
      <c r="E18" s="343"/>
      <c r="F18" s="334">
        <v>0.15247798712642599</v>
      </c>
      <c r="G18" s="335" t="s">
        <v>172</v>
      </c>
    </row>
    <row r="19" spans="1:7">
      <c r="A19" s="331">
        <v>3.1</v>
      </c>
      <c r="B19" s="342" t="s">
        <v>115</v>
      </c>
      <c r="C19" s="343">
        <v>71</v>
      </c>
      <c r="D19" s="343" t="s">
        <v>195</v>
      </c>
      <c r="E19" s="343" t="s">
        <v>200</v>
      </c>
      <c r="F19" s="334">
        <v>0.11089307829916059</v>
      </c>
      <c r="G19" s="335" t="s">
        <v>189</v>
      </c>
    </row>
    <row r="20" spans="1:7">
      <c r="A20" s="331">
        <v>3.2</v>
      </c>
      <c r="B20" s="342" t="s">
        <v>113</v>
      </c>
      <c r="C20" s="343">
        <v>69</v>
      </c>
      <c r="D20" s="343" t="s">
        <v>195</v>
      </c>
      <c r="E20" s="343" t="s">
        <v>196</v>
      </c>
      <c r="F20" s="334">
        <v>0.25853847917622047</v>
      </c>
      <c r="G20" s="335" t="s">
        <v>188</v>
      </c>
    </row>
    <row r="21" spans="1:7">
      <c r="A21" s="331">
        <v>3.3</v>
      </c>
      <c r="B21" s="342" t="s">
        <v>114</v>
      </c>
      <c r="C21" s="343">
        <v>69</v>
      </c>
      <c r="D21" s="343"/>
      <c r="E21" s="343"/>
      <c r="F21" s="334">
        <v>1.3949757045675413</v>
      </c>
      <c r="G21" s="335" t="s">
        <v>172</v>
      </c>
    </row>
    <row r="22" spans="1:7">
      <c r="A22" s="331">
        <v>3.4</v>
      </c>
      <c r="B22" s="342" t="s">
        <v>114</v>
      </c>
      <c r="C22" s="343">
        <v>14</v>
      </c>
      <c r="D22" s="343" t="s">
        <v>195</v>
      </c>
      <c r="E22" s="343" t="s">
        <v>197</v>
      </c>
      <c r="F22" s="334">
        <v>1.2909146351865433</v>
      </c>
      <c r="G22" s="335" t="s">
        <v>154</v>
      </c>
    </row>
    <row r="23" spans="1:7">
      <c r="A23" s="331">
        <v>3.5</v>
      </c>
      <c r="B23" s="342" t="s">
        <v>115</v>
      </c>
      <c r="C23" s="343">
        <v>11</v>
      </c>
      <c r="D23" s="343" t="s">
        <v>195</v>
      </c>
      <c r="E23" s="343" t="s">
        <v>197</v>
      </c>
      <c r="F23" s="334">
        <v>1.2483177931508618</v>
      </c>
      <c r="G23" s="335" t="s">
        <v>144</v>
      </c>
    </row>
    <row r="24" spans="1:7">
      <c r="A24" s="331">
        <v>4.0999999999999996</v>
      </c>
      <c r="B24" s="342" t="s">
        <v>111</v>
      </c>
      <c r="C24" s="343">
        <v>10</v>
      </c>
      <c r="D24" s="343"/>
      <c r="E24" s="343"/>
      <c r="F24" s="334">
        <v>16.851205936920216</v>
      </c>
      <c r="G24" s="335" t="s">
        <v>143</v>
      </c>
    </row>
    <row r="25" spans="1:7">
      <c r="A25" s="331">
        <v>4.2</v>
      </c>
      <c r="B25" s="342" t="s">
        <v>112</v>
      </c>
      <c r="C25" s="343">
        <v>32</v>
      </c>
      <c r="D25" s="343"/>
      <c r="E25" s="343"/>
      <c r="F25" s="334">
        <v>1.395994447749356</v>
      </c>
      <c r="G25" s="335" t="s">
        <v>172</v>
      </c>
    </row>
    <row r="26" spans="1:7">
      <c r="A26" s="331">
        <v>4.3</v>
      </c>
      <c r="B26" s="342" t="s">
        <v>113</v>
      </c>
      <c r="C26" s="343">
        <v>86</v>
      </c>
      <c r="D26" s="343"/>
      <c r="E26" s="343"/>
      <c r="F26" s="334">
        <v>1.0350844439338236</v>
      </c>
      <c r="G26" s="335" t="s">
        <v>172</v>
      </c>
    </row>
    <row r="27" spans="1:7">
      <c r="A27" s="331">
        <v>4.4000000000000004</v>
      </c>
      <c r="B27" s="342" t="s">
        <v>112</v>
      </c>
      <c r="C27" s="343">
        <v>16</v>
      </c>
      <c r="D27" s="343"/>
      <c r="E27" s="343"/>
      <c r="F27" s="334">
        <v>2.7087640449438197</v>
      </c>
      <c r="G27" s="335" t="s">
        <v>160</v>
      </c>
    </row>
    <row r="28" spans="1:7">
      <c r="A28" s="331">
        <v>4.5</v>
      </c>
      <c r="B28" s="342" t="s">
        <v>112</v>
      </c>
      <c r="C28" s="343">
        <v>28</v>
      </c>
      <c r="D28" s="343"/>
      <c r="E28" s="343"/>
      <c r="F28" s="334">
        <v>1.8530055670232062</v>
      </c>
      <c r="G28" s="335" t="s">
        <v>172</v>
      </c>
    </row>
    <row r="29" spans="1:7">
      <c r="A29" s="331">
        <v>5.0999999999999996</v>
      </c>
      <c r="B29" s="342" t="s">
        <v>113</v>
      </c>
      <c r="C29" s="331">
        <v>75</v>
      </c>
      <c r="D29" s="331"/>
      <c r="E29" s="331"/>
      <c r="F29" s="334">
        <v>0.58280601831504042</v>
      </c>
      <c r="G29" s="335" t="s">
        <v>189</v>
      </c>
    </row>
    <row r="30" spans="1:7">
      <c r="A30" s="331">
        <v>5.2</v>
      </c>
      <c r="B30" s="342" t="s">
        <v>114</v>
      </c>
      <c r="C30" s="331">
        <v>25</v>
      </c>
      <c r="D30" s="331"/>
      <c r="E30" s="331"/>
      <c r="F30" s="334">
        <v>0.98696293074283548</v>
      </c>
      <c r="G30" s="335" t="s">
        <v>170</v>
      </c>
    </row>
    <row r="31" spans="1:7">
      <c r="A31" s="331">
        <v>5.3</v>
      </c>
      <c r="B31" s="342" t="s">
        <v>112</v>
      </c>
      <c r="C31" s="343">
        <v>35</v>
      </c>
      <c r="D31" s="343"/>
      <c r="E31" s="343"/>
      <c r="F31" s="334">
        <v>1.315135116910265</v>
      </c>
      <c r="G31" s="335" t="s">
        <v>181</v>
      </c>
    </row>
    <row r="32" spans="1:7">
      <c r="A32" s="331">
        <v>5.4</v>
      </c>
      <c r="B32" s="342" t="s">
        <v>113</v>
      </c>
      <c r="C32" s="343">
        <v>56</v>
      </c>
      <c r="D32" s="343" t="s">
        <v>195</v>
      </c>
      <c r="E32" s="343" t="s">
        <v>200</v>
      </c>
      <c r="F32" s="334">
        <v>0.37042214145932345</v>
      </c>
      <c r="G32" s="335" t="s">
        <v>187</v>
      </c>
    </row>
    <row r="33" spans="1:7">
      <c r="A33" s="331">
        <v>5.5</v>
      </c>
      <c r="B33" s="342" t="s">
        <v>114</v>
      </c>
      <c r="C33" s="331">
        <v>35</v>
      </c>
      <c r="D33" s="331" t="s">
        <v>195</v>
      </c>
      <c r="E33" s="331" t="s">
        <v>197</v>
      </c>
      <c r="F33" s="334">
        <v>1.3439096638237809</v>
      </c>
      <c r="G33" s="335" t="s">
        <v>201</v>
      </c>
    </row>
    <row r="34" spans="1:7">
      <c r="A34" s="331">
        <v>6.1</v>
      </c>
      <c r="B34" s="342" t="s">
        <v>115</v>
      </c>
      <c r="C34" s="343">
        <v>65</v>
      </c>
      <c r="D34" s="343"/>
      <c r="E34" s="343"/>
      <c r="F34" s="334">
        <v>0.30922030622863084</v>
      </c>
      <c r="G34" s="335" t="s">
        <v>172</v>
      </c>
    </row>
    <row r="35" spans="1:7">
      <c r="A35" s="331">
        <v>6.2</v>
      </c>
      <c r="B35" s="342" t="s">
        <v>115</v>
      </c>
      <c r="C35" s="343">
        <v>13</v>
      </c>
      <c r="D35" s="343" t="s">
        <v>195</v>
      </c>
      <c r="E35" s="343" t="s">
        <v>197</v>
      </c>
      <c r="F35" s="334">
        <v>1.2710232765225207</v>
      </c>
      <c r="G35" s="335" t="s">
        <v>153</v>
      </c>
    </row>
    <row r="36" spans="1:7">
      <c r="A36" s="331">
        <v>6.3</v>
      </c>
      <c r="B36" s="342" t="s">
        <v>114</v>
      </c>
      <c r="C36" s="343">
        <v>13</v>
      </c>
      <c r="D36" s="343" t="s">
        <v>195</v>
      </c>
      <c r="E36" s="343" t="s">
        <v>197</v>
      </c>
      <c r="F36" s="334">
        <v>1.702337056087351</v>
      </c>
      <c r="G36" s="335" t="s">
        <v>154</v>
      </c>
    </row>
    <row r="37" spans="1:7">
      <c r="A37" s="331">
        <v>6.4</v>
      </c>
      <c r="B37" s="342" t="s">
        <v>112</v>
      </c>
      <c r="C37" s="343">
        <v>20</v>
      </c>
      <c r="D37" s="343" t="s">
        <v>195</v>
      </c>
      <c r="E37" s="343" t="s">
        <v>196</v>
      </c>
      <c r="F37" s="334">
        <v>3.1215564738292008</v>
      </c>
      <c r="G37" s="335" t="s">
        <v>154</v>
      </c>
    </row>
    <row r="38" spans="1:7">
      <c r="A38" s="331">
        <v>6.5</v>
      </c>
      <c r="B38" s="342" t="s">
        <v>113</v>
      </c>
      <c r="C38" s="343">
        <v>51</v>
      </c>
      <c r="D38" s="343" t="s">
        <v>195</v>
      </c>
      <c r="E38" s="343" t="s">
        <v>197</v>
      </c>
      <c r="F38" s="334">
        <v>5.3096296296296295</v>
      </c>
      <c r="G38" s="335" t="s">
        <v>202</v>
      </c>
    </row>
    <row r="39" spans="1:7">
      <c r="A39" s="331">
        <v>7.1</v>
      </c>
      <c r="B39" s="342" t="s">
        <v>114</v>
      </c>
      <c r="C39" s="343">
        <v>71</v>
      </c>
      <c r="D39" s="343" t="s">
        <v>195</v>
      </c>
      <c r="E39" s="343" t="s">
        <v>200</v>
      </c>
      <c r="F39" s="334">
        <v>1.2844444444444443</v>
      </c>
      <c r="G39" s="335" t="s">
        <v>172</v>
      </c>
    </row>
    <row r="40" spans="1:7">
      <c r="A40" s="331">
        <v>7.2</v>
      </c>
      <c r="B40" s="342" t="s">
        <v>111</v>
      </c>
      <c r="C40" s="343">
        <v>32</v>
      </c>
      <c r="D40" s="343"/>
      <c r="E40" s="343"/>
      <c r="F40" s="334">
        <v>3.7088122605363987</v>
      </c>
      <c r="G40" s="335" t="s">
        <v>172</v>
      </c>
    </row>
    <row r="41" spans="1:7">
      <c r="A41" s="331">
        <v>7.3</v>
      </c>
      <c r="B41" s="342" t="s">
        <v>113</v>
      </c>
      <c r="C41" s="343">
        <v>104</v>
      </c>
      <c r="D41" s="343"/>
      <c r="E41" s="343"/>
      <c r="F41" s="334">
        <v>0.19290123456790126</v>
      </c>
      <c r="G41" s="335" t="s">
        <v>172</v>
      </c>
    </row>
    <row r="42" spans="1:7">
      <c r="A42" s="331">
        <v>7.4</v>
      </c>
      <c r="B42" s="342" t="s">
        <v>115</v>
      </c>
      <c r="C42" s="343">
        <v>12</v>
      </c>
      <c r="D42" s="343" t="s">
        <v>195</v>
      </c>
      <c r="E42" s="343" t="s">
        <v>197</v>
      </c>
      <c r="F42" s="334">
        <v>1.0731196241783125</v>
      </c>
      <c r="G42" s="335" t="s">
        <v>149</v>
      </c>
    </row>
    <row r="43" spans="1:7">
      <c r="A43" s="331">
        <v>7.5</v>
      </c>
      <c r="B43" s="342" t="s">
        <v>111</v>
      </c>
      <c r="C43" s="331">
        <v>18</v>
      </c>
      <c r="D43" s="331"/>
      <c r="E43" s="331"/>
      <c r="F43" s="334">
        <v>2.4502360473388096</v>
      </c>
      <c r="G43" s="335" t="s">
        <v>165</v>
      </c>
    </row>
  </sheetData>
  <autoFilter ref="A8:G43" xr:uid="{384A4EDA-3EAB-48D7-A99B-4E4358517CEF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861C-644E-4BC5-8DA3-6DA8714F60AF}">
  <dimension ref="A1:Q13"/>
  <sheetViews>
    <sheetView zoomScale="90" zoomScaleNormal="90" workbookViewId="0">
      <selection activeCell="E17" sqref="E17"/>
    </sheetView>
  </sheetViews>
  <sheetFormatPr defaultRowHeight="15.75"/>
  <cols>
    <col min="1" max="2" width="9.140625" style="295"/>
    <col min="3" max="3" width="11" style="296" bestFit="1" customWidth="1"/>
    <col min="4" max="4" width="11" style="297" customWidth="1"/>
    <col min="5" max="7" width="12.140625" style="298" customWidth="1"/>
    <col min="8" max="8" width="12.140625" style="297" customWidth="1"/>
    <col min="9" max="9" width="1.42578125" style="297" customWidth="1"/>
    <col min="10" max="10" width="11.28515625" style="297" bestFit="1" customWidth="1"/>
    <col min="11" max="11" width="12.85546875" style="297" customWidth="1"/>
    <col min="12" max="12" width="1.42578125" style="297" customWidth="1"/>
    <col min="13" max="13" width="13.28515625" style="299" customWidth="1"/>
    <col min="14" max="17" width="5.5703125" style="297" customWidth="1"/>
    <col min="18" max="16384" width="9.140625" style="295"/>
  </cols>
  <sheetData>
    <row r="1" spans="1:17" ht="25.5">
      <c r="A1" s="4" t="s">
        <v>206</v>
      </c>
      <c r="C1" s="295"/>
      <c r="D1" s="295"/>
      <c r="E1" s="295"/>
      <c r="F1" s="295"/>
      <c r="G1" s="295"/>
      <c r="H1" s="295"/>
      <c r="I1" s="315"/>
      <c r="J1" s="295"/>
      <c r="K1" s="316"/>
      <c r="L1" s="295"/>
      <c r="M1" s="295"/>
      <c r="N1" s="295"/>
      <c r="O1" s="295"/>
      <c r="P1" s="295"/>
      <c r="Q1" s="295"/>
    </row>
    <row r="2" spans="1:17" ht="22.5">
      <c r="A2" s="344" t="s">
        <v>203</v>
      </c>
      <c r="C2" s="295"/>
      <c r="D2" s="295"/>
      <c r="E2" s="295"/>
      <c r="F2" s="295"/>
      <c r="G2" s="295"/>
      <c r="H2" s="295"/>
      <c r="I2" s="315"/>
      <c r="J2" s="295"/>
      <c r="K2" s="316"/>
      <c r="L2" s="295"/>
      <c r="M2" s="295"/>
      <c r="N2" s="295"/>
      <c r="O2" s="295"/>
      <c r="P2" s="295"/>
      <c r="Q2" s="295"/>
    </row>
    <row r="3" spans="1:17" ht="22.5">
      <c r="A3" s="344" t="s">
        <v>204</v>
      </c>
      <c r="C3" s="295"/>
      <c r="D3" s="295"/>
      <c r="E3" s="295"/>
      <c r="F3" s="295"/>
      <c r="G3" s="295"/>
      <c r="H3" s="295"/>
      <c r="I3" s="315"/>
      <c r="J3" s="295"/>
      <c r="K3" s="316"/>
      <c r="L3" s="295"/>
      <c r="M3" s="295"/>
      <c r="N3" s="295"/>
      <c r="O3" s="295"/>
      <c r="P3" s="295"/>
      <c r="Q3" s="295"/>
    </row>
    <row r="4" spans="1:17" ht="22.5">
      <c r="A4" s="344"/>
      <c r="C4" s="295"/>
      <c r="D4" s="295"/>
      <c r="E4" s="295"/>
      <c r="F4" s="295"/>
      <c r="G4" s="295"/>
      <c r="H4" s="295"/>
      <c r="I4" s="315"/>
      <c r="J4" s="295"/>
      <c r="K4" s="316"/>
      <c r="L4" s="295"/>
      <c r="M4" s="295"/>
      <c r="N4" s="295"/>
      <c r="O4" s="295"/>
      <c r="P4" s="295"/>
      <c r="Q4" s="295"/>
    </row>
    <row r="5" spans="1:17" ht="21">
      <c r="A5" s="294" t="s">
        <v>96</v>
      </c>
    </row>
    <row r="6" spans="1:17">
      <c r="D6" s="300"/>
      <c r="E6" s="367"/>
      <c r="F6" s="367"/>
      <c r="G6" s="367"/>
    </row>
    <row r="7" spans="1:17">
      <c r="D7" s="369" t="s">
        <v>97</v>
      </c>
      <c r="E7" s="371" t="s">
        <v>98</v>
      </c>
      <c r="F7" s="367"/>
      <c r="G7" s="371" t="s">
        <v>99</v>
      </c>
      <c r="H7" s="368"/>
      <c r="J7" s="372" t="s">
        <v>100</v>
      </c>
      <c r="K7" s="374" t="s">
        <v>101</v>
      </c>
      <c r="M7" s="365" t="s">
        <v>102</v>
      </c>
      <c r="N7" s="367" t="s">
        <v>103</v>
      </c>
      <c r="O7" s="367"/>
      <c r="P7" s="367"/>
      <c r="Q7" s="368"/>
    </row>
    <row r="8" spans="1:17" ht="17.25">
      <c r="D8" s="370"/>
      <c r="E8" s="301" t="s">
        <v>104</v>
      </c>
      <c r="F8" s="302" t="s">
        <v>29</v>
      </c>
      <c r="G8" s="301" t="s">
        <v>105</v>
      </c>
      <c r="H8" s="303" t="s">
        <v>106</v>
      </c>
      <c r="I8" s="304"/>
      <c r="J8" s="373"/>
      <c r="K8" s="375"/>
      <c r="L8" s="304"/>
      <c r="M8" s="366"/>
      <c r="N8" s="305" t="s">
        <v>107</v>
      </c>
      <c r="O8" s="305" t="s">
        <v>108</v>
      </c>
      <c r="P8" s="305" t="s">
        <v>109</v>
      </c>
      <c r="Q8" s="306" t="s">
        <v>110</v>
      </c>
    </row>
    <row r="9" spans="1:17">
      <c r="C9" s="307" t="s">
        <v>111</v>
      </c>
      <c r="D9" s="308">
        <f>COUNTIFS('3GY+10GY Mouse Measurements'!D:D,'3GY+10GY Group Summary'!C9,'3GY+10GY Mouse Measurements'!B:B,"0")</f>
        <v>3</v>
      </c>
      <c r="E9" s="309">
        <f>AVERAGEIFS('3GY+10GY Mouse Measurements'!I:I,'3GY+10GY Mouse Measurements'!D:D,'3GY+10GY Group Summary'!C9,'3GY+10GY Mouse Measurements'!B:B,"0")</f>
        <v>34.646666666666668</v>
      </c>
      <c r="F9" s="310">
        <v>19.832270963143774</v>
      </c>
      <c r="G9" s="309">
        <f>AVERAGEIFS('3GY+10GY Mouse Measurements'!E:E,'3GY+10GY Mouse Measurements'!D:D,'3GY+10GY Group Summary'!C9,'3GY+10GY Mouse Measurements'!B:B,"0")</f>
        <v>28.666666666666668</v>
      </c>
      <c r="H9" s="311">
        <v>0.47140452079103168</v>
      </c>
      <c r="J9" s="312">
        <f>COUNTIFS('3GY+10GY Survival Notes'!B:B,'3GY+10GY Group Summary'!C9,'3GY+10GY Survival Notes'!D:D,"Yes")</f>
        <v>0</v>
      </c>
      <c r="K9" s="313">
        <f>COUNTIFS('3GY+10GY Survival Notes'!B:B,'3GY+10GY Group Summary'!C9,'3GY+10GY Survival Notes'!E:E,"Severe Swelling")</f>
        <v>0</v>
      </c>
      <c r="M9" s="314">
        <f>AVERAGEIF('3GY+10GY Survival Notes'!B:B,'3GY+10GY Group Summary'!C9,'3GY+10GY Survival Notes'!F:F)</f>
        <v>7.6700847482651406</v>
      </c>
      <c r="N9" s="297">
        <v>0</v>
      </c>
      <c r="O9" s="297">
        <v>0</v>
      </c>
      <c r="P9" s="297">
        <v>0</v>
      </c>
      <c r="Q9" s="313">
        <v>3</v>
      </c>
    </row>
    <row r="10" spans="1:17">
      <c r="C10" s="307" t="s">
        <v>112</v>
      </c>
      <c r="D10" s="308">
        <f>COUNTIFS('3GY+10GY Mouse Measurements'!D:D,'3GY+10GY Group Summary'!C10,'3GY+10GY Mouse Measurements'!B:B,"0")</f>
        <v>8</v>
      </c>
      <c r="E10" s="309">
        <f>AVERAGEIFS('3GY+10GY Mouse Measurements'!I:I,'3GY+10GY Mouse Measurements'!D:D,'3GY+10GY Group Summary'!C10,'3GY+10GY Mouse Measurements'!B:B,"0")</f>
        <v>196.33068750000001</v>
      </c>
      <c r="F10" s="310">
        <v>75.213714929084475</v>
      </c>
      <c r="G10" s="309">
        <f>AVERAGEIFS('3GY+10GY Mouse Measurements'!E:E,'3GY+10GY Mouse Measurements'!D:D,'3GY+10GY Group Summary'!C10,'3GY+10GY Mouse Measurements'!B:B,"0")</f>
        <v>28.125</v>
      </c>
      <c r="H10" s="311">
        <v>1.6153559979150107</v>
      </c>
      <c r="J10" s="312">
        <f>COUNTIFS('3GY+10GY Survival Notes'!B:B,'3GY+10GY Group Summary'!C10,'3GY+10GY Survival Notes'!D:D,"Yes")</f>
        <v>1</v>
      </c>
      <c r="K10" s="313">
        <f>COUNTIFS('3GY+10GY Survival Notes'!B:B,'3GY+10GY Group Summary'!C10,'3GY+10GY Survival Notes'!E:E,"Severe Swelling")</f>
        <v>0</v>
      </c>
      <c r="M10" s="314">
        <f>AVERAGEIF('3GY+10GY Survival Notes'!B:B,'3GY+10GY Group Summary'!C10,'3GY+10GY Survival Notes'!F:F)</f>
        <v>2.0150010170650328</v>
      </c>
      <c r="N10" s="297">
        <v>0</v>
      </c>
      <c r="O10" s="297">
        <v>0</v>
      </c>
      <c r="P10" s="297">
        <v>0</v>
      </c>
      <c r="Q10" s="313">
        <v>8</v>
      </c>
    </row>
    <row r="11" spans="1:17">
      <c r="C11" s="307" t="s">
        <v>113</v>
      </c>
      <c r="D11" s="308">
        <f>COUNTIFS('3GY+10GY Mouse Measurements'!D:D,'3GY+10GY Group Summary'!C11,'3GY+10GY Mouse Measurements'!B:B,"0")</f>
        <v>8</v>
      </c>
      <c r="E11" s="309">
        <f>AVERAGEIFS('3GY+10GY Mouse Measurements'!I:I,'3GY+10GY Mouse Measurements'!D:D,'3GY+10GY Group Summary'!C11,'3GY+10GY Mouse Measurements'!B:B,"0")</f>
        <v>156.17443749999998</v>
      </c>
      <c r="F11" s="310">
        <v>45.430329407674876</v>
      </c>
      <c r="G11" s="309">
        <f>AVERAGEIFS('3GY+10GY Mouse Measurements'!E:E,'3GY+10GY Mouse Measurements'!D:D,'3GY+10GY Group Summary'!C11,'3GY+10GY Mouse Measurements'!B:B,"0")</f>
        <v>26.375</v>
      </c>
      <c r="H11" s="311">
        <v>1.7984368212422699</v>
      </c>
      <c r="J11" s="312">
        <f>COUNTIFS('3GY+10GY Survival Notes'!B:B,'3GY+10GY Group Summary'!C11,'3GY+10GY Survival Notes'!D:D,"Yes")</f>
        <v>3</v>
      </c>
      <c r="K11" s="313">
        <f>COUNTIFS('3GY+10GY Survival Notes'!B:B,'3GY+10GY Group Summary'!C11,'3GY+10GY Survival Notes'!E:E,"Severe Swelling")</f>
        <v>1</v>
      </c>
      <c r="M11" s="314">
        <f>AVERAGEIF('3GY+10GY Survival Notes'!B:B,'3GY+10GY Group Summary'!C11,'3GY+10GY Survival Notes'!F:F)</f>
        <v>1.0058513867170475</v>
      </c>
      <c r="N11" s="297">
        <v>0</v>
      </c>
      <c r="O11" s="297">
        <v>6</v>
      </c>
      <c r="P11" s="297">
        <v>1</v>
      </c>
      <c r="Q11" s="313">
        <v>1</v>
      </c>
    </row>
    <row r="12" spans="1:17">
      <c r="C12" s="307" t="s">
        <v>114</v>
      </c>
      <c r="D12" s="308">
        <f>COUNTIFS('3GY+10GY Mouse Measurements'!D:D,'3GY+10GY Group Summary'!C12,'3GY+10GY Mouse Measurements'!B:B,"0")</f>
        <v>8</v>
      </c>
      <c r="E12" s="309">
        <f>AVERAGEIFS('3GY+10GY Mouse Measurements'!I:I,'3GY+10GY Mouse Measurements'!D:D,'3GY+10GY Group Summary'!C12,'3GY+10GY Mouse Measurements'!B:B,"0")</f>
        <v>160.91837500000003</v>
      </c>
      <c r="F12" s="310">
        <v>43.956440861060038</v>
      </c>
      <c r="G12" s="309">
        <f>AVERAGEIFS('3GY+10GY Mouse Measurements'!E:E,'3GY+10GY Mouse Measurements'!D:D,'3GY+10GY Group Summary'!C12,'3GY+10GY Mouse Measurements'!B:B,"0")</f>
        <v>25.125</v>
      </c>
      <c r="H12" s="311">
        <v>1.5360257159305635</v>
      </c>
      <c r="J12" s="312">
        <f>COUNTIFS('3GY+10GY Survival Notes'!B:B,'3GY+10GY Group Summary'!C12,'3GY+10GY Survival Notes'!D:D,"Yes")</f>
        <v>6</v>
      </c>
      <c r="K12" s="313">
        <f>COUNTIFS('3GY+10GY Survival Notes'!B:B,'3GY+10GY Group Summary'!C12,'3GY+10GY Survival Notes'!E:E,"Severe Swelling")</f>
        <v>3</v>
      </c>
      <c r="M12" s="314">
        <f>AVERAGEIF('3GY+10GY Survival Notes'!B:B,'3GY+10GY Group Summary'!C12,'3GY+10GY Survival Notes'!F:F)</f>
        <v>1.2703249989501737</v>
      </c>
      <c r="N12" s="297">
        <v>0</v>
      </c>
      <c r="O12" s="297">
        <v>0</v>
      </c>
      <c r="P12" s="297">
        <v>2</v>
      </c>
      <c r="Q12" s="313">
        <v>6</v>
      </c>
    </row>
    <row r="13" spans="1:17">
      <c r="C13" s="307" t="s">
        <v>115</v>
      </c>
      <c r="D13" s="308">
        <f>COUNTIFS('3GY+10GY Mouse Measurements'!D:D,'3GY+10GY Group Summary'!C13,'3GY+10GY Mouse Measurements'!B:B,"0")</f>
        <v>8</v>
      </c>
      <c r="E13" s="309">
        <f>AVERAGEIFS('3GY+10GY Mouse Measurements'!I:I,'3GY+10GY Mouse Measurements'!D:D,'3GY+10GY Group Summary'!C13,'3GY+10GY Mouse Measurements'!B:B,"0")</f>
        <v>145.03718749999999</v>
      </c>
      <c r="F13" s="310">
        <v>46.082392756031012</v>
      </c>
      <c r="G13" s="309">
        <f>AVERAGEIFS('3GY+10GY Mouse Measurements'!E:E,'3GY+10GY Mouse Measurements'!D:D,'3GY+10GY Group Summary'!C13,'3GY+10GY Mouse Measurements'!B:B,"0")</f>
        <v>26.25</v>
      </c>
      <c r="H13" s="311">
        <v>1.5612494995995996</v>
      </c>
      <c r="J13" s="312">
        <f>COUNTIFS('3GY+10GY Survival Notes'!B:B,'3GY+10GY Group Summary'!C13,'3GY+10GY Survival Notes'!D:D,"Yes")</f>
        <v>7</v>
      </c>
      <c r="K13" s="313">
        <f>COUNTIFS('3GY+10GY Survival Notes'!B:B,'3GY+10GY Group Summary'!C13,'3GY+10GY Survival Notes'!E:E,"Severe Swelling")</f>
        <v>5</v>
      </c>
      <c r="M13" s="314">
        <f>AVERAGEIF('3GY+10GY Survival Notes'!B:B,'3GY+10GY Group Summary'!C13,'3GY+10GY Survival Notes'!F:F)</f>
        <v>0.84271992526949091</v>
      </c>
      <c r="N13" s="297">
        <v>0</v>
      </c>
      <c r="O13" s="297">
        <v>2</v>
      </c>
      <c r="P13" s="297">
        <v>5</v>
      </c>
      <c r="Q13" s="313">
        <v>1</v>
      </c>
    </row>
  </sheetData>
  <mergeCells count="8">
    <mergeCell ref="M7:M8"/>
    <mergeCell ref="N7:Q7"/>
    <mergeCell ref="E6:G6"/>
    <mergeCell ref="D7:D8"/>
    <mergeCell ref="E7:F7"/>
    <mergeCell ref="G7:H7"/>
    <mergeCell ref="J7:J8"/>
    <mergeCell ref="K7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78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RowHeight="12.75" outlineLevelCol="1"/>
  <cols>
    <col min="1" max="1" width="9.85546875" style="47" bestFit="1" customWidth="1"/>
    <col min="2" max="2" width="9.140625" style="37"/>
    <col min="3" max="3" width="17.28515625" style="48" hidden="1" customWidth="1" outlineLevel="1"/>
    <col min="4" max="4" width="19" style="37" hidden="1" customWidth="1" outlineLevel="1"/>
    <col min="5" max="5" width="22.85546875" style="46" customWidth="1" collapsed="1"/>
    <col min="6" max="6" width="10.5703125" style="49" customWidth="1"/>
    <col min="7" max="7" width="10.7109375" style="201" customWidth="1"/>
    <col min="8" max="8" width="9.5703125" style="72" hidden="1" customWidth="1" outlineLevel="1"/>
    <col min="9" max="9" width="15.28515625" style="49" customWidth="1" collapsed="1"/>
    <col min="10" max="10" width="11.140625" style="72" hidden="1" customWidth="1" outlineLevel="1"/>
    <col min="11" max="11" width="10.7109375" style="37" customWidth="1" collapsed="1"/>
    <col min="12" max="13" width="8.5703125" style="37" customWidth="1"/>
    <col min="14" max="55" width="8.5703125" style="37" customWidth="1" outlineLevel="1"/>
    <col min="56" max="56" width="6.140625" style="38" bestFit="1" customWidth="1"/>
    <col min="57" max="58" width="8.5703125" style="37" customWidth="1"/>
    <col min="59" max="100" width="8.5703125" style="37" customWidth="1" outlineLevel="1"/>
    <col min="101" max="16384" width="9.140625" style="46"/>
  </cols>
  <sheetData>
    <row r="1" spans="1:101" s="5" customFormat="1" ht="28.5">
      <c r="A1" s="4" t="s">
        <v>79</v>
      </c>
      <c r="C1" s="6"/>
      <c r="D1" s="7"/>
      <c r="F1" s="8"/>
      <c r="G1" s="196"/>
      <c r="H1" s="202"/>
      <c r="I1" s="8"/>
      <c r="J1" s="202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11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101" s="43" customFormat="1" ht="15.75" customHeight="1">
      <c r="A2" s="110" t="s">
        <v>30</v>
      </c>
      <c r="B2" s="12"/>
      <c r="C2" s="13"/>
      <c r="D2" s="12"/>
      <c r="E2" s="14"/>
      <c r="F2" s="351" t="s">
        <v>12</v>
      </c>
      <c r="G2" s="352"/>
      <c r="H2" s="352"/>
      <c r="I2" s="351" t="s">
        <v>0</v>
      </c>
      <c r="J2" s="354"/>
      <c r="K2" s="15"/>
      <c r="L2" s="110" t="s">
        <v>15</v>
      </c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6"/>
      <c r="BD2" s="41"/>
      <c r="BE2" s="110" t="s">
        <v>54</v>
      </c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6"/>
      <c r="CW2" s="42"/>
    </row>
    <row r="3" spans="1:101" s="57" customFormat="1" ht="15.75">
      <c r="A3" s="52"/>
      <c r="B3" s="53"/>
      <c r="C3" s="54"/>
      <c r="D3" s="53"/>
      <c r="E3" s="55"/>
      <c r="F3" s="172"/>
      <c r="G3" s="209"/>
      <c r="H3" s="209"/>
      <c r="I3" s="214"/>
      <c r="J3" s="207"/>
      <c r="K3" s="178" t="s">
        <v>13</v>
      </c>
      <c r="L3" s="87">
        <v>42859</v>
      </c>
      <c r="M3" s="87">
        <v>42860</v>
      </c>
      <c r="N3" s="87">
        <v>42861</v>
      </c>
      <c r="O3" s="87">
        <v>42862</v>
      </c>
      <c r="P3" s="87">
        <v>42863</v>
      </c>
      <c r="Q3" s="87">
        <v>42865</v>
      </c>
      <c r="R3" s="87">
        <v>42868</v>
      </c>
      <c r="S3" s="87">
        <v>42870</v>
      </c>
      <c r="T3" s="87">
        <v>42872</v>
      </c>
      <c r="U3" s="87">
        <v>42877</v>
      </c>
      <c r="V3" s="87">
        <v>42879</v>
      </c>
      <c r="W3" s="87">
        <v>42881</v>
      </c>
      <c r="X3" s="87">
        <v>42884</v>
      </c>
      <c r="Y3" s="87">
        <v>42886</v>
      </c>
      <c r="Z3" s="87">
        <v>42888</v>
      </c>
      <c r="AA3" s="87">
        <v>42891</v>
      </c>
      <c r="AB3" s="87">
        <v>42893</v>
      </c>
      <c r="AC3" s="87">
        <v>42895</v>
      </c>
      <c r="AD3" s="87">
        <v>42898</v>
      </c>
      <c r="AE3" s="87">
        <v>42901</v>
      </c>
      <c r="AF3" s="87">
        <v>42903</v>
      </c>
      <c r="AG3" s="87">
        <v>42906</v>
      </c>
      <c r="AH3" s="87">
        <v>42909</v>
      </c>
      <c r="AI3" s="87">
        <v>42912</v>
      </c>
      <c r="AJ3" s="87">
        <v>42914</v>
      </c>
      <c r="AK3" s="87">
        <v>42916</v>
      </c>
      <c r="AL3" s="87">
        <v>42919</v>
      </c>
      <c r="AM3" s="87">
        <v>42921</v>
      </c>
      <c r="AN3" s="87">
        <v>42923</v>
      </c>
      <c r="AO3" s="87">
        <v>42925</v>
      </c>
      <c r="AP3" s="87">
        <v>42927</v>
      </c>
      <c r="AQ3" s="87">
        <v>42930</v>
      </c>
      <c r="AR3" s="87">
        <v>42932</v>
      </c>
      <c r="AS3" s="87">
        <v>42934</v>
      </c>
      <c r="AT3" s="87">
        <v>42937</v>
      </c>
      <c r="AU3" s="87">
        <v>42941</v>
      </c>
      <c r="AV3" s="87">
        <v>42944</v>
      </c>
      <c r="AW3" s="87">
        <v>42947</v>
      </c>
      <c r="AX3" s="87">
        <v>42953</v>
      </c>
      <c r="AY3" s="87">
        <v>42955</v>
      </c>
      <c r="AZ3" s="87">
        <v>42959</v>
      </c>
      <c r="BA3" s="87">
        <v>42962</v>
      </c>
      <c r="BB3" s="87">
        <v>42965</v>
      </c>
      <c r="BC3" s="87">
        <v>42968</v>
      </c>
      <c r="BD3" s="171"/>
      <c r="BE3" s="87">
        <f t="shared" ref="BE3:CP3" si="0">IF(ISBLANK(L3)=TRUE," ",L3)</f>
        <v>42859</v>
      </c>
      <c r="BF3" s="87">
        <f t="shared" si="0"/>
        <v>42860</v>
      </c>
      <c r="BG3" s="87">
        <f t="shared" si="0"/>
        <v>42861</v>
      </c>
      <c r="BH3" s="87">
        <f t="shared" si="0"/>
        <v>42862</v>
      </c>
      <c r="BI3" s="87">
        <f t="shared" si="0"/>
        <v>42863</v>
      </c>
      <c r="BJ3" s="87">
        <f t="shared" si="0"/>
        <v>42865</v>
      </c>
      <c r="BK3" s="87">
        <f t="shared" si="0"/>
        <v>42868</v>
      </c>
      <c r="BL3" s="87">
        <f t="shared" si="0"/>
        <v>42870</v>
      </c>
      <c r="BM3" s="87">
        <f t="shared" si="0"/>
        <v>42872</v>
      </c>
      <c r="BN3" s="87">
        <f t="shared" si="0"/>
        <v>42877</v>
      </c>
      <c r="BO3" s="87">
        <f t="shared" si="0"/>
        <v>42879</v>
      </c>
      <c r="BP3" s="87">
        <f t="shared" si="0"/>
        <v>42881</v>
      </c>
      <c r="BQ3" s="87">
        <f t="shared" si="0"/>
        <v>42884</v>
      </c>
      <c r="BR3" s="87">
        <f t="shared" si="0"/>
        <v>42886</v>
      </c>
      <c r="BS3" s="87">
        <f t="shared" si="0"/>
        <v>42888</v>
      </c>
      <c r="BT3" s="87">
        <f t="shared" si="0"/>
        <v>42891</v>
      </c>
      <c r="BU3" s="87">
        <f t="shared" si="0"/>
        <v>42893</v>
      </c>
      <c r="BV3" s="87">
        <f t="shared" si="0"/>
        <v>42895</v>
      </c>
      <c r="BW3" s="87">
        <f t="shared" si="0"/>
        <v>42898</v>
      </c>
      <c r="BX3" s="87">
        <f t="shared" si="0"/>
        <v>42901</v>
      </c>
      <c r="BY3" s="87">
        <f t="shared" si="0"/>
        <v>42903</v>
      </c>
      <c r="BZ3" s="87">
        <f t="shared" si="0"/>
        <v>42906</v>
      </c>
      <c r="CA3" s="87">
        <f t="shared" si="0"/>
        <v>42909</v>
      </c>
      <c r="CB3" s="87">
        <f t="shared" si="0"/>
        <v>42912</v>
      </c>
      <c r="CC3" s="87">
        <f t="shared" si="0"/>
        <v>42914</v>
      </c>
      <c r="CD3" s="87">
        <f t="shared" si="0"/>
        <v>42916</v>
      </c>
      <c r="CE3" s="87">
        <f t="shared" si="0"/>
        <v>42919</v>
      </c>
      <c r="CF3" s="87">
        <f t="shared" si="0"/>
        <v>42921</v>
      </c>
      <c r="CG3" s="87">
        <f t="shared" si="0"/>
        <v>42923</v>
      </c>
      <c r="CH3" s="87">
        <f t="shared" si="0"/>
        <v>42925</v>
      </c>
      <c r="CI3" s="87">
        <f t="shared" si="0"/>
        <v>42927</v>
      </c>
      <c r="CJ3" s="87">
        <f t="shared" si="0"/>
        <v>42930</v>
      </c>
      <c r="CK3" s="87">
        <f t="shared" si="0"/>
        <v>42932</v>
      </c>
      <c r="CL3" s="87">
        <f t="shared" si="0"/>
        <v>42934</v>
      </c>
      <c r="CM3" s="87">
        <f t="shared" si="0"/>
        <v>42937</v>
      </c>
      <c r="CN3" s="87">
        <f t="shared" si="0"/>
        <v>42941</v>
      </c>
      <c r="CO3" s="87">
        <f t="shared" si="0"/>
        <v>42944</v>
      </c>
      <c r="CP3" s="87">
        <f t="shared" si="0"/>
        <v>42947</v>
      </c>
      <c r="CQ3" s="87">
        <f t="shared" ref="CQ3:CV3" si="1">IF(ISBLANK(AX3)=TRUE," ",AX3)</f>
        <v>42953</v>
      </c>
      <c r="CR3" s="87">
        <f t="shared" si="1"/>
        <v>42955</v>
      </c>
      <c r="CS3" s="87">
        <f t="shared" si="1"/>
        <v>42959</v>
      </c>
      <c r="CT3" s="87">
        <f t="shared" si="1"/>
        <v>42962</v>
      </c>
      <c r="CU3" s="87">
        <f t="shared" si="1"/>
        <v>42965</v>
      </c>
      <c r="CV3" s="87">
        <f t="shared" si="1"/>
        <v>42968</v>
      </c>
      <c r="CW3" s="56"/>
    </row>
    <row r="4" spans="1:101" s="45" customFormat="1" ht="15.75" customHeight="1">
      <c r="A4" s="16" t="s">
        <v>5</v>
      </c>
      <c r="B4" s="17" t="s">
        <v>6</v>
      </c>
      <c r="C4" s="18" t="s">
        <v>7</v>
      </c>
      <c r="D4" s="16" t="s">
        <v>14</v>
      </c>
      <c r="E4" s="19" t="s">
        <v>10</v>
      </c>
      <c r="F4" s="210" t="s">
        <v>1</v>
      </c>
      <c r="G4" s="211" t="s">
        <v>67</v>
      </c>
      <c r="H4" s="212" t="s">
        <v>2</v>
      </c>
      <c r="I4" s="20" t="s">
        <v>1</v>
      </c>
      <c r="J4" s="212" t="s">
        <v>2</v>
      </c>
      <c r="K4" s="190" t="s">
        <v>8</v>
      </c>
      <c r="L4" s="173">
        <f>IF(ISBLANK(L3)=TRUE,"",L3-$I$5)</f>
        <v>-2</v>
      </c>
      <c r="M4" s="173">
        <f t="shared" ref="M4:AW4" si="2">IF(ISBLANK(M3)=TRUE,"",M3-$I$5)</f>
        <v>-1</v>
      </c>
      <c r="N4" s="173">
        <f t="shared" si="2"/>
        <v>0</v>
      </c>
      <c r="O4" s="173">
        <f t="shared" si="2"/>
        <v>1</v>
      </c>
      <c r="P4" s="173">
        <f t="shared" si="2"/>
        <v>2</v>
      </c>
      <c r="Q4" s="173">
        <f t="shared" si="2"/>
        <v>4</v>
      </c>
      <c r="R4" s="173">
        <f t="shared" si="2"/>
        <v>7</v>
      </c>
      <c r="S4" s="173">
        <f t="shared" si="2"/>
        <v>9</v>
      </c>
      <c r="T4" s="173">
        <f t="shared" si="2"/>
        <v>11</v>
      </c>
      <c r="U4" s="173">
        <f t="shared" si="2"/>
        <v>16</v>
      </c>
      <c r="V4" s="173">
        <f t="shared" si="2"/>
        <v>18</v>
      </c>
      <c r="W4" s="173">
        <f t="shared" si="2"/>
        <v>20</v>
      </c>
      <c r="X4" s="173">
        <f t="shared" si="2"/>
        <v>23</v>
      </c>
      <c r="Y4" s="173">
        <f t="shared" si="2"/>
        <v>25</v>
      </c>
      <c r="Z4" s="173">
        <f t="shared" si="2"/>
        <v>27</v>
      </c>
      <c r="AA4" s="173">
        <f t="shared" si="2"/>
        <v>30</v>
      </c>
      <c r="AB4" s="173">
        <f t="shared" si="2"/>
        <v>32</v>
      </c>
      <c r="AC4" s="173">
        <f t="shared" si="2"/>
        <v>34</v>
      </c>
      <c r="AD4" s="173">
        <f t="shared" si="2"/>
        <v>37</v>
      </c>
      <c r="AE4" s="173">
        <f t="shared" si="2"/>
        <v>40</v>
      </c>
      <c r="AF4" s="173">
        <f t="shared" si="2"/>
        <v>42</v>
      </c>
      <c r="AG4" s="173">
        <f t="shared" si="2"/>
        <v>45</v>
      </c>
      <c r="AH4" s="173">
        <f t="shared" si="2"/>
        <v>48</v>
      </c>
      <c r="AI4" s="173">
        <f t="shared" si="2"/>
        <v>51</v>
      </c>
      <c r="AJ4" s="173">
        <f t="shared" si="2"/>
        <v>53</v>
      </c>
      <c r="AK4" s="173">
        <f t="shared" si="2"/>
        <v>55</v>
      </c>
      <c r="AL4" s="173">
        <f t="shared" si="2"/>
        <v>58</v>
      </c>
      <c r="AM4" s="173">
        <f t="shared" si="2"/>
        <v>60</v>
      </c>
      <c r="AN4" s="173">
        <f t="shared" si="2"/>
        <v>62</v>
      </c>
      <c r="AO4" s="173">
        <f t="shared" si="2"/>
        <v>64</v>
      </c>
      <c r="AP4" s="173">
        <f t="shared" si="2"/>
        <v>66</v>
      </c>
      <c r="AQ4" s="173">
        <f t="shared" si="2"/>
        <v>69</v>
      </c>
      <c r="AR4" s="173">
        <f t="shared" si="2"/>
        <v>71</v>
      </c>
      <c r="AS4" s="173">
        <f t="shared" si="2"/>
        <v>73</v>
      </c>
      <c r="AT4" s="173">
        <f t="shared" si="2"/>
        <v>76</v>
      </c>
      <c r="AU4" s="173">
        <f t="shared" si="2"/>
        <v>80</v>
      </c>
      <c r="AV4" s="173">
        <f t="shared" si="2"/>
        <v>83</v>
      </c>
      <c r="AW4" s="173">
        <f t="shared" si="2"/>
        <v>86</v>
      </c>
      <c r="AX4" s="173">
        <f t="shared" ref="AX4:BC4" si="3">IF(ISBLANK(AX3)=TRUE,"",AX3-$I$5)</f>
        <v>92</v>
      </c>
      <c r="AY4" s="173">
        <f t="shared" si="3"/>
        <v>94</v>
      </c>
      <c r="AZ4" s="173">
        <f t="shared" si="3"/>
        <v>98</v>
      </c>
      <c r="BA4" s="173">
        <f t="shared" si="3"/>
        <v>101</v>
      </c>
      <c r="BB4" s="173">
        <f t="shared" si="3"/>
        <v>104</v>
      </c>
      <c r="BC4" s="173">
        <f t="shared" si="3"/>
        <v>107</v>
      </c>
      <c r="BD4" s="22" t="s">
        <v>8</v>
      </c>
      <c r="BE4" s="192">
        <f t="shared" ref="BE4:CP4" si="4">IF(ISBLANK(L4)=TRUE,"",L4)</f>
        <v>-2</v>
      </c>
      <c r="BF4" s="192">
        <f t="shared" si="4"/>
        <v>-1</v>
      </c>
      <c r="BG4" s="192">
        <f t="shared" si="4"/>
        <v>0</v>
      </c>
      <c r="BH4" s="192">
        <f t="shared" si="4"/>
        <v>1</v>
      </c>
      <c r="BI4" s="192">
        <f t="shared" si="4"/>
        <v>2</v>
      </c>
      <c r="BJ4" s="192">
        <f t="shared" si="4"/>
        <v>4</v>
      </c>
      <c r="BK4" s="192">
        <f t="shared" si="4"/>
        <v>7</v>
      </c>
      <c r="BL4" s="192">
        <f t="shared" si="4"/>
        <v>9</v>
      </c>
      <c r="BM4" s="192">
        <f t="shared" si="4"/>
        <v>11</v>
      </c>
      <c r="BN4" s="192">
        <f t="shared" si="4"/>
        <v>16</v>
      </c>
      <c r="BO4" s="192">
        <f t="shared" si="4"/>
        <v>18</v>
      </c>
      <c r="BP4" s="192">
        <f t="shared" si="4"/>
        <v>20</v>
      </c>
      <c r="BQ4" s="192">
        <f t="shared" si="4"/>
        <v>23</v>
      </c>
      <c r="BR4" s="192">
        <f t="shared" si="4"/>
        <v>25</v>
      </c>
      <c r="BS4" s="192">
        <f t="shared" si="4"/>
        <v>27</v>
      </c>
      <c r="BT4" s="192">
        <f t="shared" si="4"/>
        <v>30</v>
      </c>
      <c r="BU4" s="192">
        <f t="shared" si="4"/>
        <v>32</v>
      </c>
      <c r="BV4" s="192">
        <f t="shared" si="4"/>
        <v>34</v>
      </c>
      <c r="BW4" s="192">
        <f t="shared" si="4"/>
        <v>37</v>
      </c>
      <c r="BX4" s="192">
        <f t="shared" si="4"/>
        <v>40</v>
      </c>
      <c r="BY4" s="192">
        <f t="shared" si="4"/>
        <v>42</v>
      </c>
      <c r="BZ4" s="192">
        <f t="shared" si="4"/>
        <v>45</v>
      </c>
      <c r="CA4" s="192">
        <f t="shared" si="4"/>
        <v>48</v>
      </c>
      <c r="CB4" s="192">
        <f t="shared" si="4"/>
        <v>51</v>
      </c>
      <c r="CC4" s="192">
        <f t="shared" si="4"/>
        <v>53</v>
      </c>
      <c r="CD4" s="192">
        <f t="shared" si="4"/>
        <v>55</v>
      </c>
      <c r="CE4" s="192">
        <f t="shared" si="4"/>
        <v>58</v>
      </c>
      <c r="CF4" s="192">
        <f t="shared" si="4"/>
        <v>60</v>
      </c>
      <c r="CG4" s="192">
        <f t="shared" si="4"/>
        <v>62</v>
      </c>
      <c r="CH4" s="192">
        <f t="shared" si="4"/>
        <v>64</v>
      </c>
      <c r="CI4" s="192">
        <f t="shared" si="4"/>
        <v>66</v>
      </c>
      <c r="CJ4" s="192">
        <f t="shared" si="4"/>
        <v>69</v>
      </c>
      <c r="CK4" s="192">
        <f t="shared" si="4"/>
        <v>71</v>
      </c>
      <c r="CL4" s="192">
        <f t="shared" si="4"/>
        <v>73</v>
      </c>
      <c r="CM4" s="192">
        <f t="shared" si="4"/>
        <v>76</v>
      </c>
      <c r="CN4" s="192">
        <f t="shared" si="4"/>
        <v>80</v>
      </c>
      <c r="CO4" s="192">
        <f t="shared" si="4"/>
        <v>83</v>
      </c>
      <c r="CP4" s="192">
        <f t="shared" si="4"/>
        <v>86</v>
      </c>
      <c r="CQ4" s="192">
        <f t="shared" ref="CQ4:CV4" si="5">IF(ISBLANK(AX4)=TRUE,"",AX4)</f>
        <v>92</v>
      </c>
      <c r="CR4" s="192">
        <f t="shared" si="5"/>
        <v>94</v>
      </c>
      <c r="CS4" s="192">
        <f t="shared" si="5"/>
        <v>98</v>
      </c>
      <c r="CT4" s="192">
        <f t="shared" si="5"/>
        <v>101</v>
      </c>
      <c r="CU4" s="192">
        <f t="shared" si="5"/>
        <v>104</v>
      </c>
      <c r="CV4" s="192">
        <f t="shared" si="5"/>
        <v>107</v>
      </c>
      <c r="CW4" s="44"/>
    </row>
    <row r="5" spans="1:101">
      <c r="A5" s="23">
        <v>1066028</v>
      </c>
      <c r="B5" s="24">
        <v>11</v>
      </c>
      <c r="C5" s="25" t="str">
        <f t="shared" ref="C5:C27" si="6">CONCATENATE(A5,"-",B5)</f>
        <v>1066028-11</v>
      </c>
      <c r="D5" s="24" t="s">
        <v>20</v>
      </c>
      <c r="E5" s="26" t="s">
        <v>64</v>
      </c>
      <c r="F5" s="208">
        <v>42850</v>
      </c>
      <c r="G5" s="198" t="s">
        <v>66</v>
      </c>
      <c r="H5" s="71">
        <v>32.6</v>
      </c>
      <c r="I5" s="27">
        <v>42861</v>
      </c>
      <c r="J5" s="71">
        <v>33.799999999999997</v>
      </c>
      <c r="K5" s="30"/>
      <c r="L5" s="71">
        <v>32.799999999999997</v>
      </c>
      <c r="M5" s="71"/>
      <c r="N5" s="71">
        <v>33.799999999999997</v>
      </c>
      <c r="O5" s="71">
        <v>32.799999999999997</v>
      </c>
      <c r="P5" s="71">
        <v>32.200000000000003</v>
      </c>
      <c r="Q5" s="71">
        <v>33.299999999999997</v>
      </c>
      <c r="R5" s="71">
        <v>32.799999999999997</v>
      </c>
      <c r="S5" s="71">
        <v>32.799999999999997</v>
      </c>
      <c r="T5" s="71">
        <v>32.799999999999997</v>
      </c>
      <c r="U5" s="71">
        <v>33.4</v>
      </c>
      <c r="V5" s="71">
        <v>31.4</v>
      </c>
      <c r="W5" s="71">
        <v>31.9</v>
      </c>
      <c r="X5" s="71">
        <v>32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31"/>
      <c r="BE5" s="66">
        <f t="shared" ref="BE5:BE27" si="7">IF(OR(ISERROR(L5/$J5)=TRUE,ISBLANK(L5)=TRUE),"",L5/$J5)</f>
        <v>0.97041420118343191</v>
      </c>
      <c r="BF5" s="66" t="str">
        <f t="shared" ref="BF5:BF27" si="8">IF(OR(ISERROR(M5/$J5)=TRUE,ISBLANK(M5)=TRUE),"",M5/$J5)</f>
        <v/>
      </c>
      <c r="BG5" s="66">
        <f t="shared" ref="BG5:BG27" si="9">IF(OR(ISERROR(N5/$J5)=TRUE,ISBLANK(N5)=TRUE),"",N5/$J5)</f>
        <v>1</v>
      </c>
      <c r="BH5" s="66">
        <f t="shared" ref="BH5:BH27" si="10">IF(OR(ISERROR(O5/$J5)=TRUE,ISBLANK(O5)=TRUE),"",O5/$J5)</f>
        <v>0.97041420118343191</v>
      </c>
      <c r="BI5" s="66">
        <f t="shared" ref="BI5:BI27" si="11">IF(OR(ISERROR(P5/$J5)=TRUE,ISBLANK(P5)=TRUE),"",P5/$J5)</f>
        <v>0.95266272189349133</v>
      </c>
      <c r="BJ5" s="66">
        <f t="shared" ref="BJ5:BJ27" si="12">IF(OR(ISERROR(Q5/$J5)=TRUE,ISBLANK(Q5)=TRUE),"",Q5/$J5)</f>
        <v>0.98520710059171601</v>
      </c>
      <c r="BK5" s="66">
        <f t="shared" ref="BK5:BK27" si="13">IF(OR(ISERROR(R5/$J5)=TRUE,ISBLANK(R5)=TRUE),"",R5/$J5)</f>
        <v>0.97041420118343191</v>
      </c>
      <c r="BL5" s="66">
        <f t="shared" ref="BL5:BL27" si="14">IF(OR(ISERROR(S5/$J5)=TRUE,ISBLANK(S5)=TRUE),"",S5/$J5)</f>
        <v>0.97041420118343191</v>
      </c>
      <c r="BM5" s="66">
        <f t="shared" ref="BM5:BM27" si="15">IF(OR(ISERROR(T5/$J5)=TRUE,ISBLANK(T5)=TRUE),"",T5/$J5)</f>
        <v>0.97041420118343191</v>
      </c>
      <c r="BN5" s="66">
        <f t="shared" ref="BN5:BN27" si="16">IF(OR(ISERROR(U5/$J5)=TRUE,ISBLANK(U5)=TRUE),"",U5/$J5)</f>
        <v>0.98816568047337283</v>
      </c>
      <c r="BO5" s="66">
        <f t="shared" ref="BO5:BO27" si="17">IF(OR(ISERROR(V5/$J5)=TRUE,ISBLANK(V5)=TRUE),"",V5/$J5)</f>
        <v>0.92899408284023677</v>
      </c>
      <c r="BP5" s="66">
        <f t="shared" ref="BP5:BP27" si="18">IF(OR(ISERROR(W5/$J5)=TRUE,ISBLANK(W5)=TRUE),"",W5/$J5)</f>
        <v>0.94378698224852076</v>
      </c>
      <c r="BQ5" s="66">
        <f t="shared" ref="BQ5:BQ27" si="19">IF(OR(ISERROR(X5/$J5)=TRUE,ISBLANK(X5)=TRUE),"",X5/$J5)</f>
        <v>0.94674556213017758</v>
      </c>
      <c r="BR5" s="66" t="str">
        <f t="shared" ref="BR5:BR27" si="20">IF(OR(ISERROR(Y5/$J5)=TRUE,ISBLANK(Y5)=TRUE),"",Y5/$J5)</f>
        <v/>
      </c>
      <c r="BS5" s="66" t="str">
        <f t="shared" ref="BS5:BS27" si="21">IF(OR(ISERROR(Z5/$J5)=TRUE,ISBLANK(Z5)=TRUE),"",Z5/$J5)</f>
        <v/>
      </c>
      <c r="BT5" s="66" t="str">
        <f t="shared" ref="BT5:BT27" si="22">IF(OR(ISERROR(AA5/$J5)=TRUE,ISBLANK(AA5)=TRUE),"",AA5/$J5)</f>
        <v/>
      </c>
      <c r="BU5" s="66" t="str">
        <f t="shared" ref="BU5:BU27" si="23">IF(OR(ISERROR(AB5/$J5)=TRUE,ISBLANK(AB5)=TRUE),"",AB5/$J5)</f>
        <v/>
      </c>
      <c r="BV5" s="66" t="str">
        <f t="shared" ref="BV5:BV27" si="24">IF(OR(ISERROR(AC5/$J5)=TRUE,ISBLANK(AC5)=TRUE),"",AC5/$J5)</f>
        <v/>
      </c>
      <c r="BW5" s="66" t="str">
        <f t="shared" ref="BW5:BW27" si="25">IF(OR(ISERROR(AD5/$J5)=TRUE,ISBLANK(AD5)=TRUE),"",AD5/$J5)</f>
        <v/>
      </c>
      <c r="BX5" s="66" t="str">
        <f t="shared" ref="BX5:BX27" si="26">IF(OR(ISERROR(AE5/$J5)=TRUE,ISBLANK(AE5)=TRUE),"",AE5/$J5)</f>
        <v/>
      </c>
      <c r="BY5" s="66" t="str">
        <f t="shared" ref="BY5:BY27" si="27">IF(OR(ISERROR(AF5/$J5)=TRUE,ISBLANK(AF5)=TRUE),"",AF5/$J5)</f>
        <v/>
      </c>
      <c r="BZ5" s="66" t="str">
        <f t="shared" ref="BZ5:BZ27" si="28">IF(OR(ISERROR(AG5/$J5)=TRUE,ISBLANK(AG5)=TRUE),"",AG5/$J5)</f>
        <v/>
      </c>
      <c r="CA5" s="66" t="str">
        <f t="shared" ref="CA5:CA27" si="29">IF(OR(ISERROR(AH5/$J5)=TRUE,ISBLANK(AH5)=TRUE),"",AH5/$J5)</f>
        <v/>
      </c>
      <c r="CB5" s="66" t="str">
        <f t="shared" ref="CB5:CB27" si="30">IF(OR(ISERROR(AI5/$J5)=TRUE,ISBLANK(AI5)=TRUE),"",AI5/$J5)</f>
        <v/>
      </c>
      <c r="CC5" s="66" t="str">
        <f t="shared" ref="CC5:CC27" si="31">IF(OR(ISERROR(AJ5/$J5)=TRUE,ISBLANK(AJ5)=TRUE),"",AJ5/$J5)</f>
        <v/>
      </c>
      <c r="CD5" s="66" t="str">
        <f t="shared" ref="CD5:CD27" si="32">IF(OR(ISERROR(AK5/$J5)=TRUE,ISBLANK(AK5)=TRUE),"",AK5/$J5)</f>
        <v/>
      </c>
      <c r="CE5" s="66" t="str">
        <f t="shared" ref="CE5:CE27" si="33">IF(OR(ISERROR(AL5/$J5)=TRUE,ISBLANK(AL5)=TRUE),"",AL5/$J5)</f>
        <v/>
      </c>
      <c r="CF5" s="66" t="str">
        <f t="shared" ref="CF5:CF27" si="34">IF(OR(ISERROR(AM5/$J5)=TRUE,ISBLANK(AM5)=TRUE),"",AM5/$J5)</f>
        <v/>
      </c>
      <c r="CG5" s="66" t="str">
        <f t="shared" ref="CG5:CG27" si="35">IF(OR(ISERROR(AN5/$J5)=TRUE,ISBLANK(AN5)=TRUE),"",AN5/$J5)</f>
        <v/>
      </c>
      <c r="CH5" s="66" t="str">
        <f t="shared" ref="CH5:CH27" si="36">IF(OR(ISERROR(AO5/$J5)=TRUE,ISBLANK(AO5)=TRUE),"",AO5/$J5)</f>
        <v/>
      </c>
      <c r="CI5" s="66" t="str">
        <f t="shared" ref="CI5:CI27" si="37">IF(OR(ISERROR(AP5/$J5)=TRUE,ISBLANK(AP5)=TRUE),"",AP5/$J5)</f>
        <v/>
      </c>
      <c r="CJ5" s="66" t="str">
        <f t="shared" ref="CJ5:CJ27" si="38">IF(OR(ISERROR(AQ5/$J5)=TRUE,ISBLANK(AQ5)=TRUE),"",AQ5/$J5)</f>
        <v/>
      </c>
      <c r="CK5" s="66" t="str">
        <f t="shared" ref="CK5:CK27" si="39">IF(OR(ISERROR(AR5/$J5)=TRUE,ISBLANK(AR5)=TRUE),"",AR5/$J5)</f>
        <v/>
      </c>
      <c r="CL5" s="66" t="str">
        <f t="shared" ref="CL5:CL27" si="40">IF(OR(ISERROR(AS5/$J5)=TRUE,ISBLANK(AS5)=TRUE),"",AS5/$J5)</f>
        <v/>
      </c>
      <c r="CM5" s="66" t="str">
        <f t="shared" ref="CM5:CM27" si="41">IF(OR(ISERROR(AT5/$J5)=TRUE,ISBLANK(AT5)=TRUE),"",AT5/$J5)</f>
        <v/>
      </c>
      <c r="CN5" s="66" t="str">
        <f t="shared" ref="CN5:CN27" si="42">IF(OR(ISERROR(AU5/$J5)=TRUE,ISBLANK(AU5)=TRUE),"",AU5/$J5)</f>
        <v/>
      </c>
      <c r="CO5" s="66" t="str">
        <f t="shared" ref="CO5:CO27" si="43">IF(OR(ISERROR(AV5/$J5)=TRUE,ISBLANK(AV5)=TRUE),"",AV5/$J5)</f>
        <v/>
      </c>
      <c r="CP5" s="66" t="str">
        <f t="shared" ref="CP5:CP27" si="44">IF(OR(ISERROR(AW5/$J5)=TRUE,ISBLANK(AW5)=TRUE),"",AW5/$J5)</f>
        <v/>
      </c>
      <c r="CQ5" s="66" t="str">
        <f t="shared" ref="CQ5:CV19" si="45">IF(OR(ISERROR(AX5/$J5)=TRUE,ISBLANK(AX5)=TRUE),"",AX5/$J5)</f>
        <v/>
      </c>
      <c r="CR5" s="66" t="str">
        <f t="shared" si="45"/>
        <v/>
      </c>
      <c r="CS5" s="66" t="str">
        <f t="shared" si="45"/>
        <v/>
      </c>
      <c r="CT5" s="66" t="str">
        <f t="shared" si="45"/>
        <v/>
      </c>
      <c r="CU5" s="66" t="str">
        <f t="shared" si="45"/>
        <v/>
      </c>
      <c r="CV5" s="66" t="str">
        <f t="shared" si="45"/>
        <v/>
      </c>
      <c r="CW5" s="3"/>
    </row>
    <row r="6" spans="1:101">
      <c r="A6" s="23">
        <v>1066028</v>
      </c>
      <c r="B6" s="1">
        <v>13</v>
      </c>
      <c r="C6" s="25" t="str">
        <f t="shared" si="6"/>
        <v>1066028-13</v>
      </c>
      <c r="D6" s="24" t="s">
        <v>20</v>
      </c>
      <c r="E6" s="32" t="s">
        <v>62</v>
      </c>
      <c r="F6" s="208">
        <v>42850</v>
      </c>
      <c r="G6" s="198" t="s">
        <v>66</v>
      </c>
      <c r="H6" s="76">
        <v>31.5</v>
      </c>
      <c r="I6" s="27">
        <v>42861</v>
      </c>
      <c r="J6" s="76">
        <v>33.1</v>
      </c>
      <c r="K6" s="34"/>
      <c r="L6" s="71">
        <v>31.5</v>
      </c>
      <c r="M6" s="76"/>
      <c r="N6" s="76">
        <v>33.1</v>
      </c>
      <c r="O6" s="76">
        <v>31.4</v>
      </c>
      <c r="P6" s="76">
        <v>29.5</v>
      </c>
      <c r="Q6" s="76">
        <v>31.3</v>
      </c>
      <c r="R6" s="76">
        <v>31.7</v>
      </c>
      <c r="S6" s="76">
        <v>31.3</v>
      </c>
      <c r="T6" s="76">
        <v>31.2</v>
      </c>
      <c r="U6" s="76">
        <v>30.4</v>
      </c>
      <c r="V6" s="76">
        <v>30.1</v>
      </c>
      <c r="W6" s="76">
        <v>31.1</v>
      </c>
      <c r="X6" s="76">
        <v>31.5</v>
      </c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2"/>
      <c r="BE6" s="66">
        <f t="shared" si="7"/>
        <v>0.95166163141993954</v>
      </c>
      <c r="BF6" s="66" t="str">
        <f t="shared" si="8"/>
        <v/>
      </c>
      <c r="BG6" s="66">
        <f t="shared" si="9"/>
        <v>1</v>
      </c>
      <c r="BH6" s="66">
        <f t="shared" si="10"/>
        <v>0.94864048338368567</v>
      </c>
      <c r="BI6" s="66">
        <f t="shared" si="11"/>
        <v>0.89123867069486395</v>
      </c>
      <c r="BJ6" s="66">
        <f t="shared" si="12"/>
        <v>0.94561933534743203</v>
      </c>
      <c r="BK6" s="66">
        <f t="shared" si="13"/>
        <v>0.95770392749244704</v>
      </c>
      <c r="BL6" s="66">
        <f t="shared" si="14"/>
        <v>0.94561933534743203</v>
      </c>
      <c r="BM6" s="66">
        <f t="shared" si="15"/>
        <v>0.94259818731117817</v>
      </c>
      <c r="BN6" s="66">
        <f t="shared" si="16"/>
        <v>0.91842900302114794</v>
      </c>
      <c r="BO6" s="66">
        <f t="shared" si="17"/>
        <v>0.90936555891238668</v>
      </c>
      <c r="BP6" s="66">
        <f t="shared" si="18"/>
        <v>0.93957703927492442</v>
      </c>
      <c r="BQ6" s="66">
        <f t="shared" si="19"/>
        <v>0.95166163141993954</v>
      </c>
      <c r="BR6" s="66" t="str">
        <f t="shared" si="20"/>
        <v/>
      </c>
      <c r="BS6" s="66" t="str">
        <f t="shared" si="21"/>
        <v/>
      </c>
      <c r="BT6" s="66" t="str">
        <f t="shared" si="22"/>
        <v/>
      </c>
      <c r="BU6" s="66" t="str">
        <f t="shared" si="23"/>
        <v/>
      </c>
      <c r="BV6" s="66" t="str">
        <f t="shared" si="24"/>
        <v/>
      </c>
      <c r="BW6" s="66" t="str">
        <f t="shared" si="25"/>
        <v/>
      </c>
      <c r="BX6" s="66" t="str">
        <f t="shared" si="26"/>
        <v/>
      </c>
      <c r="BY6" s="66" t="str">
        <f t="shared" si="27"/>
        <v/>
      </c>
      <c r="BZ6" s="66" t="str">
        <f t="shared" si="28"/>
        <v/>
      </c>
      <c r="CA6" s="66" t="str">
        <f t="shared" si="29"/>
        <v/>
      </c>
      <c r="CB6" s="66" t="str">
        <f t="shared" si="30"/>
        <v/>
      </c>
      <c r="CC6" s="66" t="str">
        <f t="shared" si="31"/>
        <v/>
      </c>
      <c r="CD6" s="66" t="str">
        <f t="shared" si="32"/>
        <v/>
      </c>
      <c r="CE6" s="66" t="str">
        <f t="shared" si="33"/>
        <v/>
      </c>
      <c r="CF6" s="66" t="str">
        <f t="shared" si="34"/>
        <v/>
      </c>
      <c r="CG6" s="66" t="str">
        <f t="shared" si="35"/>
        <v/>
      </c>
      <c r="CH6" s="66" t="str">
        <f t="shared" si="36"/>
        <v/>
      </c>
      <c r="CI6" s="66" t="str">
        <f t="shared" si="37"/>
        <v/>
      </c>
      <c r="CJ6" s="66" t="str">
        <f t="shared" si="38"/>
        <v/>
      </c>
      <c r="CK6" s="66" t="str">
        <f t="shared" si="39"/>
        <v/>
      </c>
      <c r="CL6" s="66" t="str">
        <f t="shared" si="40"/>
        <v/>
      </c>
      <c r="CM6" s="66" t="str">
        <f t="shared" si="41"/>
        <v/>
      </c>
      <c r="CN6" s="66" t="str">
        <f t="shared" si="42"/>
        <v/>
      </c>
      <c r="CO6" s="66" t="str">
        <f t="shared" si="43"/>
        <v/>
      </c>
      <c r="CP6" s="66" t="str">
        <f t="shared" si="44"/>
        <v/>
      </c>
      <c r="CQ6" s="66" t="str">
        <f t="shared" si="45"/>
        <v/>
      </c>
      <c r="CR6" s="66" t="str">
        <f t="shared" si="45"/>
        <v/>
      </c>
      <c r="CS6" s="66" t="str">
        <f t="shared" si="45"/>
        <v/>
      </c>
      <c r="CT6" s="66" t="str">
        <f t="shared" si="45"/>
        <v/>
      </c>
      <c r="CU6" s="66" t="str">
        <f t="shared" si="45"/>
        <v/>
      </c>
      <c r="CV6" s="66" t="str">
        <f t="shared" si="45"/>
        <v/>
      </c>
      <c r="CW6" s="3"/>
    </row>
    <row r="7" spans="1:101">
      <c r="A7" s="23">
        <v>1066028</v>
      </c>
      <c r="B7" s="1">
        <v>14</v>
      </c>
      <c r="C7" s="25" t="str">
        <f t="shared" si="6"/>
        <v>1066028-14</v>
      </c>
      <c r="D7" s="24" t="s">
        <v>20</v>
      </c>
      <c r="E7" s="32" t="s">
        <v>61</v>
      </c>
      <c r="F7" s="208">
        <v>42850</v>
      </c>
      <c r="G7" s="198" t="s">
        <v>66</v>
      </c>
      <c r="H7" s="76">
        <v>32.5</v>
      </c>
      <c r="I7" s="27">
        <v>42861</v>
      </c>
      <c r="J7" s="76">
        <v>33.799999999999997</v>
      </c>
      <c r="K7" s="34"/>
      <c r="L7" s="71">
        <v>33.1</v>
      </c>
      <c r="M7" s="76"/>
      <c r="N7" s="76">
        <v>33.799999999999997</v>
      </c>
      <c r="O7" s="76">
        <v>31.6</v>
      </c>
      <c r="P7" s="76">
        <v>31.1</v>
      </c>
      <c r="Q7" s="76">
        <v>31.3</v>
      </c>
      <c r="R7" s="76">
        <v>30.9</v>
      </c>
      <c r="S7" s="76">
        <v>30</v>
      </c>
      <c r="T7" s="76">
        <v>31.4</v>
      </c>
      <c r="U7" s="76">
        <v>33.799999999999997</v>
      </c>
      <c r="V7" s="76">
        <v>33.4</v>
      </c>
      <c r="W7" s="76">
        <v>34</v>
      </c>
      <c r="X7" s="76">
        <v>32.799999999999997</v>
      </c>
      <c r="Y7" s="76">
        <v>33.700000000000003</v>
      </c>
      <c r="Z7" s="76">
        <v>34.1</v>
      </c>
      <c r="AA7" s="76">
        <v>33.6</v>
      </c>
      <c r="AB7" s="76">
        <v>34</v>
      </c>
      <c r="AC7" s="76">
        <v>35.6</v>
      </c>
      <c r="AD7" s="76">
        <v>34.700000000000003</v>
      </c>
      <c r="AE7" s="76">
        <v>35.9</v>
      </c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2"/>
      <c r="BE7" s="66">
        <f t="shared" si="7"/>
        <v>0.97928994082840248</v>
      </c>
      <c r="BF7" s="66" t="str">
        <f t="shared" si="8"/>
        <v/>
      </c>
      <c r="BG7" s="66">
        <f t="shared" si="9"/>
        <v>1</v>
      </c>
      <c r="BH7" s="66">
        <f t="shared" si="10"/>
        <v>0.93491124260355041</v>
      </c>
      <c r="BI7" s="66">
        <f t="shared" si="11"/>
        <v>0.92011834319526642</v>
      </c>
      <c r="BJ7" s="66">
        <f t="shared" si="12"/>
        <v>0.92603550295857995</v>
      </c>
      <c r="BK7" s="66">
        <f t="shared" si="13"/>
        <v>0.91420118343195267</v>
      </c>
      <c r="BL7" s="66">
        <f t="shared" si="14"/>
        <v>0.88757396449704151</v>
      </c>
      <c r="BM7" s="66">
        <f t="shared" si="15"/>
        <v>0.92899408284023677</v>
      </c>
      <c r="BN7" s="66">
        <f t="shared" si="16"/>
        <v>1</v>
      </c>
      <c r="BO7" s="66">
        <f t="shared" si="17"/>
        <v>0.98816568047337283</v>
      </c>
      <c r="BP7" s="66">
        <f t="shared" si="18"/>
        <v>1.0059171597633136</v>
      </c>
      <c r="BQ7" s="66">
        <f t="shared" si="19"/>
        <v>0.97041420118343191</v>
      </c>
      <c r="BR7" s="66">
        <f t="shared" si="20"/>
        <v>0.9970414201183434</v>
      </c>
      <c r="BS7" s="66">
        <f t="shared" si="21"/>
        <v>1.0088757396449706</v>
      </c>
      <c r="BT7" s="66">
        <f t="shared" si="22"/>
        <v>0.99408284023668647</v>
      </c>
      <c r="BU7" s="66">
        <f t="shared" si="23"/>
        <v>1.0059171597633136</v>
      </c>
      <c r="BV7" s="66">
        <f t="shared" si="24"/>
        <v>1.0532544378698225</v>
      </c>
      <c r="BW7" s="66">
        <f t="shared" si="25"/>
        <v>1.0266272189349115</v>
      </c>
      <c r="BX7" s="66">
        <f t="shared" si="26"/>
        <v>1.0621301775147929</v>
      </c>
      <c r="BY7" s="66" t="str">
        <f t="shared" si="27"/>
        <v/>
      </c>
      <c r="BZ7" s="66" t="str">
        <f t="shared" si="28"/>
        <v/>
      </c>
      <c r="CA7" s="66" t="str">
        <f t="shared" si="29"/>
        <v/>
      </c>
      <c r="CB7" s="66" t="str">
        <f t="shared" si="30"/>
        <v/>
      </c>
      <c r="CC7" s="66" t="str">
        <f t="shared" si="31"/>
        <v/>
      </c>
      <c r="CD7" s="66" t="str">
        <f t="shared" si="32"/>
        <v/>
      </c>
      <c r="CE7" s="66" t="str">
        <f t="shared" si="33"/>
        <v/>
      </c>
      <c r="CF7" s="66" t="str">
        <f t="shared" si="34"/>
        <v/>
      </c>
      <c r="CG7" s="66" t="str">
        <f t="shared" si="35"/>
        <v/>
      </c>
      <c r="CH7" s="66" t="str">
        <f t="shared" si="36"/>
        <v/>
      </c>
      <c r="CI7" s="66" t="str">
        <f t="shared" si="37"/>
        <v/>
      </c>
      <c r="CJ7" s="66" t="str">
        <f t="shared" si="38"/>
        <v/>
      </c>
      <c r="CK7" s="66" t="str">
        <f t="shared" si="39"/>
        <v/>
      </c>
      <c r="CL7" s="66" t="str">
        <f t="shared" si="40"/>
        <v/>
      </c>
      <c r="CM7" s="66" t="str">
        <f t="shared" si="41"/>
        <v/>
      </c>
      <c r="CN7" s="66" t="str">
        <f t="shared" si="42"/>
        <v/>
      </c>
      <c r="CO7" s="66" t="str">
        <f t="shared" si="43"/>
        <v/>
      </c>
      <c r="CP7" s="66" t="str">
        <f t="shared" si="44"/>
        <v/>
      </c>
      <c r="CQ7" s="66" t="str">
        <f t="shared" si="45"/>
        <v/>
      </c>
      <c r="CR7" s="66" t="str">
        <f t="shared" si="45"/>
        <v/>
      </c>
      <c r="CS7" s="66" t="str">
        <f t="shared" si="45"/>
        <v/>
      </c>
      <c r="CT7" s="66" t="str">
        <f t="shared" si="45"/>
        <v/>
      </c>
      <c r="CU7" s="66" t="str">
        <f t="shared" si="45"/>
        <v/>
      </c>
      <c r="CV7" s="66" t="str">
        <f t="shared" si="45"/>
        <v/>
      </c>
      <c r="CW7" s="3"/>
    </row>
    <row r="8" spans="1:101">
      <c r="A8" s="23">
        <v>1066028</v>
      </c>
      <c r="B8" s="1">
        <v>15</v>
      </c>
      <c r="C8" s="25" t="str">
        <f t="shared" si="6"/>
        <v>1066028-15</v>
      </c>
      <c r="D8" s="24" t="s">
        <v>20</v>
      </c>
      <c r="E8" s="32" t="s">
        <v>61</v>
      </c>
      <c r="F8" s="208">
        <v>42850</v>
      </c>
      <c r="G8" s="198" t="s">
        <v>66</v>
      </c>
      <c r="H8" s="76">
        <v>29.1</v>
      </c>
      <c r="I8" s="27">
        <v>42861</v>
      </c>
      <c r="J8" s="76">
        <v>27.4</v>
      </c>
      <c r="K8" s="34"/>
      <c r="L8" s="71">
        <v>29.1</v>
      </c>
      <c r="M8" s="76"/>
      <c r="N8" s="76">
        <v>27.4</v>
      </c>
      <c r="O8" s="76">
        <v>26.5</v>
      </c>
      <c r="P8" s="76">
        <v>26.1</v>
      </c>
      <c r="Q8" s="76">
        <v>24.4</v>
      </c>
      <c r="R8" s="76">
        <v>23.3</v>
      </c>
      <c r="S8" s="76">
        <v>24.3</v>
      </c>
      <c r="T8" s="76">
        <v>22.7</v>
      </c>
      <c r="U8" s="76">
        <v>25.2</v>
      </c>
      <c r="V8" s="76">
        <v>26.4</v>
      </c>
      <c r="W8" s="76">
        <v>28</v>
      </c>
      <c r="X8" s="76">
        <v>29.7</v>
      </c>
      <c r="Y8" s="76">
        <v>30.5</v>
      </c>
      <c r="Z8" s="76">
        <v>30.1</v>
      </c>
      <c r="AA8" s="76">
        <v>29.8</v>
      </c>
      <c r="AB8" s="76">
        <v>29.6</v>
      </c>
      <c r="AC8" s="76">
        <v>30.3</v>
      </c>
      <c r="AD8" s="76">
        <v>29.3</v>
      </c>
      <c r="AE8" s="76">
        <v>30.3</v>
      </c>
      <c r="AF8" s="76">
        <v>30.2</v>
      </c>
      <c r="AG8" s="76">
        <v>30.6</v>
      </c>
      <c r="AH8" s="76">
        <v>31.2</v>
      </c>
      <c r="AI8" s="76">
        <v>30.9</v>
      </c>
      <c r="AJ8" s="76">
        <v>31.7</v>
      </c>
      <c r="AK8" s="76">
        <v>31.1</v>
      </c>
      <c r="AL8" s="76">
        <v>32.1</v>
      </c>
      <c r="AM8" s="76">
        <v>32.299999999999997</v>
      </c>
      <c r="AN8" s="76">
        <v>32.4</v>
      </c>
      <c r="AO8" s="76">
        <v>32.700000000000003</v>
      </c>
      <c r="AP8" s="76">
        <v>32.9</v>
      </c>
      <c r="AQ8" s="76">
        <v>33.4</v>
      </c>
      <c r="AR8" s="76">
        <v>32.4</v>
      </c>
      <c r="AS8" s="76">
        <v>32.700000000000003</v>
      </c>
      <c r="AT8" s="76">
        <v>33.299999999999997</v>
      </c>
      <c r="AU8" s="76">
        <v>33.4</v>
      </c>
      <c r="AV8" s="76">
        <v>31.1</v>
      </c>
      <c r="AW8" s="76">
        <v>33.1</v>
      </c>
      <c r="AX8" s="76">
        <v>32.4</v>
      </c>
      <c r="AY8" s="76">
        <v>33.200000000000003</v>
      </c>
      <c r="AZ8" s="76">
        <v>34.299999999999997</v>
      </c>
      <c r="BA8" s="76">
        <v>33.299999999999997</v>
      </c>
      <c r="BB8" s="76">
        <v>32.799999999999997</v>
      </c>
      <c r="BC8" s="76">
        <v>32.700000000000003</v>
      </c>
      <c r="BD8" s="2"/>
      <c r="BE8" s="66">
        <f t="shared" si="7"/>
        <v>1.062043795620438</v>
      </c>
      <c r="BF8" s="66" t="str">
        <f t="shared" si="8"/>
        <v/>
      </c>
      <c r="BG8" s="66">
        <f t="shared" si="9"/>
        <v>1</v>
      </c>
      <c r="BH8" s="66">
        <f t="shared" si="10"/>
        <v>0.96715328467153294</v>
      </c>
      <c r="BI8" s="66">
        <f t="shared" si="11"/>
        <v>0.95255474452554756</v>
      </c>
      <c r="BJ8" s="66">
        <f t="shared" si="12"/>
        <v>0.89051094890510951</v>
      </c>
      <c r="BK8" s="66">
        <f t="shared" si="13"/>
        <v>0.85036496350364965</v>
      </c>
      <c r="BL8" s="66">
        <f t="shared" si="14"/>
        <v>0.88686131386861322</v>
      </c>
      <c r="BM8" s="66">
        <f t="shared" si="15"/>
        <v>0.82846715328467158</v>
      </c>
      <c r="BN8" s="66">
        <f t="shared" si="16"/>
        <v>0.91970802919708028</v>
      </c>
      <c r="BO8" s="66">
        <f t="shared" si="17"/>
        <v>0.96350364963503654</v>
      </c>
      <c r="BP8" s="66">
        <f t="shared" si="18"/>
        <v>1.0218978102189782</v>
      </c>
      <c r="BQ8" s="66">
        <f t="shared" si="19"/>
        <v>1.083941605839416</v>
      </c>
      <c r="BR8" s="66">
        <f t="shared" si="20"/>
        <v>1.113138686131387</v>
      </c>
      <c r="BS8" s="66">
        <f t="shared" si="21"/>
        <v>1.0985401459854016</v>
      </c>
      <c r="BT8" s="66">
        <f t="shared" si="22"/>
        <v>1.0875912408759125</v>
      </c>
      <c r="BU8" s="66">
        <f t="shared" si="23"/>
        <v>1.0802919708029197</v>
      </c>
      <c r="BV8" s="66">
        <f t="shared" si="24"/>
        <v>1.1058394160583942</v>
      </c>
      <c r="BW8" s="66">
        <f t="shared" si="25"/>
        <v>1.0693430656934306</v>
      </c>
      <c r="BX8" s="66">
        <f t="shared" si="26"/>
        <v>1.1058394160583942</v>
      </c>
      <c r="BY8" s="66">
        <f t="shared" si="27"/>
        <v>1.1021897810218979</v>
      </c>
      <c r="BZ8" s="66">
        <f t="shared" si="28"/>
        <v>1.1167883211678833</v>
      </c>
      <c r="CA8" s="66">
        <f t="shared" si="29"/>
        <v>1.1386861313868613</v>
      </c>
      <c r="CB8" s="66">
        <f t="shared" si="30"/>
        <v>1.1277372262773722</v>
      </c>
      <c r="CC8" s="66">
        <f t="shared" si="31"/>
        <v>1.1569343065693432</v>
      </c>
      <c r="CD8" s="66">
        <f t="shared" si="32"/>
        <v>1.135036496350365</v>
      </c>
      <c r="CE8" s="66">
        <f t="shared" si="33"/>
        <v>1.1715328467153285</v>
      </c>
      <c r="CF8" s="66">
        <f t="shared" si="34"/>
        <v>1.1788321167883211</v>
      </c>
      <c r="CG8" s="66">
        <f t="shared" si="35"/>
        <v>1.1824817518248176</v>
      </c>
      <c r="CH8" s="66">
        <f t="shared" si="36"/>
        <v>1.1934306569343067</v>
      </c>
      <c r="CI8" s="66">
        <f t="shared" si="37"/>
        <v>1.2007299270072993</v>
      </c>
      <c r="CJ8" s="66">
        <f t="shared" si="38"/>
        <v>1.218978102189781</v>
      </c>
      <c r="CK8" s="66">
        <f t="shared" si="39"/>
        <v>1.1824817518248176</v>
      </c>
      <c r="CL8" s="66">
        <f t="shared" si="40"/>
        <v>1.1934306569343067</v>
      </c>
      <c r="CM8" s="66">
        <f t="shared" si="41"/>
        <v>1.2153284671532847</v>
      </c>
      <c r="CN8" s="66">
        <f t="shared" si="42"/>
        <v>1.218978102189781</v>
      </c>
      <c r="CO8" s="66">
        <f t="shared" si="43"/>
        <v>1.135036496350365</v>
      </c>
      <c r="CP8" s="66">
        <f t="shared" si="44"/>
        <v>1.2080291970802921</v>
      </c>
      <c r="CQ8" s="66">
        <f t="shared" si="45"/>
        <v>1.1824817518248176</v>
      </c>
      <c r="CR8" s="66">
        <f t="shared" si="45"/>
        <v>1.2116788321167884</v>
      </c>
      <c r="CS8" s="66">
        <f t="shared" si="45"/>
        <v>1.251824817518248</v>
      </c>
      <c r="CT8" s="66">
        <f t="shared" si="45"/>
        <v>1.2153284671532847</v>
      </c>
      <c r="CU8" s="66">
        <f t="shared" si="45"/>
        <v>1.1970802919708028</v>
      </c>
      <c r="CV8" s="66">
        <f t="shared" si="45"/>
        <v>1.1934306569343067</v>
      </c>
      <c r="CW8" s="3"/>
    </row>
    <row r="9" spans="1:101">
      <c r="A9" s="35">
        <v>1066029</v>
      </c>
      <c r="B9" s="1">
        <v>21</v>
      </c>
      <c r="C9" s="25" t="str">
        <f t="shared" si="6"/>
        <v>1066029-21</v>
      </c>
      <c r="D9" s="24" t="s">
        <v>20</v>
      </c>
      <c r="E9" s="32" t="s">
        <v>64</v>
      </c>
      <c r="F9" s="208">
        <v>42850</v>
      </c>
      <c r="G9" s="198" t="s">
        <v>66</v>
      </c>
      <c r="H9" s="76">
        <v>24.8</v>
      </c>
      <c r="I9" s="27">
        <v>42861</v>
      </c>
      <c r="J9" s="76">
        <v>24.8</v>
      </c>
      <c r="K9" s="34"/>
      <c r="L9" s="71">
        <v>24.8</v>
      </c>
      <c r="M9" s="76"/>
      <c r="N9" s="76">
        <v>24.8</v>
      </c>
      <c r="O9" s="76">
        <v>24.8</v>
      </c>
      <c r="P9" s="76">
        <v>25.4</v>
      </c>
      <c r="Q9" s="76">
        <v>25.4</v>
      </c>
      <c r="R9" s="76">
        <v>25.3</v>
      </c>
      <c r="S9" s="76">
        <v>25</v>
      </c>
      <c r="T9" s="76">
        <v>25.3</v>
      </c>
      <c r="U9" s="76">
        <v>25.6</v>
      </c>
      <c r="V9" s="76">
        <v>24.6</v>
      </c>
      <c r="W9" s="76">
        <v>24.8</v>
      </c>
      <c r="X9" s="76">
        <v>24.6</v>
      </c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2"/>
      <c r="BE9" s="66">
        <f t="shared" si="7"/>
        <v>1</v>
      </c>
      <c r="BF9" s="66" t="str">
        <f t="shared" si="8"/>
        <v/>
      </c>
      <c r="BG9" s="66">
        <f t="shared" si="9"/>
        <v>1</v>
      </c>
      <c r="BH9" s="66">
        <f t="shared" si="10"/>
        <v>1</v>
      </c>
      <c r="BI9" s="66">
        <f t="shared" si="11"/>
        <v>1.0241935483870968</v>
      </c>
      <c r="BJ9" s="66">
        <f t="shared" si="12"/>
        <v>1.0241935483870968</v>
      </c>
      <c r="BK9" s="66">
        <f t="shared" si="13"/>
        <v>1.0201612903225807</v>
      </c>
      <c r="BL9" s="66">
        <f t="shared" si="14"/>
        <v>1.0080645161290323</v>
      </c>
      <c r="BM9" s="66">
        <f t="shared" si="15"/>
        <v>1.0201612903225807</v>
      </c>
      <c r="BN9" s="66">
        <f t="shared" si="16"/>
        <v>1.032258064516129</v>
      </c>
      <c r="BO9" s="66">
        <f t="shared" si="17"/>
        <v>0.99193548387096775</v>
      </c>
      <c r="BP9" s="66">
        <f t="shared" si="18"/>
        <v>1</v>
      </c>
      <c r="BQ9" s="66">
        <f t="shared" si="19"/>
        <v>0.99193548387096775</v>
      </c>
      <c r="BR9" s="66" t="str">
        <f t="shared" si="20"/>
        <v/>
      </c>
      <c r="BS9" s="66" t="str">
        <f t="shared" si="21"/>
        <v/>
      </c>
      <c r="BT9" s="66" t="str">
        <f t="shared" si="22"/>
        <v/>
      </c>
      <c r="BU9" s="66" t="str">
        <f t="shared" si="23"/>
        <v/>
      </c>
      <c r="BV9" s="66" t="str">
        <f t="shared" si="24"/>
        <v/>
      </c>
      <c r="BW9" s="66" t="str">
        <f t="shared" si="25"/>
        <v/>
      </c>
      <c r="BX9" s="66" t="str">
        <f t="shared" si="26"/>
        <v/>
      </c>
      <c r="BY9" s="66" t="str">
        <f t="shared" si="27"/>
        <v/>
      </c>
      <c r="BZ9" s="66" t="str">
        <f t="shared" si="28"/>
        <v/>
      </c>
      <c r="CA9" s="66" t="str">
        <f t="shared" si="29"/>
        <v/>
      </c>
      <c r="CB9" s="66" t="str">
        <f t="shared" si="30"/>
        <v/>
      </c>
      <c r="CC9" s="66" t="str">
        <f t="shared" si="31"/>
        <v/>
      </c>
      <c r="CD9" s="66" t="str">
        <f t="shared" si="32"/>
        <v/>
      </c>
      <c r="CE9" s="66" t="str">
        <f t="shared" si="33"/>
        <v/>
      </c>
      <c r="CF9" s="66" t="str">
        <f t="shared" si="34"/>
        <v/>
      </c>
      <c r="CG9" s="66" t="str">
        <f t="shared" si="35"/>
        <v/>
      </c>
      <c r="CH9" s="66" t="str">
        <f t="shared" si="36"/>
        <v/>
      </c>
      <c r="CI9" s="66" t="str">
        <f t="shared" si="37"/>
        <v/>
      </c>
      <c r="CJ9" s="66" t="str">
        <f t="shared" si="38"/>
        <v/>
      </c>
      <c r="CK9" s="66" t="str">
        <f t="shared" si="39"/>
        <v/>
      </c>
      <c r="CL9" s="66" t="str">
        <f t="shared" si="40"/>
        <v/>
      </c>
      <c r="CM9" s="66" t="str">
        <f t="shared" si="41"/>
        <v/>
      </c>
      <c r="CN9" s="66" t="str">
        <f t="shared" si="42"/>
        <v/>
      </c>
      <c r="CO9" s="66" t="str">
        <f t="shared" si="43"/>
        <v/>
      </c>
      <c r="CP9" s="66" t="str">
        <f t="shared" si="44"/>
        <v/>
      </c>
      <c r="CQ9" s="66" t="str">
        <f t="shared" si="45"/>
        <v/>
      </c>
      <c r="CR9" s="66" t="str">
        <f t="shared" si="45"/>
        <v/>
      </c>
      <c r="CS9" s="66" t="str">
        <f t="shared" si="45"/>
        <v/>
      </c>
      <c r="CT9" s="66" t="str">
        <f t="shared" si="45"/>
        <v/>
      </c>
      <c r="CU9" s="66" t="str">
        <f t="shared" si="45"/>
        <v/>
      </c>
      <c r="CV9" s="66" t="str">
        <f t="shared" si="45"/>
        <v/>
      </c>
      <c r="CW9" s="3"/>
    </row>
    <row r="10" spans="1:101">
      <c r="A10" s="35">
        <v>1066029</v>
      </c>
      <c r="B10" s="1">
        <v>22</v>
      </c>
      <c r="C10" s="25" t="str">
        <f t="shared" si="6"/>
        <v>1066029-22</v>
      </c>
      <c r="D10" s="24" t="s">
        <v>20</v>
      </c>
      <c r="E10" s="32" t="s">
        <v>61</v>
      </c>
      <c r="F10" s="208">
        <v>42850</v>
      </c>
      <c r="G10" s="198" t="s">
        <v>66</v>
      </c>
      <c r="H10" s="76">
        <v>24.8</v>
      </c>
      <c r="I10" s="27">
        <v>42861</v>
      </c>
      <c r="J10" s="76">
        <v>25.8</v>
      </c>
      <c r="K10" s="34"/>
      <c r="L10" s="71">
        <v>25.1</v>
      </c>
      <c r="M10" s="76"/>
      <c r="N10" s="76">
        <v>25.8</v>
      </c>
      <c r="O10" s="76">
        <v>24.7</v>
      </c>
      <c r="P10" s="76">
        <v>25</v>
      </c>
      <c r="Q10" s="76">
        <v>25.8</v>
      </c>
      <c r="R10" s="76">
        <v>24.9</v>
      </c>
      <c r="S10" s="76">
        <v>25.4</v>
      </c>
      <c r="T10" s="76">
        <v>25.9</v>
      </c>
      <c r="U10" s="76">
        <v>26.6</v>
      </c>
      <c r="V10" s="76">
        <v>26.3</v>
      </c>
      <c r="W10" s="76">
        <v>27.4</v>
      </c>
      <c r="X10" s="76">
        <v>26.8</v>
      </c>
      <c r="Y10" s="76">
        <v>27.7</v>
      </c>
      <c r="Z10" s="76">
        <v>27.1</v>
      </c>
      <c r="AA10" s="76">
        <v>27.5</v>
      </c>
      <c r="AB10" s="76">
        <v>27.3</v>
      </c>
      <c r="AC10" s="76">
        <v>27.9</v>
      </c>
      <c r="AD10" s="76">
        <v>26.6</v>
      </c>
      <c r="AE10" s="76">
        <v>28.1</v>
      </c>
      <c r="AF10" s="76">
        <v>28.3</v>
      </c>
      <c r="AG10" s="76">
        <v>28.7</v>
      </c>
      <c r="AH10" s="76">
        <v>28.7</v>
      </c>
      <c r="AI10" s="76">
        <v>28.6</v>
      </c>
      <c r="AJ10" s="76">
        <v>29.4</v>
      </c>
      <c r="AK10" s="76">
        <v>29</v>
      </c>
      <c r="AL10" s="76">
        <v>29</v>
      </c>
      <c r="AM10" s="76">
        <v>28.9</v>
      </c>
      <c r="AN10" s="76">
        <v>28.6</v>
      </c>
      <c r="AO10" s="76">
        <v>29.2</v>
      </c>
      <c r="AP10" s="76">
        <v>29.2</v>
      </c>
      <c r="AQ10" s="76">
        <v>30.4</v>
      </c>
      <c r="AR10" s="76">
        <v>29.3</v>
      </c>
      <c r="AS10" s="76">
        <v>29.6</v>
      </c>
      <c r="AT10" s="76">
        <v>29.6</v>
      </c>
      <c r="AU10" s="76">
        <v>29.1</v>
      </c>
      <c r="AV10" s="76">
        <v>29.7</v>
      </c>
      <c r="AW10" s="76">
        <v>29.6</v>
      </c>
      <c r="AX10" s="76">
        <v>30.2</v>
      </c>
      <c r="AY10" s="76">
        <v>29.8</v>
      </c>
      <c r="AZ10" s="76">
        <v>30.3</v>
      </c>
      <c r="BA10" s="76">
        <v>30.3</v>
      </c>
      <c r="BB10" s="76">
        <v>30.1</v>
      </c>
      <c r="BC10" s="76">
        <v>31</v>
      </c>
      <c r="BD10" s="2"/>
      <c r="BE10" s="66">
        <f t="shared" si="7"/>
        <v>0.97286821705426363</v>
      </c>
      <c r="BF10" s="66" t="str">
        <f t="shared" si="8"/>
        <v/>
      </c>
      <c r="BG10" s="66">
        <f t="shared" si="9"/>
        <v>1</v>
      </c>
      <c r="BH10" s="66">
        <f t="shared" si="10"/>
        <v>0.95736434108527124</v>
      </c>
      <c r="BI10" s="66">
        <f t="shared" si="11"/>
        <v>0.96899224806201545</v>
      </c>
      <c r="BJ10" s="66">
        <f t="shared" si="12"/>
        <v>1</v>
      </c>
      <c r="BK10" s="66">
        <f t="shared" si="13"/>
        <v>0.96511627906976738</v>
      </c>
      <c r="BL10" s="66">
        <f t="shared" si="14"/>
        <v>0.98449612403100772</v>
      </c>
      <c r="BM10" s="66">
        <f t="shared" si="15"/>
        <v>1.0038759689922481</v>
      </c>
      <c r="BN10" s="66">
        <f t="shared" si="16"/>
        <v>1.0310077519379846</v>
      </c>
      <c r="BO10" s="66">
        <f t="shared" si="17"/>
        <v>1.0193798449612403</v>
      </c>
      <c r="BP10" s="66">
        <f t="shared" si="18"/>
        <v>1.0620155038759689</v>
      </c>
      <c r="BQ10" s="66">
        <f t="shared" si="19"/>
        <v>1.0387596899224807</v>
      </c>
      <c r="BR10" s="66">
        <f t="shared" si="20"/>
        <v>1.0736434108527131</v>
      </c>
      <c r="BS10" s="66">
        <f t="shared" si="21"/>
        <v>1.0503875968992249</v>
      </c>
      <c r="BT10" s="66">
        <f t="shared" si="22"/>
        <v>1.0658914728682169</v>
      </c>
      <c r="BU10" s="66">
        <f t="shared" si="23"/>
        <v>1.058139534883721</v>
      </c>
      <c r="BV10" s="66">
        <f t="shared" si="24"/>
        <v>1.0813953488372092</v>
      </c>
      <c r="BW10" s="66">
        <f t="shared" si="25"/>
        <v>1.0310077519379846</v>
      </c>
      <c r="BX10" s="66">
        <f t="shared" si="26"/>
        <v>1.0891472868217054</v>
      </c>
      <c r="BY10" s="66">
        <f t="shared" si="27"/>
        <v>1.0968992248062015</v>
      </c>
      <c r="BZ10" s="66">
        <f t="shared" si="28"/>
        <v>1.1124031007751938</v>
      </c>
      <c r="CA10" s="66">
        <f t="shared" si="29"/>
        <v>1.1124031007751938</v>
      </c>
      <c r="CB10" s="66">
        <f t="shared" si="30"/>
        <v>1.1085271317829457</v>
      </c>
      <c r="CC10" s="66">
        <f t="shared" si="31"/>
        <v>1.13953488372093</v>
      </c>
      <c r="CD10" s="66">
        <f t="shared" si="32"/>
        <v>1.124031007751938</v>
      </c>
      <c r="CE10" s="66">
        <f t="shared" si="33"/>
        <v>1.124031007751938</v>
      </c>
      <c r="CF10" s="66">
        <f t="shared" si="34"/>
        <v>1.1201550387596899</v>
      </c>
      <c r="CG10" s="66">
        <f t="shared" si="35"/>
        <v>1.1085271317829457</v>
      </c>
      <c r="CH10" s="66">
        <f t="shared" si="36"/>
        <v>1.1317829457364341</v>
      </c>
      <c r="CI10" s="66">
        <f t="shared" si="37"/>
        <v>1.1317829457364341</v>
      </c>
      <c r="CJ10" s="66">
        <f t="shared" si="38"/>
        <v>1.1782945736434107</v>
      </c>
      <c r="CK10" s="66">
        <f t="shared" si="39"/>
        <v>1.1356589147286822</v>
      </c>
      <c r="CL10" s="66">
        <f t="shared" si="40"/>
        <v>1.1472868217054264</v>
      </c>
      <c r="CM10" s="66">
        <f t="shared" si="41"/>
        <v>1.1472868217054264</v>
      </c>
      <c r="CN10" s="66">
        <f t="shared" si="42"/>
        <v>1.1279069767441861</v>
      </c>
      <c r="CO10" s="66">
        <f t="shared" si="43"/>
        <v>1.1511627906976745</v>
      </c>
      <c r="CP10" s="66">
        <f t="shared" si="44"/>
        <v>1.1472868217054264</v>
      </c>
      <c r="CQ10" s="66">
        <f t="shared" si="45"/>
        <v>1.1705426356589146</v>
      </c>
      <c r="CR10" s="66">
        <f t="shared" si="45"/>
        <v>1.1550387596899225</v>
      </c>
      <c r="CS10" s="66">
        <f t="shared" si="45"/>
        <v>1.1744186046511629</v>
      </c>
      <c r="CT10" s="66">
        <f t="shared" si="45"/>
        <v>1.1744186046511629</v>
      </c>
      <c r="CU10" s="66">
        <f t="shared" si="45"/>
        <v>1.1666666666666667</v>
      </c>
      <c r="CV10" s="66">
        <f t="shared" si="45"/>
        <v>1.2015503875968991</v>
      </c>
      <c r="CW10" s="3"/>
    </row>
    <row r="11" spans="1:101">
      <c r="A11" s="35">
        <v>1066029</v>
      </c>
      <c r="B11" s="1">
        <v>23</v>
      </c>
      <c r="C11" s="25" t="str">
        <f t="shared" si="6"/>
        <v>1066029-23</v>
      </c>
      <c r="D11" s="24" t="s">
        <v>20</v>
      </c>
      <c r="E11" s="32" t="s">
        <v>61</v>
      </c>
      <c r="F11" s="208">
        <v>42850</v>
      </c>
      <c r="G11" s="198" t="s">
        <v>66</v>
      </c>
      <c r="H11" s="76">
        <v>27.6</v>
      </c>
      <c r="I11" s="27">
        <v>42861</v>
      </c>
      <c r="J11" s="76">
        <v>28.4</v>
      </c>
      <c r="K11" s="34"/>
      <c r="L11" s="71">
        <v>28.5</v>
      </c>
      <c r="M11" s="76"/>
      <c r="N11" s="76">
        <v>28.4</v>
      </c>
      <c r="O11" s="76">
        <v>26.4</v>
      </c>
      <c r="P11" s="76">
        <v>26.4</v>
      </c>
      <c r="Q11" s="76">
        <v>26.3</v>
      </c>
      <c r="R11" s="76">
        <v>26.1</v>
      </c>
      <c r="S11" s="76">
        <v>26.3</v>
      </c>
      <c r="T11" s="76">
        <v>26.5</v>
      </c>
      <c r="U11" s="76">
        <v>28.7</v>
      </c>
      <c r="V11" s="76">
        <v>28.3</v>
      </c>
      <c r="W11" s="76">
        <v>29.8</v>
      </c>
      <c r="X11" s="76">
        <v>28.6</v>
      </c>
      <c r="Y11" s="76">
        <v>29.9</v>
      </c>
      <c r="Z11" s="76">
        <v>28.7</v>
      </c>
      <c r="AA11" s="76">
        <v>28.1</v>
      </c>
      <c r="AB11" s="76">
        <v>28.8</v>
      </c>
      <c r="AC11" s="76">
        <v>30</v>
      </c>
      <c r="AD11" s="76">
        <v>28.7</v>
      </c>
      <c r="AE11" s="76">
        <v>29.8</v>
      </c>
      <c r="AF11" s="76">
        <v>29.8</v>
      </c>
      <c r="AG11" s="76">
        <v>30.2</v>
      </c>
      <c r="AH11" s="76">
        <v>30.5</v>
      </c>
      <c r="AI11" s="76">
        <v>30.5</v>
      </c>
      <c r="AJ11" s="76">
        <v>31.1</v>
      </c>
      <c r="AK11" s="76">
        <v>29.7</v>
      </c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2"/>
      <c r="BE11" s="66">
        <f t="shared" si="7"/>
        <v>1.0035211267605635</v>
      </c>
      <c r="BF11" s="66" t="str">
        <f t="shared" si="8"/>
        <v/>
      </c>
      <c r="BG11" s="66">
        <f t="shared" si="9"/>
        <v>1</v>
      </c>
      <c r="BH11" s="66">
        <f t="shared" si="10"/>
        <v>0.92957746478873238</v>
      </c>
      <c r="BI11" s="66">
        <f t="shared" si="11"/>
        <v>0.92957746478873238</v>
      </c>
      <c r="BJ11" s="66">
        <f t="shared" si="12"/>
        <v>0.92605633802816911</v>
      </c>
      <c r="BK11" s="66">
        <f t="shared" si="13"/>
        <v>0.91901408450704236</v>
      </c>
      <c r="BL11" s="66">
        <f t="shared" si="14"/>
        <v>0.92605633802816911</v>
      </c>
      <c r="BM11" s="66">
        <f t="shared" si="15"/>
        <v>0.93309859154929586</v>
      </c>
      <c r="BN11" s="66">
        <f t="shared" si="16"/>
        <v>1.0105633802816902</v>
      </c>
      <c r="BO11" s="66">
        <f t="shared" si="17"/>
        <v>0.99647887323943674</v>
      </c>
      <c r="BP11" s="66">
        <f t="shared" si="18"/>
        <v>1.0492957746478875</v>
      </c>
      <c r="BQ11" s="66">
        <f t="shared" si="19"/>
        <v>1.0070422535211268</v>
      </c>
      <c r="BR11" s="66">
        <f t="shared" si="20"/>
        <v>1.0528169014084507</v>
      </c>
      <c r="BS11" s="66">
        <f t="shared" si="21"/>
        <v>1.0105633802816902</v>
      </c>
      <c r="BT11" s="66">
        <f t="shared" si="22"/>
        <v>0.98943661971830998</v>
      </c>
      <c r="BU11" s="66">
        <f t="shared" si="23"/>
        <v>1.0140845070422535</v>
      </c>
      <c r="BV11" s="66">
        <f t="shared" si="24"/>
        <v>1.0563380281690142</v>
      </c>
      <c r="BW11" s="66">
        <f t="shared" si="25"/>
        <v>1.0105633802816902</v>
      </c>
      <c r="BX11" s="66">
        <f t="shared" si="26"/>
        <v>1.0492957746478875</v>
      </c>
      <c r="BY11" s="66">
        <f t="shared" si="27"/>
        <v>1.0492957746478875</v>
      </c>
      <c r="BZ11" s="66">
        <f t="shared" si="28"/>
        <v>1.063380281690141</v>
      </c>
      <c r="CA11" s="66">
        <f t="shared" si="29"/>
        <v>1.073943661971831</v>
      </c>
      <c r="CB11" s="66">
        <f t="shared" si="30"/>
        <v>1.073943661971831</v>
      </c>
      <c r="CC11" s="66">
        <f t="shared" si="31"/>
        <v>1.0950704225352115</v>
      </c>
      <c r="CD11" s="66">
        <f t="shared" si="32"/>
        <v>1.045774647887324</v>
      </c>
      <c r="CE11" s="66" t="str">
        <f t="shared" si="33"/>
        <v/>
      </c>
      <c r="CF11" s="66" t="str">
        <f t="shared" si="34"/>
        <v/>
      </c>
      <c r="CG11" s="66" t="str">
        <f t="shared" si="35"/>
        <v/>
      </c>
      <c r="CH11" s="66" t="str">
        <f t="shared" si="36"/>
        <v/>
      </c>
      <c r="CI11" s="66" t="str">
        <f t="shared" si="37"/>
        <v/>
      </c>
      <c r="CJ11" s="66" t="str">
        <f t="shared" si="38"/>
        <v/>
      </c>
      <c r="CK11" s="66" t="str">
        <f t="shared" si="39"/>
        <v/>
      </c>
      <c r="CL11" s="66" t="str">
        <f t="shared" si="40"/>
        <v/>
      </c>
      <c r="CM11" s="66" t="str">
        <f t="shared" si="41"/>
        <v/>
      </c>
      <c r="CN11" s="66" t="str">
        <f t="shared" si="42"/>
        <v/>
      </c>
      <c r="CO11" s="66" t="str">
        <f t="shared" si="43"/>
        <v/>
      </c>
      <c r="CP11" s="66" t="str">
        <f t="shared" si="44"/>
        <v/>
      </c>
      <c r="CQ11" s="66" t="str">
        <f t="shared" si="45"/>
        <v/>
      </c>
      <c r="CR11" s="66" t="str">
        <f t="shared" si="45"/>
        <v/>
      </c>
      <c r="CS11" s="66" t="str">
        <f t="shared" si="45"/>
        <v/>
      </c>
      <c r="CT11" s="66" t="str">
        <f t="shared" si="45"/>
        <v/>
      </c>
      <c r="CU11" s="66" t="str">
        <f t="shared" si="45"/>
        <v/>
      </c>
      <c r="CV11" s="66" t="str">
        <f t="shared" si="45"/>
        <v/>
      </c>
      <c r="CW11" s="3"/>
    </row>
    <row r="12" spans="1:101">
      <c r="A12" s="35">
        <v>1066029</v>
      </c>
      <c r="B12" s="1">
        <v>24</v>
      </c>
      <c r="C12" s="25" t="str">
        <f t="shared" si="6"/>
        <v>1066029-24</v>
      </c>
      <c r="D12" s="24" t="s">
        <v>20</v>
      </c>
      <c r="E12" s="32" t="s">
        <v>62</v>
      </c>
      <c r="F12" s="208">
        <v>42850</v>
      </c>
      <c r="G12" s="198" t="s">
        <v>66</v>
      </c>
      <c r="H12" s="76">
        <v>29.7</v>
      </c>
      <c r="I12" s="27">
        <v>42861</v>
      </c>
      <c r="J12" s="76">
        <v>33</v>
      </c>
      <c r="K12" s="34"/>
      <c r="L12" s="71">
        <v>31.4</v>
      </c>
      <c r="M12" s="76"/>
      <c r="N12" s="76">
        <v>33</v>
      </c>
      <c r="O12" s="76">
        <v>31.7</v>
      </c>
      <c r="P12" s="76">
        <v>31.4</v>
      </c>
      <c r="Q12" s="76">
        <v>31.2</v>
      </c>
      <c r="R12" s="76">
        <v>31.2</v>
      </c>
      <c r="S12" s="76">
        <v>30.8</v>
      </c>
      <c r="T12" s="76">
        <v>30.1</v>
      </c>
      <c r="U12" s="76">
        <v>32.5</v>
      </c>
      <c r="V12" s="76">
        <v>31.1</v>
      </c>
      <c r="W12" s="76">
        <v>32.6</v>
      </c>
      <c r="X12" s="76">
        <v>32.1</v>
      </c>
      <c r="Y12" s="76">
        <v>32.799999999999997</v>
      </c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2"/>
      <c r="BE12" s="66">
        <f t="shared" si="7"/>
        <v>0.95151515151515142</v>
      </c>
      <c r="BF12" s="66" t="str">
        <f t="shared" si="8"/>
        <v/>
      </c>
      <c r="BG12" s="66">
        <f t="shared" si="9"/>
        <v>1</v>
      </c>
      <c r="BH12" s="66">
        <f t="shared" si="10"/>
        <v>0.96060606060606057</v>
      </c>
      <c r="BI12" s="66">
        <f t="shared" si="11"/>
        <v>0.95151515151515142</v>
      </c>
      <c r="BJ12" s="66">
        <f t="shared" si="12"/>
        <v>0.94545454545454544</v>
      </c>
      <c r="BK12" s="66">
        <f t="shared" si="13"/>
        <v>0.94545454545454544</v>
      </c>
      <c r="BL12" s="66">
        <f t="shared" si="14"/>
        <v>0.93333333333333335</v>
      </c>
      <c r="BM12" s="66">
        <f t="shared" si="15"/>
        <v>0.91212121212121211</v>
      </c>
      <c r="BN12" s="66">
        <f t="shared" si="16"/>
        <v>0.98484848484848486</v>
      </c>
      <c r="BO12" s="66">
        <f t="shared" si="17"/>
        <v>0.9424242424242425</v>
      </c>
      <c r="BP12" s="66">
        <f t="shared" si="18"/>
        <v>0.98787878787878791</v>
      </c>
      <c r="BQ12" s="66">
        <f t="shared" si="19"/>
        <v>0.97272727272727277</v>
      </c>
      <c r="BR12" s="66">
        <f t="shared" si="20"/>
        <v>0.9939393939393939</v>
      </c>
      <c r="BS12" s="66" t="str">
        <f t="shared" si="21"/>
        <v/>
      </c>
      <c r="BT12" s="66" t="str">
        <f t="shared" si="22"/>
        <v/>
      </c>
      <c r="BU12" s="66" t="str">
        <f t="shared" si="23"/>
        <v/>
      </c>
      <c r="BV12" s="66" t="str">
        <f t="shared" si="24"/>
        <v/>
      </c>
      <c r="BW12" s="66" t="str">
        <f t="shared" si="25"/>
        <v/>
      </c>
      <c r="BX12" s="66" t="str">
        <f t="shared" si="26"/>
        <v/>
      </c>
      <c r="BY12" s="66" t="str">
        <f t="shared" si="27"/>
        <v/>
      </c>
      <c r="BZ12" s="66" t="str">
        <f t="shared" si="28"/>
        <v/>
      </c>
      <c r="CA12" s="66" t="str">
        <f t="shared" si="29"/>
        <v/>
      </c>
      <c r="CB12" s="66" t="str">
        <f t="shared" si="30"/>
        <v/>
      </c>
      <c r="CC12" s="66" t="str">
        <f t="shared" si="31"/>
        <v/>
      </c>
      <c r="CD12" s="66" t="str">
        <f t="shared" si="32"/>
        <v/>
      </c>
      <c r="CE12" s="66" t="str">
        <f t="shared" si="33"/>
        <v/>
      </c>
      <c r="CF12" s="66" t="str">
        <f t="shared" si="34"/>
        <v/>
      </c>
      <c r="CG12" s="66" t="str">
        <f t="shared" si="35"/>
        <v/>
      </c>
      <c r="CH12" s="66" t="str">
        <f t="shared" si="36"/>
        <v/>
      </c>
      <c r="CI12" s="66" t="str">
        <f t="shared" si="37"/>
        <v/>
      </c>
      <c r="CJ12" s="66" t="str">
        <f t="shared" si="38"/>
        <v/>
      </c>
      <c r="CK12" s="66" t="str">
        <f t="shared" si="39"/>
        <v/>
      </c>
      <c r="CL12" s="66" t="str">
        <f t="shared" si="40"/>
        <v/>
      </c>
      <c r="CM12" s="66" t="str">
        <f t="shared" si="41"/>
        <v/>
      </c>
      <c r="CN12" s="66" t="str">
        <f t="shared" si="42"/>
        <v/>
      </c>
      <c r="CO12" s="66" t="str">
        <f t="shared" si="43"/>
        <v/>
      </c>
      <c r="CP12" s="66" t="str">
        <f t="shared" si="44"/>
        <v/>
      </c>
      <c r="CQ12" s="66" t="str">
        <f t="shared" si="45"/>
        <v/>
      </c>
      <c r="CR12" s="66" t="str">
        <f t="shared" si="45"/>
        <v/>
      </c>
      <c r="CS12" s="66" t="str">
        <f t="shared" si="45"/>
        <v/>
      </c>
      <c r="CT12" s="66" t="str">
        <f t="shared" si="45"/>
        <v/>
      </c>
      <c r="CU12" s="66" t="str">
        <f t="shared" si="45"/>
        <v/>
      </c>
      <c r="CV12" s="66" t="str">
        <f t="shared" si="45"/>
        <v/>
      </c>
      <c r="CW12" s="3"/>
    </row>
    <row r="13" spans="1:101">
      <c r="A13" s="35">
        <v>1066029</v>
      </c>
      <c r="B13" s="1">
        <v>25</v>
      </c>
      <c r="C13" s="25" t="str">
        <f t="shared" si="6"/>
        <v>1066029-25</v>
      </c>
      <c r="D13" s="24" t="s">
        <v>20</v>
      </c>
      <c r="E13" s="32" t="s">
        <v>72</v>
      </c>
      <c r="F13" s="208">
        <v>42850</v>
      </c>
      <c r="G13" s="198" t="s">
        <v>66</v>
      </c>
      <c r="H13" s="76">
        <v>28.5</v>
      </c>
      <c r="I13" s="27">
        <v>42861</v>
      </c>
      <c r="J13" s="76">
        <v>30.2</v>
      </c>
      <c r="K13" s="34"/>
      <c r="L13" s="71">
        <v>30.2</v>
      </c>
      <c r="M13" s="76"/>
      <c r="N13" s="76">
        <v>30.2</v>
      </c>
      <c r="O13" s="76">
        <v>28.9</v>
      </c>
      <c r="P13" s="76">
        <v>29.6</v>
      </c>
      <c r="Q13" s="76">
        <v>28.7</v>
      </c>
      <c r="R13" s="76">
        <v>27.5</v>
      </c>
      <c r="S13" s="76">
        <v>27.9</v>
      </c>
      <c r="T13" s="76">
        <v>27.4</v>
      </c>
      <c r="U13" s="76">
        <v>30.7</v>
      </c>
      <c r="V13" s="76">
        <v>30.1</v>
      </c>
      <c r="W13" s="76">
        <v>31.8</v>
      </c>
      <c r="X13" s="76">
        <v>30.3</v>
      </c>
      <c r="Y13" s="76">
        <v>31.5</v>
      </c>
      <c r="Z13" s="76">
        <v>30.3</v>
      </c>
      <c r="AA13" s="76">
        <v>30.1</v>
      </c>
      <c r="AB13" s="76">
        <v>29.7</v>
      </c>
      <c r="AC13" s="76">
        <v>31.5</v>
      </c>
      <c r="AD13" s="76">
        <v>30.4</v>
      </c>
      <c r="AE13" s="76">
        <v>31</v>
      </c>
      <c r="AF13" s="76">
        <v>31.2</v>
      </c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2"/>
      <c r="BE13" s="66">
        <f t="shared" si="7"/>
        <v>1</v>
      </c>
      <c r="BF13" s="66" t="str">
        <f t="shared" si="8"/>
        <v/>
      </c>
      <c r="BG13" s="66">
        <f t="shared" si="9"/>
        <v>1</v>
      </c>
      <c r="BH13" s="66">
        <f t="shared" si="10"/>
        <v>0.95695364238410596</v>
      </c>
      <c r="BI13" s="66">
        <f t="shared" si="11"/>
        <v>0.98013245033112595</v>
      </c>
      <c r="BJ13" s="66">
        <f t="shared" si="12"/>
        <v>0.95033112582781454</v>
      </c>
      <c r="BK13" s="66">
        <f t="shared" si="13"/>
        <v>0.91059602649006621</v>
      </c>
      <c r="BL13" s="66">
        <f t="shared" si="14"/>
        <v>0.92384105960264895</v>
      </c>
      <c r="BM13" s="66">
        <f t="shared" si="15"/>
        <v>0.9072847682119205</v>
      </c>
      <c r="BN13" s="66">
        <f t="shared" si="16"/>
        <v>1.0165562913907285</v>
      </c>
      <c r="BO13" s="66">
        <f t="shared" si="17"/>
        <v>0.9966887417218544</v>
      </c>
      <c r="BP13" s="66">
        <f t="shared" si="18"/>
        <v>1.0529801324503312</v>
      </c>
      <c r="BQ13" s="66">
        <f t="shared" si="19"/>
        <v>1.0033112582781458</v>
      </c>
      <c r="BR13" s="66">
        <f t="shared" si="20"/>
        <v>1.0430463576158941</v>
      </c>
      <c r="BS13" s="66">
        <f t="shared" si="21"/>
        <v>1.0033112582781458</v>
      </c>
      <c r="BT13" s="66">
        <f t="shared" si="22"/>
        <v>0.9966887417218544</v>
      </c>
      <c r="BU13" s="66">
        <f t="shared" si="23"/>
        <v>0.98344370860927155</v>
      </c>
      <c r="BV13" s="66">
        <f t="shared" si="24"/>
        <v>1.0430463576158941</v>
      </c>
      <c r="BW13" s="66">
        <f t="shared" si="25"/>
        <v>1.0066225165562914</v>
      </c>
      <c r="BX13" s="66">
        <f t="shared" si="26"/>
        <v>1.0264900662251655</v>
      </c>
      <c r="BY13" s="66">
        <f t="shared" si="27"/>
        <v>1.0331125827814569</v>
      </c>
      <c r="BZ13" s="66" t="str">
        <f t="shared" si="28"/>
        <v/>
      </c>
      <c r="CA13" s="66" t="str">
        <f t="shared" si="29"/>
        <v/>
      </c>
      <c r="CB13" s="66" t="str">
        <f t="shared" si="30"/>
        <v/>
      </c>
      <c r="CC13" s="66" t="str">
        <f t="shared" si="31"/>
        <v/>
      </c>
      <c r="CD13" s="66" t="str">
        <f t="shared" si="32"/>
        <v/>
      </c>
      <c r="CE13" s="66" t="str">
        <f t="shared" si="33"/>
        <v/>
      </c>
      <c r="CF13" s="66" t="str">
        <f t="shared" si="34"/>
        <v/>
      </c>
      <c r="CG13" s="66" t="str">
        <f t="shared" si="35"/>
        <v/>
      </c>
      <c r="CH13" s="66" t="str">
        <f t="shared" si="36"/>
        <v/>
      </c>
      <c r="CI13" s="66" t="str">
        <f t="shared" si="37"/>
        <v/>
      </c>
      <c r="CJ13" s="66" t="str">
        <f t="shared" si="38"/>
        <v/>
      </c>
      <c r="CK13" s="66" t="str">
        <f t="shared" si="39"/>
        <v/>
      </c>
      <c r="CL13" s="66" t="str">
        <f t="shared" si="40"/>
        <v/>
      </c>
      <c r="CM13" s="66" t="str">
        <f t="shared" si="41"/>
        <v/>
      </c>
      <c r="CN13" s="66" t="str">
        <f t="shared" si="42"/>
        <v/>
      </c>
      <c r="CO13" s="66" t="str">
        <f t="shared" si="43"/>
        <v/>
      </c>
      <c r="CP13" s="66" t="str">
        <f t="shared" si="44"/>
        <v/>
      </c>
      <c r="CQ13" s="66" t="str">
        <f t="shared" si="45"/>
        <v/>
      </c>
      <c r="CR13" s="66" t="str">
        <f t="shared" si="45"/>
        <v/>
      </c>
      <c r="CS13" s="66" t="str">
        <f t="shared" si="45"/>
        <v/>
      </c>
      <c r="CT13" s="66" t="str">
        <f t="shared" si="45"/>
        <v/>
      </c>
      <c r="CU13" s="66" t="str">
        <f t="shared" si="45"/>
        <v/>
      </c>
      <c r="CV13" s="66" t="str">
        <f t="shared" si="45"/>
        <v/>
      </c>
      <c r="CW13" s="3"/>
    </row>
    <row r="14" spans="1:101">
      <c r="A14" s="35">
        <v>1066030</v>
      </c>
      <c r="B14" s="1">
        <v>31</v>
      </c>
      <c r="C14" s="25" t="str">
        <f t="shared" si="6"/>
        <v>1066030-31</v>
      </c>
      <c r="D14" s="24" t="s">
        <v>20</v>
      </c>
      <c r="E14" s="32" t="s">
        <v>64</v>
      </c>
      <c r="F14" s="208">
        <v>42850</v>
      </c>
      <c r="G14" s="198" t="s">
        <v>66</v>
      </c>
      <c r="H14" s="76">
        <v>27.3</v>
      </c>
      <c r="I14" s="27">
        <v>42861</v>
      </c>
      <c r="J14" s="76">
        <v>28.8</v>
      </c>
      <c r="K14" s="34"/>
      <c r="L14" s="71">
        <v>27.8</v>
      </c>
      <c r="M14" s="76"/>
      <c r="N14" s="76">
        <v>28.8</v>
      </c>
      <c r="O14" s="76">
        <v>27.9</v>
      </c>
      <c r="P14" s="76">
        <v>28.6</v>
      </c>
      <c r="Q14" s="76">
        <v>28.7</v>
      </c>
      <c r="R14" s="76">
        <v>27.8</v>
      </c>
      <c r="S14" s="76">
        <v>28.1</v>
      </c>
      <c r="T14" s="76">
        <v>28.1</v>
      </c>
      <c r="U14" s="76">
        <v>29</v>
      </c>
      <c r="V14" s="76">
        <v>27.7</v>
      </c>
      <c r="W14" s="76">
        <v>27.7</v>
      </c>
      <c r="X14" s="76">
        <v>26.9</v>
      </c>
      <c r="Y14" s="76">
        <v>25.6</v>
      </c>
      <c r="Z14" s="76">
        <v>25.4</v>
      </c>
      <c r="AA14" s="76">
        <v>25.7</v>
      </c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2"/>
      <c r="BE14" s="66">
        <f t="shared" si="7"/>
        <v>0.96527777777777779</v>
      </c>
      <c r="BF14" s="66" t="str">
        <f t="shared" si="8"/>
        <v/>
      </c>
      <c r="BG14" s="66">
        <f t="shared" si="9"/>
        <v>1</v>
      </c>
      <c r="BH14" s="66">
        <f t="shared" si="10"/>
        <v>0.96874999999999989</v>
      </c>
      <c r="BI14" s="66">
        <f t="shared" si="11"/>
        <v>0.99305555555555558</v>
      </c>
      <c r="BJ14" s="66">
        <f t="shared" si="12"/>
        <v>0.99652777777777768</v>
      </c>
      <c r="BK14" s="66">
        <f t="shared" si="13"/>
        <v>0.96527777777777779</v>
      </c>
      <c r="BL14" s="66">
        <f t="shared" si="14"/>
        <v>0.97569444444444442</v>
      </c>
      <c r="BM14" s="66">
        <f t="shared" si="15"/>
        <v>0.97569444444444442</v>
      </c>
      <c r="BN14" s="66">
        <f t="shared" si="16"/>
        <v>1.0069444444444444</v>
      </c>
      <c r="BO14" s="66">
        <f t="shared" si="17"/>
        <v>0.96180555555555547</v>
      </c>
      <c r="BP14" s="66">
        <f t="shared" si="18"/>
        <v>0.96180555555555547</v>
      </c>
      <c r="BQ14" s="66">
        <f t="shared" si="19"/>
        <v>0.93402777777777768</v>
      </c>
      <c r="BR14" s="66">
        <f t="shared" si="20"/>
        <v>0.88888888888888895</v>
      </c>
      <c r="BS14" s="66">
        <f t="shared" si="21"/>
        <v>0.88194444444444442</v>
      </c>
      <c r="BT14" s="66">
        <f t="shared" si="22"/>
        <v>0.89236111111111105</v>
      </c>
      <c r="BU14" s="66" t="str">
        <f t="shared" si="23"/>
        <v/>
      </c>
      <c r="BV14" s="66" t="str">
        <f t="shared" si="24"/>
        <v/>
      </c>
      <c r="BW14" s="66" t="str">
        <f t="shared" si="25"/>
        <v/>
      </c>
      <c r="BX14" s="66" t="str">
        <f t="shared" si="26"/>
        <v/>
      </c>
      <c r="BY14" s="66" t="str">
        <f t="shared" si="27"/>
        <v/>
      </c>
      <c r="BZ14" s="66" t="str">
        <f t="shared" si="28"/>
        <v/>
      </c>
      <c r="CA14" s="66" t="str">
        <f t="shared" si="29"/>
        <v/>
      </c>
      <c r="CB14" s="66" t="str">
        <f t="shared" si="30"/>
        <v/>
      </c>
      <c r="CC14" s="66" t="str">
        <f t="shared" si="31"/>
        <v/>
      </c>
      <c r="CD14" s="66" t="str">
        <f t="shared" si="32"/>
        <v/>
      </c>
      <c r="CE14" s="66" t="str">
        <f t="shared" si="33"/>
        <v/>
      </c>
      <c r="CF14" s="66" t="str">
        <f t="shared" si="34"/>
        <v/>
      </c>
      <c r="CG14" s="66" t="str">
        <f t="shared" si="35"/>
        <v/>
      </c>
      <c r="CH14" s="66" t="str">
        <f t="shared" si="36"/>
        <v/>
      </c>
      <c r="CI14" s="66" t="str">
        <f t="shared" si="37"/>
        <v/>
      </c>
      <c r="CJ14" s="66" t="str">
        <f t="shared" si="38"/>
        <v/>
      </c>
      <c r="CK14" s="66" t="str">
        <f t="shared" si="39"/>
        <v/>
      </c>
      <c r="CL14" s="66" t="str">
        <f t="shared" si="40"/>
        <v/>
      </c>
      <c r="CM14" s="66" t="str">
        <f t="shared" si="41"/>
        <v/>
      </c>
      <c r="CN14" s="66" t="str">
        <f t="shared" si="42"/>
        <v/>
      </c>
      <c r="CO14" s="66" t="str">
        <f t="shared" si="43"/>
        <v/>
      </c>
      <c r="CP14" s="66" t="str">
        <f t="shared" si="44"/>
        <v/>
      </c>
      <c r="CQ14" s="66" t="str">
        <f t="shared" si="45"/>
        <v/>
      </c>
      <c r="CR14" s="66" t="str">
        <f t="shared" si="45"/>
        <v/>
      </c>
      <c r="CS14" s="66" t="str">
        <f t="shared" si="45"/>
        <v/>
      </c>
      <c r="CT14" s="66" t="str">
        <f t="shared" si="45"/>
        <v/>
      </c>
      <c r="CU14" s="66" t="str">
        <f t="shared" si="45"/>
        <v/>
      </c>
      <c r="CV14" s="66" t="str">
        <f t="shared" si="45"/>
        <v/>
      </c>
      <c r="CW14" s="3"/>
    </row>
    <row r="15" spans="1:101">
      <c r="A15" s="35">
        <v>1066030</v>
      </c>
      <c r="B15" s="1">
        <v>32</v>
      </c>
      <c r="C15" s="25" t="str">
        <f t="shared" si="6"/>
        <v>1066030-32</v>
      </c>
      <c r="D15" s="24" t="s">
        <v>20</v>
      </c>
      <c r="E15" s="32" t="s">
        <v>64</v>
      </c>
      <c r="F15" s="208">
        <v>42850</v>
      </c>
      <c r="G15" s="198" t="s">
        <v>66</v>
      </c>
      <c r="H15" s="76">
        <v>26.5</v>
      </c>
      <c r="I15" s="27">
        <v>42861</v>
      </c>
      <c r="J15" s="76">
        <v>28</v>
      </c>
      <c r="K15" s="34"/>
      <c r="L15" s="71">
        <v>27.4</v>
      </c>
      <c r="M15" s="76"/>
      <c r="N15" s="76">
        <v>28</v>
      </c>
      <c r="O15" s="76">
        <v>27.2</v>
      </c>
      <c r="P15" s="76">
        <v>27.2</v>
      </c>
      <c r="Q15" s="76">
        <v>27.4</v>
      </c>
      <c r="R15" s="76">
        <v>26.4</v>
      </c>
      <c r="S15" s="76">
        <v>26.5</v>
      </c>
      <c r="T15" s="76">
        <v>27.2</v>
      </c>
      <c r="U15" s="76">
        <v>29.2</v>
      </c>
      <c r="V15" s="76">
        <v>27.9</v>
      </c>
      <c r="W15" s="76">
        <v>29.5</v>
      </c>
      <c r="X15" s="76">
        <v>28.7</v>
      </c>
      <c r="Y15" s="76">
        <v>29</v>
      </c>
      <c r="Z15" s="76">
        <v>28.1</v>
      </c>
      <c r="AA15" s="76">
        <v>27.8</v>
      </c>
      <c r="AB15" s="76">
        <v>28.2</v>
      </c>
      <c r="AC15" s="76">
        <v>30</v>
      </c>
      <c r="AD15" s="76">
        <v>29</v>
      </c>
      <c r="AE15" s="76">
        <v>30.4</v>
      </c>
      <c r="AF15" s="76">
        <v>30.6</v>
      </c>
      <c r="AG15" s="76">
        <v>30.4</v>
      </c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2"/>
      <c r="BE15" s="66">
        <f t="shared" si="7"/>
        <v>0.97857142857142854</v>
      </c>
      <c r="BF15" s="66" t="str">
        <f t="shared" si="8"/>
        <v/>
      </c>
      <c r="BG15" s="66">
        <f t="shared" si="9"/>
        <v>1</v>
      </c>
      <c r="BH15" s="66">
        <f t="shared" si="10"/>
        <v>0.97142857142857142</v>
      </c>
      <c r="BI15" s="66">
        <f t="shared" si="11"/>
        <v>0.97142857142857142</v>
      </c>
      <c r="BJ15" s="66">
        <f t="shared" si="12"/>
        <v>0.97857142857142854</v>
      </c>
      <c r="BK15" s="66">
        <f t="shared" si="13"/>
        <v>0.94285714285714284</v>
      </c>
      <c r="BL15" s="66">
        <f t="shared" si="14"/>
        <v>0.9464285714285714</v>
      </c>
      <c r="BM15" s="66">
        <f t="shared" si="15"/>
        <v>0.97142857142857142</v>
      </c>
      <c r="BN15" s="66">
        <f t="shared" si="16"/>
        <v>1.0428571428571429</v>
      </c>
      <c r="BO15" s="66">
        <f t="shared" si="17"/>
        <v>0.99642857142857133</v>
      </c>
      <c r="BP15" s="66">
        <f t="shared" si="18"/>
        <v>1.0535714285714286</v>
      </c>
      <c r="BQ15" s="66">
        <f t="shared" si="19"/>
        <v>1.0249999999999999</v>
      </c>
      <c r="BR15" s="66">
        <f t="shared" si="20"/>
        <v>1.0357142857142858</v>
      </c>
      <c r="BS15" s="66">
        <f t="shared" si="21"/>
        <v>1.0035714285714286</v>
      </c>
      <c r="BT15" s="66">
        <f t="shared" si="22"/>
        <v>0.99285714285714288</v>
      </c>
      <c r="BU15" s="66">
        <f t="shared" si="23"/>
        <v>1.0071428571428571</v>
      </c>
      <c r="BV15" s="66">
        <f t="shared" si="24"/>
        <v>1.0714285714285714</v>
      </c>
      <c r="BW15" s="66">
        <f t="shared" si="25"/>
        <v>1.0357142857142858</v>
      </c>
      <c r="BX15" s="66">
        <f t="shared" si="26"/>
        <v>1.0857142857142856</v>
      </c>
      <c r="BY15" s="66">
        <f t="shared" si="27"/>
        <v>1.092857142857143</v>
      </c>
      <c r="BZ15" s="66">
        <f t="shared" si="28"/>
        <v>1.0857142857142856</v>
      </c>
      <c r="CA15" s="66" t="str">
        <f t="shared" si="29"/>
        <v/>
      </c>
      <c r="CB15" s="66" t="str">
        <f t="shared" si="30"/>
        <v/>
      </c>
      <c r="CC15" s="66" t="str">
        <f t="shared" si="31"/>
        <v/>
      </c>
      <c r="CD15" s="66" t="str">
        <f t="shared" si="32"/>
        <v/>
      </c>
      <c r="CE15" s="66" t="str">
        <f t="shared" si="33"/>
        <v/>
      </c>
      <c r="CF15" s="66" t="str">
        <f t="shared" si="34"/>
        <v/>
      </c>
      <c r="CG15" s="66" t="str">
        <f t="shared" si="35"/>
        <v/>
      </c>
      <c r="CH15" s="66" t="str">
        <f t="shared" si="36"/>
        <v/>
      </c>
      <c r="CI15" s="66" t="str">
        <f t="shared" si="37"/>
        <v/>
      </c>
      <c r="CJ15" s="66" t="str">
        <f t="shared" si="38"/>
        <v/>
      </c>
      <c r="CK15" s="66" t="str">
        <f t="shared" si="39"/>
        <v/>
      </c>
      <c r="CL15" s="66" t="str">
        <f t="shared" si="40"/>
        <v/>
      </c>
      <c r="CM15" s="66" t="str">
        <f t="shared" si="41"/>
        <v/>
      </c>
      <c r="CN15" s="66" t="str">
        <f t="shared" si="42"/>
        <v/>
      </c>
      <c r="CO15" s="66" t="str">
        <f t="shared" si="43"/>
        <v/>
      </c>
      <c r="CP15" s="66" t="str">
        <f t="shared" si="44"/>
        <v/>
      </c>
      <c r="CQ15" s="66" t="str">
        <f t="shared" si="45"/>
        <v/>
      </c>
      <c r="CR15" s="66" t="str">
        <f t="shared" si="45"/>
        <v/>
      </c>
      <c r="CS15" s="66" t="str">
        <f t="shared" si="45"/>
        <v/>
      </c>
      <c r="CT15" s="66" t="str">
        <f t="shared" si="45"/>
        <v/>
      </c>
      <c r="CU15" s="66" t="str">
        <f t="shared" si="45"/>
        <v/>
      </c>
      <c r="CV15" s="66" t="str">
        <f t="shared" si="45"/>
        <v/>
      </c>
      <c r="CW15" s="3"/>
    </row>
    <row r="16" spans="1:101">
      <c r="A16" s="35">
        <v>1066030</v>
      </c>
      <c r="B16" s="1">
        <v>33</v>
      </c>
      <c r="C16" s="25" t="str">
        <f t="shared" si="6"/>
        <v>1066030-33</v>
      </c>
      <c r="D16" s="24" t="s">
        <v>20</v>
      </c>
      <c r="E16" s="32" t="s">
        <v>72</v>
      </c>
      <c r="F16" s="208">
        <v>42850</v>
      </c>
      <c r="G16" s="198" t="s">
        <v>66</v>
      </c>
      <c r="H16" s="76">
        <v>27.1</v>
      </c>
      <c r="I16" s="27">
        <v>42861</v>
      </c>
      <c r="J16" s="76">
        <v>28.7</v>
      </c>
      <c r="K16" s="34"/>
      <c r="L16" s="71">
        <v>27.9</v>
      </c>
      <c r="M16" s="76"/>
      <c r="N16" s="76">
        <v>28.7</v>
      </c>
      <c r="O16" s="76">
        <v>27</v>
      </c>
      <c r="P16" s="76">
        <v>27.6</v>
      </c>
      <c r="Q16" s="76">
        <v>27.8</v>
      </c>
      <c r="R16" s="76">
        <v>26.9</v>
      </c>
      <c r="S16" s="76">
        <v>27</v>
      </c>
      <c r="T16" s="76">
        <v>26.8</v>
      </c>
      <c r="U16" s="76">
        <v>29.5</v>
      </c>
      <c r="V16" s="76">
        <v>28.7</v>
      </c>
      <c r="W16" s="76">
        <v>30.2</v>
      </c>
      <c r="X16" s="76">
        <v>29.1</v>
      </c>
      <c r="Y16" s="76">
        <v>29.6</v>
      </c>
      <c r="Z16" s="76">
        <v>29.3</v>
      </c>
      <c r="AA16" s="76">
        <v>29.1</v>
      </c>
      <c r="AB16" s="76">
        <v>29</v>
      </c>
      <c r="AC16" s="76">
        <v>30.6</v>
      </c>
      <c r="AD16" s="76">
        <v>30.3</v>
      </c>
      <c r="AE16" s="76">
        <v>30.8</v>
      </c>
      <c r="AF16" s="76">
        <v>30.8</v>
      </c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2"/>
      <c r="BE16" s="66">
        <f t="shared" si="7"/>
        <v>0.97212543554006969</v>
      </c>
      <c r="BF16" s="66" t="str">
        <f t="shared" si="8"/>
        <v/>
      </c>
      <c r="BG16" s="66">
        <f t="shared" si="9"/>
        <v>1</v>
      </c>
      <c r="BH16" s="66">
        <f t="shared" si="10"/>
        <v>0.94076655052264813</v>
      </c>
      <c r="BI16" s="66">
        <f t="shared" si="11"/>
        <v>0.96167247386759591</v>
      </c>
      <c r="BJ16" s="66">
        <f t="shared" si="12"/>
        <v>0.96864111498257843</v>
      </c>
      <c r="BK16" s="66">
        <f t="shared" si="13"/>
        <v>0.93728222996515675</v>
      </c>
      <c r="BL16" s="66">
        <f t="shared" si="14"/>
        <v>0.94076655052264813</v>
      </c>
      <c r="BM16" s="66">
        <f t="shared" si="15"/>
        <v>0.93379790940766561</v>
      </c>
      <c r="BN16" s="66">
        <f t="shared" si="16"/>
        <v>1.0278745644599303</v>
      </c>
      <c r="BO16" s="66">
        <f t="shared" si="17"/>
        <v>1</v>
      </c>
      <c r="BP16" s="66">
        <f t="shared" si="18"/>
        <v>1.0522648083623694</v>
      </c>
      <c r="BQ16" s="66">
        <f t="shared" si="19"/>
        <v>1.0139372822299653</v>
      </c>
      <c r="BR16" s="66">
        <f t="shared" si="20"/>
        <v>1.0313588850174216</v>
      </c>
      <c r="BS16" s="66">
        <f t="shared" si="21"/>
        <v>1.0209059233449478</v>
      </c>
      <c r="BT16" s="66">
        <f t="shared" si="22"/>
        <v>1.0139372822299653</v>
      </c>
      <c r="BU16" s="66">
        <f t="shared" si="23"/>
        <v>1.0104529616724738</v>
      </c>
      <c r="BV16" s="66">
        <f t="shared" si="24"/>
        <v>1.0662020905923346</v>
      </c>
      <c r="BW16" s="66">
        <f t="shared" si="25"/>
        <v>1.0557491289198606</v>
      </c>
      <c r="BX16" s="66">
        <f t="shared" si="26"/>
        <v>1.0731707317073171</v>
      </c>
      <c r="BY16" s="66">
        <f t="shared" si="27"/>
        <v>1.0731707317073171</v>
      </c>
      <c r="BZ16" s="66" t="str">
        <f t="shared" si="28"/>
        <v/>
      </c>
      <c r="CA16" s="66" t="str">
        <f t="shared" si="29"/>
        <v/>
      </c>
      <c r="CB16" s="66" t="str">
        <f t="shared" si="30"/>
        <v/>
      </c>
      <c r="CC16" s="66" t="str">
        <f t="shared" si="31"/>
        <v/>
      </c>
      <c r="CD16" s="66" t="str">
        <f t="shared" si="32"/>
        <v/>
      </c>
      <c r="CE16" s="66" t="str">
        <f t="shared" si="33"/>
        <v/>
      </c>
      <c r="CF16" s="66" t="str">
        <f t="shared" si="34"/>
        <v/>
      </c>
      <c r="CG16" s="66" t="str">
        <f t="shared" si="35"/>
        <v/>
      </c>
      <c r="CH16" s="66" t="str">
        <f t="shared" si="36"/>
        <v/>
      </c>
      <c r="CI16" s="66" t="str">
        <f t="shared" si="37"/>
        <v/>
      </c>
      <c r="CJ16" s="66" t="str">
        <f t="shared" si="38"/>
        <v/>
      </c>
      <c r="CK16" s="66" t="str">
        <f t="shared" si="39"/>
        <v/>
      </c>
      <c r="CL16" s="66" t="str">
        <f t="shared" si="40"/>
        <v/>
      </c>
      <c r="CM16" s="66" t="str">
        <f t="shared" si="41"/>
        <v/>
      </c>
      <c r="CN16" s="66" t="str">
        <f t="shared" si="42"/>
        <v/>
      </c>
      <c r="CO16" s="66" t="str">
        <f t="shared" si="43"/>
        <v/>
      </c>
      <c r="CP16" s="66" t="str">
        <f t="shared" si="44"/>
        <v/>
      </c>
      <c r="CQ16" s="66" t="str">
        <f t="shared" si="45"/>
        <v/>
      </c>
      <c r="CR16" s="66" t="str">
        <f t="shared" si="45"/>
        <v/>
      </c>
      <c r="CS16" s="66" t="str">
        <f t="shared" si="45"/>
        <v/>
      </c>
      <c r="CT16" s="66" t="str">
        <f t="shared" si="45"/>
        <v/>
      </c>
      <c r="CU16" s="66" t="str">
        <f t="shared" si="45"/>
        <v/>
      </c>
      <c r="CV16" s="66" t="str">
        <f t="shared" si="45"/>
        <v/>
      </c>
      <c r="CW16" s="3"/>
    </row>
    <row r="17" spans="1:101">
      <c r="A17" s="35">
        <v>1066030</v>
      </c>
      <c r="B17" s="1">
        <v>34</v>
      </c>
      <c r="C17" s="25" t="str">
        <f t="shared" si="6"/>
        <v>1066030-34</v>
      </c>
      <c r="D17" s="24" t="s">
        <v>20</v>
      </c>
      <c r="E17" s="32" t="s">
        <v>62</v>
      </c>
      <c r="F17" s="208">
        <v>42850</v>
      </c>
      <c r="G17" s="198" t="s">
        <v>66</v>
      </c>
      <c r="H17" s="76">
        <v>25.9</v>
      </c>
      <c r="I17" s="27">
        <v>42861</v>
      </c>
      <c r="J17" s="76">
        <v>27.3</v>
      </c>
      <c r="K17" s="34"/>
      <c r="L17" s="71">
        <v>26.9</v>
      </c>
      <c r="M17" s="76"/>
      <c r="N17" s="76">
        <v>27.3</v>
      </c>
      <c r="O17" s="76">
        <v>26.4</v>
      </c>
      <c r="P17" s="76">
        <v>26.1</v>
      </c>
      <c r="Q17" s="76">
        <v>26.7</v>
      </c>
      <c r="R17" s="76">
        <v>26.3</v>
      </c>
      <c r="S17" s="76">
        <v>26.2</v>
      </c>
      <c r="T17" s="76">
        <v>25.8</v>
      </c>
      <c r="U17" s="76">
        <v>26.7</v>
      </c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2"/>
      <c r="BE17" s="66">
        <f t="shared" si="7"/>
        <v>0.98534798534798529</v>
      </c>
      <c r="BF17" s="66" t="str">
        <f t="shared" si="8"/>
        <v/>
      </c>
      <c r="BG17" s="66">
        <f t="shared" si="9"/>
        <v>1</v>
      </c>
      <c r="BH17" s="66">
        <f t="shared" si="10"/>
        <v>0.96703296703296693</v>
      </c>
      <c r="BI17" s="66">
        <f t="shared" si="11"/>
        <v>0.95604395604395609</v>
      </c>
      <c r="BJ17" s="66">
        <f t="shared" si="12"/>
        <v>0.97802197802197799</v>
      </c>
      <c r="BK17" s="66">
        <f t="shared" si="13"/>
        <v>0.96336996336996339</v>
      </c>
      <c r="BL17" s="66">
        <f t="shared" si="14"/>
        <v>0.95970695970695963</v>
      </c>
      <c r="BM17" s="66">
        <f t="shared" si="15"/>
        <v>0.94505494505494503</v>
      </c>
      <c r="BN17" s="66">
        <f t="shared" si="16"/>
        <v>0.97802197802197799</v>
      </c>
      <c r="BO17" s="66" t="str">
        <f t="shared" si="17"/>
        <v/>
      </c>
      <c r="BP17" s="66" t="str">
        <f t="shared" si="18"/>
        <v/>
      </c>
      <c r="BQ17" s="66" t="str">
        <f t="shared" si="19"/>
        <v/>
      </c>
      <c r="BR17" s="66" t="str">
        <f t="shared" si="20"/>
        <v/>
      </c>
      <c r="BS17" s="66" t="str">
        <f t="shared" si="21"/>
        <v/>
      </c>
      <c r="BT17" s="66" t="str">
        <f t="shared" si="22"/>
        <v/>
      </c>
      <c r="BU17" s="66" t="str">
        <f t="shared" si="23"/>
        <v/>
      </c>
      <c r="BV17" s="66" t="str">
        <f t="shared" si="24"/>
        <v/>
      </c>
      <c r="BW17" s="66" t="str">
        <f t="shared" si="25"/>
        <v/>
      </c>
      <c r="BX17" s="66" t="str">
        <f t="shared" si="26"/>
        <v/>
      </c>
      <c r="BY17" s="66" t="str">
        <f t="shared" si="27"/>
        <v/>
      </c>
      <c r="BZ17" s="66" t="str">
        <f t="shared" si="28"/>
        <v/>
      </c>
      <c r="CA17" s="66" t="str">
        <f t="shared" si="29"/>
        <v/>
      </c>
      <c r="CB17" s="66" t="str">
        <f t="shared" si="30"/>
        <v/>
      </c>
      <c r="CC17" s="66" t="str">
        <f t="shared" si="31"/>
        <v/>
      </c>
      <c r="CD17" s="66" t="str">
        <f t="shared" si="32"/>
        <v/>
      </c>
      <c r="CE17" s="66" t="str">
        <f t="shared" si="33"/>
        <v/>
      </c>
      <c r="CF17" s="66" t="str">
        <f t="shared" si="34"/>
        <v/>
      </c>
      <c r="CG17" s="66" t="str">
        <f t="shared" si="35"/>
        <v/>
      </c>
      <c r="CH17" s="66" t="str">
        <f t="shared" si="36"/>
        <v/>
      </c>
      <c r="CI17" s="66" t="str">
        <f t="shared" si="37"/>
        <v/>
      </c>
      <c r="CJ17" s="66" t="str">
        <f t="shared" si="38"/>
        <v/>
      </c>
      <c r="CK17" s="66" t="str">
        <f t="shared" si="39"/>
        <v/>
      </c>
      <c r="CL17" s="66" t="str">
        <f t="shared" si="40"/>
        <v/>
      </c>
      <c r="CM17" s="66" t="str">
        <f t="shared" si="41"/>
        <v/>
      </c>
      <c r="CN17" s="66" t="str">
        <f t="shared" si="42"/>
        <v/>
      </c>
      <c r="CO17" s="66" t="str">
        <f t="shared" si="43"/>
        <v/>
      </c>
      <c r="CP17" s="66" t="str">
        <f t="shared" si="44"/>
        <v/>
      </c>
      <c r="CQ17" s="66" t="str">
        <f t="shared" si="45"/>
        <v/>
      </c>
      <c r="CR17" s="66" t="str">
        <f t="shared" si="45"/>
        <v/>
      </c>
      <c r="CS17" s="66" t="str">
        <f t="shared" si="45"/>
        <v/>
      </c>
      <c r="CT17" s="66" t="str">
        <f t="shared" si="45"/>
        <v/>
      </c>
      <c r="CU17" s="66" t="str">
        <f t="shared" si="45"/>
        <v/>
      </c>
      <c r="CV17" s="66" t="str">
        <f t="shared" si="45"/>
        <v/>
      </c>
      <c r="CW17" s="3"/>
    </row>
    <row r="18" spans="1:101">
      <c r="A18" s="35">
        <v>1066030</v>
      </c>
      <c r="B18" s="1">
        <v>35</v>
      </c>
      <c r="C18" s="25" t="str">
        <f t="shared" si="6"/>
        <v>1066030-35</v>
      </c>
      <c r="D18" s="24" t="s">
        <v>20</v>
      </c>
      <c r="E18" s="32" t="s">
        <v>72</v>
      </c>
      <c r="F18" s="208">
        <v>42850</v>
      </c>
      <c r="G18" s="198" t="s">
        <v>66</v>
      </c>
      <c r="H18" s="76">
        <v>23.5</v>
      </c>
      <c r="I18" s="27">
        <v>42861</v>
      </c>
      <c r="J18" s="76">
        <v>25.2</v>
      </c>
      <c r="K18" s="34"/>
      <c r="L18" s="71">
        <v>24.5</v>
      </c>
      <c r="M18" s="76"/>
      <c r="N18" s="76">
        <v>25.2</v>
      </c>
      <c r="O18" s="76">
        <v>23.3</v>
      </c>
      <c r="P18" s="76">
        <v>23.7</v>
      </c>
      <c r="Q18" s="76">
        <v>23</v>
      </c>
      <c r="R18" s="76">
        <v>23.8</v>
      </c>
      <c r="S18" s="76">
        <v>24.3</v>
      </c>
      <c r="T18" s="76">
        <v>24.2</v>
      </c>
      <c r="U18" s="76">
        <v>25.4</v>
      </c>
      <c r="V18" s="76">
        <v>24.7</v>
      </c>
      <c r="W18" s="76">
        <v>25.8</v>
      </c>
      <c r="X18" s="76">
        <v>25</v>
      </c>
      <c r="Y18" s="76">
        <v>25</v>
      </c>
      <c r="Z18" s="76">
        <v>24.6</v>
      </c>
      <c r="AA18" s="76">
        <v>24</v>
      </c>
      <c r="AB18" s="76">
        <v>23.5</v>
      </c>
      <c r="AC18" s="76">
        <v>24</v>
      </c>
      <c r="AD18" s="76">
        <v>24.4</v>
      </c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2"/>
      <c r="BE18" s="66">
        <f t="shared" si="7"/>
        <v>0.97222222222222221</v>
      </c>
      <c r="BF18" s="66" t="str">
        <f t="shared" si="8"/>
        <v/>
      </c>
      <c r="BG18" s="66">
        <f t="shared" si="9"/>
        <v>1</v>
      </c>
      <c r="BH18" s="66">
        <f t="shared" si="10"/>
        <v>0.92460317460317465</v>
      </c>
      <c r="BI18" s="66">
        <f t="shared" si="11"/>
        <v>0.94047619047619047</v>
      </c>
      <c r="BJ18" s="66">
        <f t="shared" si="12"/>
        <v>0.91269841269841268</v>
      </c>
      <c r="BK18" s="66">
        <f t="shared" si="13"/>
        <v>0.94444444444444453</v>
      </c>
      <c r="BL18" s="66">
        <f t="shared" si="14"/>
        <v>0.9642857142857143</v>
      </c>
      <c r="BM18" s="66">
        <f t="shared" si="15"/>
        <v>0.96031746031746035</v>
      </c>
      <c r="BN18" s="66">
        <f t="shared" si="16"/>
        <v>1.0079365079365079</v>
      </c>
      <c r="BO18" s="66">
        <f t="shared" si="17"/>
        <v>0.98015873015873012</v>
      </c>
      <c r="BP18" s="66">
        <f t="shared" si="18"/>
        <v>1.0238095238095239</v>
      </c>
      <c r="BQ18" s="66">
        <f t="shared" si="19"/>
        <v>0.99206349206349209</v>
      </c>
      <c r="BR18" s="66">
        <f t="shared" si="20"/>
        <v>0.99206349206349209</v>
      </c>
      <c r="BS18" s="66">
        <f t="shared" si="21"/>
        <v>0.97619047619047628</v>
      </c>
      <c r="BT18" s="66">
        <f t="shared" si="22"/>
        <v>0.95238095238095244</v>
      </c>
      <c r="BU18" s="66">
        <f t="shared" si="23"/>
        <v>0.93253968253968256</v>
      </c>
      <c r="BV18" s="66">
        <f t="shared" si="24"/>
        <v>0.95238095238095244</v>
      </c>
      <c r="BW18" s="66">
        <f t="shared" si="25"/>
        <v>0.96825396825396826</v>
      </c>
      <c r="BX18" s="66" t="str">
        <f t="shared" si="26"/>
        <v/>
      </c>
      <c r="BY18" s="66" t="str">
        <f t="shared" si="27"/>
        <v/>
      </c>
      <c r="BZ18" s="66" t="str">
        <f t="shared" si="28"/>
        <v/>
      </c>
      <c r="CA18" s="66" t="str">
        <f t="shared" si="29"/>
        <v/>
      </c>
      <c r="CB18" s="66" t="str">
        <f t="shared" si="30"/>
        <v/>
      </c>
      <c r="CC18" s="66" t="str">
        <f t="shared" si="31"/>
        <v/>
      </c>
      <c r="CD18" s="66" t="str">
        <f t="shared" si="32"/>
        <v/>
      </c>
      <c r="CE18" s="66" t="str">
        <f t="shared" si="33"/>
        <v/>
      </c>
      <c r="CF18" s="66" t="str">
        <f t="shared" si="34"/>
        <v/>
      </c>
      <c r="CG18" s="66" t="str">
        <f t="shared" si="35"/>
        <v/>
      </c>
      <c r="CH18" s="66" t="str">
        <f t="shared" si="36"/>
        <v/>
      </c>
      <c r="CI18" s="66" t="str">
        <f t="shared" si="37"/>
        <v/>
      </c>
      <c r="CJ18" s="66" t="str">
        <f t="shared" si="38"/>
        <v/>
      </c>
      <c r="CK18" s="66" t="str">
        <f t="shared" si="39"/>
        <v/>
      </c>
      <c r="CL18" s="66" t="str">
        <f t="shared" si="40"/>
        <v/>
      </c>
      <c r="CM18" s="66" t="str">
        <f t="shared" si="41"/>
        <v/>
      </c>
      <c r="CN18" s="66" t="str">
        <f t="shared" si="42"/>
        <v/>
      </c>
      <c r="CO18" s="66" t="str">
        <f t="shared" si="43"/>
        <v/>
      </c>
      <c r="CP18" s="66" t="str">
        <f t="shared" si="44"/>
        <v/>
      </c>
      <c r="CQ18" s="66" t="str">
        <f t="shared" si="45"/>
        <v/>
      </c>
      <c r="CR18" s="66" t="str">
        <f t="shared" si="45"/>
        <v/>
      </c>
      <c r="CS18" s="66" t="str">
        <f t="shared" si="45"/>
        <v/>
      </c>
      <c r="CT18" s="66" t="str">
        <f t="shared" si="45"/>
        <v/>
      </c>
      <c r="CU18" s="66" t="str">
        <f t="shared" si="45"/>
        <v/>
      </c>
      <c r="CV18" s="66" t="str">
        <f t="shared" si="45"/>
        <v/>
      </c>
      <c r="CW18" s="3"/>
    </row>
    <row r="19" spans="1:101">
      <c r="A19" s="35">
        <v>1066031</v>
      </c>
      <c r="B19" s="1">
        <v>41</v>
      </c>
      <c r="C19" s="25" t="str">
        <f t="shared" si="6"/>
        <v>1066031-41</v>
      </c>
      <c r="D19" s="24" t="s">
        <v>20</v>
      </c>
      <c r="E19" s="32" t="s">
        <v>62</v>
      </c>
      <c r="F19" s="208">
        <v>42850</v>
      </c>
      <c r="G19" s="198" t="s">
        <v>66</v>
      </c>
      <c r="H19" s="76">
        <v>27.8</v>
      </c>
      <c r="I19" s="27">
        <v>42861</v>
      </c>
      <c r="J19" s="76">
        <v>28.9</v>
      </c>
      <c r="K19" s="34"/>
      <c r="L19" s="71">
        <v>28.7</v>
      </c>
      <c r="M19" s="76"/>
      <c r="N19" s="76">
        <v>28.9</v>
      </c>
      <c r="O19" s="76">
        <v>27.2</v>
      </c>
      <c r="P19" s="76">
        <v>27.9</v>
      </c>
      <c r="Q19" s="76">
        <v>28.3</v>
      </c>
      <c r="R19" s="76">
        <v>26.7</v>
      </c>
      <c r="S19" s="76">
        <v>28</v>
      </c>
      <c r="T19" s="76">
        <v>28</v>
      </c>
      <c r="U19" s="76">
        <v>30.1</v>
      </c>
      <c r="V19" s="76">
        <v>29.4</v>
      </c>
      <c r="W19" s="76">
        <v>30.4</v>
      </c>
      <c r="X19" s="76">
        <v>29.7</v>
      </c>
      <c r="Y19" s="76">
        <v>30.4</v>
      </c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2"/>
      <c r="BE19" s="66">
        <f t="shared" si="7"/>
        <v>0.99307958477508651</v>
      </c>
      <c r="BF19" s="66" t="str">
        <f t="shared" si="8"/>
        <v/>
      </c>
      <c r="BG19" s="66">
        <f t="shared" si="9"/>
        <v>1</v>
      </c>
      <c r="BH19" s="66">
        <f t="shared" si="10"/>
        <v>0.94117647058823528</v>
      </c>
      <c r="BI19" s="66">
        <f t="shared" si="11"/>
        <v>0.96539792387543255</v>
      </c>
      <c r="BJ19" s="66">
        <f t="shared" si="12"/>
        <v>0.97923875432525964</v>
      </c>
      <c r="BK19" s="66">
        <f t="shared" si="13"/>
        <v>0.92387543252595161</v>
      </c>
      <c r="BL19" s="66">
        <f t="shared" si="14"/>
        <v>0.96885813148788935</v>
      </c>
      <c r="BM19" s="66">
        <f t="shared" si="15"/>
        <v>0.96885813148788935</v>
      </c>
      <c r="BN19" s="66">
        <f t="shared" si="16"/>
        <v>1.0415224913494812</v>
      </c>
      <c r="BO19" s="66">
        <f t="shared" si="17"/>
        <v>1.0173010380622838</v>
      </c>
      <c r="BP19" s="66">
        <f t="shared" si="18"/>
        <v>1.0519031141868511</v>
      </c>
      <c r="BQ19" s="66">
        <f t="shared" si="19"/>
        <v>1.027681660899654</v>
      </c>
      <c r="BR19" s="66">
        <f t="shared" si="20"/>
        <v>1.0519031141868511</v>
      </c>
      <c r="BS19" s="66" t="str">
        <f t="shared" si="21"/>
        <v/>
      </c>
      <c r="BT19" s="66" t="str">
        <f t="shared" si="22"/>
        <v/>
      </c>
      <c r="BU19" s="66" t="str">
        <f t="shared" si="23"/>
        <v/>
      </c>
      <c r="BV19" s="66" t="str">
        <f t="shared" si="24"/>
        <v/>
      </c>
      <c r="BW19" s="66" t="str">
        <f t="shared" si="25"/>
        <v/>
      </c>
      <c r="BX19" s="66" t="str">
        <f t="shared" si="26"/>
        <v/>
      </c>
      <c r="BY19" s="66" t="str">
        <f t="shared" si="27"/>
        <v/>
      </c>
      <c r="BZ19" s="66" t="str">
        <f t="shared" si="28"/>
        <v/>
      </c>
      <c r="CA19" s="66" t="str">
        <f t="shared" si="29"/>
        <v/>
      </c>
      <c r="CB19" s="66" t="str">
        <f t="shared" si="30"/>
        <v/>
      </c>
      <c r="CC19" s="66" t="str">
        <f t="shared" si="31"/>
        <v/>
      </c>
      <c r="CD19" s="66" t="str">
        <f t="shared" si="32"/>
        <v/>
      </c>
      <c r="CE19" s="66" t="str">
        <f t="shared" si="33"/>
        <v/>
      </c>
      <c r="CF19" s="66" t="str">
        <f t="shared" si="34"/>
        <v/>
      </c>
      <c r="CG19" s="66" t="str">
        <f t="shared" si="35"/>
        <v/>
      </c>
      <c r="CH19" s="66" t="str">
        <f t="shared" si="36"/>
        <v/>
      </c>
      <c r="CI19" s="66" t="str">
        <f t="shared" si="37"/>
        <v/>
      </c>
      <c r="CJ19" s="66" t="str">
        <f t="shared" si="38"/>
        <v/>
      </c>
      <c r="CK19" s="66" t="str">
        <f t="shared" si="39"/>
        <v/>
      </c>
      <c r="CL19" s="66" t="str">
        <f t="shared" si="40"/>
        <v/>
      </c>
      <c r="CM19" s="66" t="str">
        <f t="shared" si="41"/>
        <v/>
      </c>
      <c r="CN19" s="66" t="str">
        <f t="shared" si="42"/>
        <v/>
      </c>
      <c r="CO19" s="66" t="str">
        <f t="shared" si="43"/>
        <v/>
      </c>
      <c r="CP19" s="66" t="str">
        <f t="shared" si="44"/>
        <v/>
      </c>
      <c r="CQ19" s="66" t="str">
        <f t="shared" si="45"/>
        <v/>
      </c>
      <c r="CR19" s="66" t="str">
        <f t="shared" si="45"/>
        <v/>
      </c>
      <c r="CS19" s="66" t="str">
        <f t="shared" si="45"/>
        <v/>
      </c>
      <c r="CT19" s="66" t="str">
        <f t="shared" si="45"/>
        <v/>
      </c>
      <c r="CU19" s="66" t="str">
        <f t="shared" si="45"/>
        <v/>
      </c>
      <c r="CV19" s="66" t="str">
        <f t="shared" si="45"/>
        <v/>
      </c>
      <c r="CW19" s="3"/>
    </row>
    <row r="20" spans="1:101">
      <c r="A20" s="35">
        <v>1066031</v>
      </c>
      <c r="B20" s="1">
        <v>42</v>
      </c>
      <c r="C20" s="25" t="str">
        <f t="shared" si="6"/>
        <v>1066031-42</v>
      </c>
      <c r="D20" s="24" t="s">
        <v>20</v>
      </c>
      <c r="E20" s="32" t="s">
        <v>64</v>
      </c>
      <c r="F20" s="208">
        <v>42850</v>
      </c>
      <c r="G20" s="198" t="s">
        <v>66</v>
      </c>
      <c r="H20" s="76">
        <v>26.1</v>
      </c>
      <c r="I20" s="27">
        <v>42861</v>
      </c>
      <c r="J20" s="76">
        <v>29</v>
      </c>
      <c r="K20" s="34"/>
      <c r="L20" s="71">
        <v>28.4</v>
      </c>
      <c r="M20" s="76"/>
      <c r="N20" s="76">
        <v>29</v>
      </c>
      <c r="O20" s="76">
        <v>27.9</v>
      </c>
      <c r="P20" s="76">
        <v>28.5</v>
      </c>
      <c r="Q20" s="76">
        <v>28.6</v>
      </c>
      <c r="R20" s="76">
        <v>24.9</v>
      </c>
      <c r="S20" s="76">
        <v>28.5</v>
      </c>
      <c r="T20" s="76">
        <v>28.3</v>
      </c>
      <c r="U20" s="76">
        <v>28.9</v>
      </c>
      <c r="V20" s="76">
        <v>26.7</v>
      </c>
      <c r="W20" s="76">
        <v>27.1</v>
      </c>
      <c r="X20" s="76">
        <v>25.4</v>
      </c>
      <c r="Y20" s="76">
        <v>25.1</v>
      </c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2"/>
      <c r="BE20" s="66">
        <f t="shared" si="7"/>
        <v>0.97931034482758617</v>
      </c>
      <c r="BF20" s="66" t="str">
        <f t="shared" si="8"/>
        <v/>
      </c>
      <c r="BG20" s="66">
        <f t="shared" si="9"/>
        <v>1</v>
      </c>
      <c r="BH20" s="66">
        <f t="shared" si="10"/>
        <v>0.9620689655172413</v>
      </c>
      <c r="BI20" s="66">
        <f t="shared" si="11"/>
        <v>0.98275862068965514</v>
      </c>
      <c r="BJ20" s="66">
        <f t="shared" si="12"/>
        <v>0.98620689655172422</v>
      </c>
      <c r="BK20" s="66">
        <f t="shared" si="13"/>
        <v>0.85862068965517235</v>
      </c>
      <c r="BL20" s="66">
        <f t="shared" si="14"/>
        <v>0.98275862068965514</v>
      </c>
      <c r="BM20" s="66">
        <f t="shared" si="15"/>
        <v>0.9758620689655173</v>
      </c>
      <c r="BN20" s="66">
        <f t="shared" si="16"/>
        <v>0.99655172413793103</v>
      </c>
      <c r="BO20" s="66">
        <f t="shared" si="17"/>
        <v>0.92068965517241375</v>
      </c>
      <c r="BP20" s="66">
        <f t="shared" si="18"/>
        <v>0.93448275862068975</v>
      </c>
      <c r="BQ20" s="66">
        <f t="shared" si="19"/>
        <v>0.87586206896551722</v>
      </c>
      <c r="BR20" s="66">
        <f t="shared" si="20"/>
        <v>0.86551724137931041</v>
      </c>
      <c r="BS20" s="66" t="str">
        <f t="shared" si="21"/>
        <v/>
      </c>
      <c r="BT20" s="66" t="str">
        <f t="shared" si="22"/>
        <v/>
      </c>
      <c r="BU20" s="66" t="str">
        <f t="shared" si="23"/>
        <v/>
      </c>
      <c r="BV20" s="66" t="str">
        <f t="shared" si="24"/>
        <v/>
      </c>
      <c r="BW20" s="66" t="str">
        <f t="shared" si="25"/>
        <v/>
      </c>
      <c r="BX20" s="66" t="str">
        <f t="shared" si="26"/>
        <v/>
      </c>
      <c r="BY20" s="66" t="str">
        <f t="shared" si="27"/>
        <v/>
      </c>
      <c r="BZ20" s="66" t="str">
        <f t="shared" si="28"/>
        <v/>
      </c>
      <c r="CA20" s="66" t="str">
        <f t="shared" si="29"/>
        <v/>
      </c>
      <c r="CB20" s="66" t="str">
        <f t="shared" si="30"/>
        <v/>
      </c>
      <c r="CC20" s="66" t="str">
        <f t="shared" si="31"/>
        <v/>
      </c>
      <c r="CD20" s="66" t="str">
        <f t="shared" si="32"/>
        <v/>
      </c>
      <c r="CE20" s="66" t="str">
        <f t="shared" si="33"/>
        <v/>
      </c>
      <c r="CF20" s="66" t="str">
        <f t="shared" si="34"/>
        <v/>
      </c>
      <c r="CG20" s="66" t="str">
        <f t="shared" si="35"/>
        <v/>
      </c>
      <c r="CH20" s="66" t="str">
        <f t="shared" si="36"/>
        <v/>
      </c>
      <c r="CI20" s="66" t="str">
        <f t="shared" si="37"/>
        <v/>
      </c>
      <c r="CJ20" s="66" t="str">
        <f t="shared" si="38"/>
        <v/>
      </c>
      <c r="CK20" s="66" t="str">
        <f t="shared" si="39"/>
        <v/>
      </c>
      <c r="CL20" s="66" t="str">
        <f t="shared" si="40"/>
        <v/>
      </c>
      <c r="CM20" s="66" t="str">
        <f t="shared" si="41"/>
        <v/>
      </c>
      <c r="CN20" s="66" t="str">
        <f t="shared" si="42"/>
        <v/>
      </c>
      <c r="CO20" s="66" t="str">
        <f t="shared" si="43"/>
        <v/>
      </c>
      <c r="CP20" s="66" t="str">
        <f t="shared" si="44"/>
        <v/>
      </c>
      <c r="CQ20" s="66" t="str">
        <f t="shared" ref="CQ20:CV27" si="46">IF(OR(ISERROR(AX20/$J20)=TRUE,ISBLANK(AX20)=TRUE),"",AX20/$J20)</f>
        <v/>
      </c>
      <c r="CR20" s="66" t="str">
        <f t="shared" si="46"/>
        <v/>
      </c>
      <c r="CS20" s="66" t="str">
        <f t="shared" si="46"/>
        <v/>
      </c>
      <c r="CT20" s="66" t="str">
        <f t="shared" si="46"/>
        <v/>
      </c>
      <c r="CU20" s="66" t="str">
        <f t="shared" si="46"/>
        <v/>
      </c>
      <c r="CV20" s="66" t="str">
        <f t="shared" si="46"/>
        <v/>
      </c>
      <c r="CW20" s="3"/>
    </row>
    <row r="21" spans="1:101">
      <c r="A21" s="35">
        <v>1066031</v>
      </c>
      <c r="B21" s="1">
        <v>43</v>
      </c>
      <c r="C21" s="25" t="str">
        <f t="shared" si="6"/>
        <v>1066031-43</v>
      </c>
      <c r="D21" s="24" t="s">
        <v>20</v>
      </c>
      <c r="E21" s="32" t="s">
        <v>61</v>
      </c>
      <c r="F21" s="208">
        <v>42850</v>
      </c>
      <c r="G21" s="198" t="s">
        <v>66</v>
      </c>
      <c r="H21" s="76">
        <v>24</v>
      </c>
      <c r="I21" s="27">
        <v>42861</v>
      </c>
      <c r="J21" s="76">
        <v>25.9</v>
      </c>
      <c r="K21" s="34"/>
      <c r="L21" s="71">
        <v>24.9</v>
      </c>
      <c r="M21" s="76"/>
      <c r="N21" s="76">
        <v>25.9</v>
      </c>
      <c r="O21" s="76">
        <v>24.3</v>
      </c>
      <c r="P21" s="76">
        <v>24.5</v>
      </c>
      <c r="Q21" s="76">
        <v>24.7</v>
      </c>
      <c r="R21" s="76">
        <v>23.2</v>
      </c>
      <c r="S21" s="76">
        <v>23.8</v>
      </c>
      <c r="T21" s="76">
        <v>25.3</v>
      </c>
      <c r="U21" s="76">
        <v>25.9</v>
      </c>
      <c r="V21" s="76">
        <v>25.5</v>
      </c>
      <c r="W21" s="76">
        <v>26.8</v>
      </c>
      <c r="X21" s="76">
        <v>25.6</v>
      </c>
      <c r="Y21" s="76">
        <v>26</v>
      </c>
      <c r="Z21" s="76">
        <v>25.5</v>
      </c>
      <c r="AA21" s="76">
        <v>25.5</v>
      </c>
      <c r="AB21" s="76">
        <v>25.4</v>
      </c>
      <c r="AC21" s="76">
        <v>26.2</v>
      </c>
      <c r="AD21" s="76">
        <v>24.9</v>
      </c>
      <c r="AE21" s="76">
        <v>25.9</v>
      </c>
      <c r="AF21" s="76">
        <v>25.5</v>
      </c>
      <c r="AG21" s="76">
        <v>26.1</v>
      </c>
      <c r="AH21" s="76">
        <v>26.4</v>
      </c>
      <c r="AI21" s="76">
        <v>26.2</v>
      </c>
      <c r="AJ21" s="76">
        <v>27.1</v>
      </c>
      <c r="AK21" s="76">
        <v>26.1</v>
      </c>
      <c r="AL21" s="76">
        <v>26.3</v>
      </c>
      <c r="AM21" s="76">
        <v>26.2</v>
      </c>
      <c r="AN21" s="76">
        <v>26.4</v>
      </c>
      <c r="AO21" s="76">
        <v>27</v>
      </c>
      <c r="AP21" s="76">
        <v>27.4</v>
      </c>
      <c r="AQ21" s="76">
        <v>27.1</v>
      </c>
      <c r="AR21" s="76">
        <v>26.3</v>
      </c>
      <c r="AS21" s="76">
        <v>26.6</v>
      </c>
      <c r="AT21" s="76">
        <v>26.9</v>
      </c>
      <c r="AU21" s="76">
        <v>26.9</v>
      </c>
      <c r="AV21" s="76">
        <v>26.9</v>
      </c>
      <c r="AW21" s="76">
        <v>27.4</v>
      </c>
      <c r="AX21" s="76">
        <v>27.2</v>
      </c>
      <c r="AY21" s="76">
        <v>27.3</v>
      </c>
      <c r="AZ21" s="76">
        <v>27.3</v>
      </c>
      <c r="BA21" s="76">
        <v>28.4</v>
      </c>
      <c r="BB21" s="76">
        <v>27.9</v>
      </c>
      <c r="BC21" s="76">
        <v>28</v>
      </c>
      <c r="BD21" s="2"/>
      <c r="BE21" s="66">
        <f t="shared" si="7"/>
        <v>0.96138996138996136</v>
      </c>
      <c r="BF21" s="66" t="str">
        <f t="shared" si="8"/>
        <v/>
      </c>
      <c r="BG21" s="66">
        <f t="shared" si="9"/>
        <v>1</v>
      </c>
      <c r="BH21" s="66">
        <f t="shared" si="10"/>
        <v>0.93822393822393835</v>
      </c>
      <c r="BI21" s="66">
        <f t="shared" si="11"/>
        <v>0.94594594594594594</v>
      </c>
      <c r="BJ21" s="66">
        <f t="shared" si="12"/>
        <v>0.95366795366795365</v>
      </c>
      <c r="BK21" s="66">
        <f t="shared" si="13"/>
        <v>0.89575289575289574</v>
      </c>
      <c r="BL21" s="66">
        <f t="shared" si="14"/>
        <v>0.91891891891891897</v>
      </c>
      <c r="BM21" s="66">
        <f t="shared" si="15"/>
        <v>0.97683397683397688</v>
      </c>
      <c r="BN21" s="66">
        <f t="shared" si="16"/>
        <v>1</v>
      </c>
      <c r="BO21" s="66">
        <f t="shared" si="17"/>
        <v>0.98455598455598459</v>
      </c>
      <c r="BP21" s="66">
        <f t="shared" si="18"/>
        <v>1.0347490347490349</v>
      </c>
      <c r="BQ21" s="66">
        <f t="shared" si="19"/>
        <v>0.98841698841698855</v>
      </c>
      <c r="BR21" s="66">
        <f t="shared" si="20"/>
        <v>1.0038610038610039</v>
      </c>
      <c r="BS21" s="66">
        <f t="shared" si="21"/>
        <v>0.98455598455598459</v>
      </c>
      <c r="BT21" s="66">
        <f t="shared" si="22"/>
        <v>0.98455598455598459</v>
      </c>
      <c r="BU21" s="66">
        <f t="shared" si="23"/>
        <v>0.98069498069498073</v>
      </c>
      <c r="BV21" s="66">
        <f t="shared" si="24"/>
        <v>1.0115830115830116</v>
      </c>
      <c r="BW21" s="66">
        <f t="shared" si="25"/>
        <v>0.96138996138996136</v>
      </c>
      <c r="BX21" s="66">
        <f t="shared" si="26"/>
        <v>1</v>
      </c>
      <c r="BY21" s="66">
        <f t="shared" si="27"/>
        <v>0.98455598455598459</v>
      </c>
      <c r="BZ21" s="66">
        <f t="shared" si="28"/>
        <v>1.0077220077220079</v>
      </c>
      <c r="CA21" s="66">
        <f t="shared" si="29"/>
        <v>1.0193050193050193</v>
      </c>
      <c r="CB21" s="66">
        <f t="shared" si="30"/>
        <v>1.0115830115830116</v>
      </c>
      <c r="CC21" s="66">
        <f t="shared" si="31"/>
        <v>1.0463320463320465</v>
      </c>
      <c r="CD21" s="66">
        <f t="shared" si="32"/>
        <v>1.0077220077220079</v>
      </c>
      <c r="CE21" s="66">
        <f t="shared" si="33"/>
        <v>1.0154440154440156</v>
      </c>
      <c r="CF21" s="66">
        <f t="shared" si="34"/>
        <v>1.0115830115830116</v>
      </c>
      <c r="CG21" s="66">
        <f t="shared" si="35"/>
        <v>1.0193050193050193</v>
      </c>
      <c r="CH21" s="66">
        <f t="shared" si="36"/>
        <v>1.0424710424710426</v>
      </c>
      <c r="CI21" s="66">
        <f t="shared" si="37"/>
        <v>1.057915057915058</v>
      </c>
      <c r="CJ21" s="66">
        <f t="shared" si="38"/>
        <v>1.0463320463320465</v>
      </c>
      <c r="CK21" s="66">
        <f t="shared" si="39"/>
        <v>1.0154440154440156</v>
      </c>
      <c r="CL21" s="66">
        <f t="shared" si="40"/>
        <v>1.0270270270270272</v>
      </c>
      <c r="CM21" s="66">
        <f t="shared" si="41"/>
        <v>1.0386100386100385</v>
      </c>
      <c r="CN21" s="66">
        <f t="shared" si="42"/>
        <v>1.0386100386100385</v>
      </c>
      <c r="CO21" s="66">
        <f t="shared" si="43"/>
        <v>1.0386100386100385</v>
      </c>
      <c r="CP21" s="66">
        <f t="shared" si="44"/>
        <v>1.057915057915058</v>
      </c>
      <c r="CQ21" s="66">
        <f t="shared" si="46"/>
        <v>1.0501930501930503</v>
      </c>
      <c r="CR21" s="66">
        <f t="shared" si="46"/>
        <v>1.0540540540540542</v>
      </c>
      <c r="CS21" s="66">
        <f t="shared" si="46"/>
        <v>1.0540540540540542</v>
      </c>
      <c r="CT21" s="66">
        <f t="shared" si="46"/>
        <v>1.0965250965250966</v>
      </c>
      <c r="CU21" s="66">
        <f t="shared" si="46"/>
        <v>1.0772200772200773</v>
      </c>
      <c r="CV21" s="66">
        <f t="shared" si="46"/>
        <v>1.0810810810810811</v>
      </c>
      <c r="CW21" s="3"/>
    </row>
    <row r="22" spans="1:101">
      <c r="A22" s="35">
        <v>1066031</v>
      </c>
      <c r="B22" s="1">
        <v>44</v>
      </c>
      <c r="C22" s="25" t="str">
        <f t="shared" si="6"/>
        <v>1066031-44</v>
      </c>
      <c r="D22" s="24" t="s">
        <v>20</v>
      </c>
      <c r="E22" s="32" t="s">
        <v>62</v>
      </c>
      <c r="F22" s="208">
        <v>42850</v>
      </c>
      <c r="G22" s="198" t="s">
        <v>66</v>
      </c>
      <c r="H22" s="76">
        <v>26.8</v>
      </c>
      <c r="I22" s="27">
        <v>42861</v>
      </c>
      <c r="J22" s="76">
        <v>28.1</v>
      </c>
      <c r="K22" s="34"/>
      <c r="L22" s="71">
        <v>27.4</v>
      </c>
      <c r="M22" s="76"/>
      <c r="N22" s="76">
        <v>28.1</v>
      </c>
      <c r="O22" s="76">
        <v>27.4</v>
      </c>
      <c r="P22" s="76">
        <v>28.3</v>
      </c>
      <c r="Q22" s="76">
        <v>28.5</v>
      </c>
      <c r="R22" s="76">
        <v>24</v>
      </c>
      <c r="S22" s="76">
        <v>26.4</v>
      </c>
      <c r="T22" s="76">
        <v>25.1</v>
      </c>
      <c r="U22" s="76">
        <v>24.9</v>
      </c>
      <c r="V22" s="76">
        <v>23.7</v>
      </c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2"/>
      <c r="BE22" s="66">
        <f t="shared" si="7"/>
        <v>0.97508896797153011</v>
      </c>
      <c r="BF22" s="66" t="str">
        <f t="shared" si="8"/>
        <v/>
      </c>
      <c r="BG22" s="66">
        <f t="shared" si="9"/>
        <v>1</v>
      </c>
      <c r="BH22" s="66">
        <f t="shared" si="10"/>
        <v>0.97508896797153011</v>
      </c>
      <c r="BI22" s="66">
        <f t="shared" si="11"/>
        <v>1.0071174377224199</v>
      </c>
      <c r="BJ22" s="66">
        <f t="shared" si="12"/>
        <v>1.0142348754448398</v>
      </c>
      <c r="BK22" s="66">
        <f t="shared" si="13"/>
        <v>0.85409252669039137</v>
      </c>
      <c r="BL22" s="66">
        <f t="shared" si="14"/>
        <v>0.93950177935943047</v>
      </c>
      <c r="BM22" s="66">
        <f t="shared" si="15"/>
        <v>0.89323843416370108</v>
      </c>
      <c r="BN22" s="66">
        <f t="shared" si="16"/>
        <v>0.88612099644128106</v>
      </c>
      <c r="BO22" s="66">
        <f t="shared" si="17"/>
        <v>0.84341637010676151</v>
      </c>
      <c r="BP22" s="66" t="str">
        <f t="shared" si="18"/>
        <v/>
      </c>
      <c r="BQ22" s="66" t="str">
        <f t="shared" si="19"/>
        <v/>
      </c>
      <c r="BR22" s="66" t="str">
        <f t="shared" si="20"/>
        <v/>
      </c>
      <c r="BS22" s="66" t="str">
        <f t="shared" si="21"/>
        <v/>
      </c>
      <c r="BT22" s="66" t="str">
        <f t="shared" si="22"/>
        <v/>
      </c>
      <c r="BU22" s="66" t="str">
        <f t="shared" si="23"/>
        <v/>
      </c>
      <c r="BV22" s="66" t="str">
        <f t="shared" si="24"/>
        <v/>
      </c>
      <c r="BW22" s="66" t="str">
        <f t="shared" si="25"/>
        <v/>
      </c>
      <c r="BX22" s="66" t="str">
        <f t="shared" si="26"/>
        <v/>
      </c>
      <c r="BY22" s="66" t="str">
        <f t="shared" si="27"/>
        <v/>
      </c>
      <c r="BZ22" s="66" t="str">
        <f t="shared" si="28"/>
        <v/>
      </c>
      <c r="CA22" s="66" t="str">
        <f t="shared" si="29"/>
        <v/>
      </c>
      <c r="CB22" s="66" t="str">
        <f t="shared" si="30"/>
        <v/>
      </c>
      <c r="CC22" s="66" t="str">
        <f t="shared" si="31"/>
        <v/>
      </c>
      <c r="CD22" s="66" t="str">
        <f t="shared" si="32"/>
        <v/>
      </c>
      <c r="CE22" s="66" t="str">
        <f t="shared" si="33"/>
        <v/>
      </c>
      <c r="CF22" s="66" t="str">
        <f t="shared" si="34"/>
        <v/>
      </c>
      <c r="CG22" s="66" t="str">
        <f t="shared" si="35"/>
        <v/>
      </c>
      <c r="CH22" s="66" t="str">
        <f t="shared" si="36"/>
        <v/>
      </c>
      <c r="CI22" s="66" t="str">
        <f t="shared" si="37"/>
        <v/>
      </c>
      <c r="CJ22" s="66" t="str">
        <f t="shared" si="38"/>
        <v/>
      </c>
      <c r="CK22" s="66" t="str">
        <f t="shared" si="39"/>
        <v/>
      </c>
      <c r="CL22" s="66" t="str">
        <f t="shared" si="40"/>
        <v/>
      </c>
      <c r="CM22" s="66" t="str">
        <f t="shared" si="41"/>
        <v/>
      </c>
      <c r="CN22" s="66" t="str">
        <f t="shared" si="42"/>
        <v/>
      </c>
      <c r="CO22" s="66" t="str">
        <f t="shared" si="43"/>
        <v/>
      </c>
      <c r="CP22" s="66" t="str">
        <f t="shared" si="44"/>
        <v/>
      </c>
      <c r="CQ22" s="66" t="str">
        <f t="shared" si="46"/>
        <v/>
      </c>
      <c r="CR22" s="66" t="str">
        <f t="shared" si="46"/>
        <v/>
      </c>
      <c r="CS22" s="66" t="str">
        <f t="shared" si="46"/>
        <v/>
      </c>
      <c r="CT22" s="66" t="str">
        <f t="shared" si="46"/>
        <v/>
      </c>
      <c r="CU22" s="66" t="str">
        <f t="shared" si="46"/>
        <v/>
      </c>
      <c r="CV22" s="66" t="str">
        <f t="shared" si="46"/>
        <v/>
      </c>
      <c r="CW22" s="3"/>
    </row>
    <row r="23" spans="1:101">
      <c r="A23" s="35">
        <v>1066031</v>
      </c>
      <c r="B23" s="1">
        <v>45</v>
      </c>
      <c r="C23" s="25" t="str">
        <f t="shared" si="6"/>
        <v>1066031-45</v>
      </c>
      <c r="D23" s="24" t="s">
        <v>20</v>
      </c>
      <c r="E23" s="26" t="s">
        <v>61</v>
      </c>
      <c r="F23" s="208">
        <v>42850</v>
      </c>
      <c r="G23" s="198" t="s">
        <v>66</v>
      </c>
      <c r="H23" s="76">
        <v>27.4</v>
      </c>
      <c r="I23" s="27">
        <v>42861</v>
      </c>
      <c r="J23" s="76">
        <v>28.6</v>
      </c>
      <c r="K23" s="34"/>
      <c r="L23" s="71">
        <v>28.4</v>
      </c>
      <c r="M23" s="76"/>
      <c r="N23" s="76">
        <v>28.6</v>
      </c>
      <c r="O23" s="76">
        <v>27.8</v>
      </c>
      <c r="P23" s="76">
        <v>27.5</v>
      </c>
      <c r="Q23" s="76">
        <v>28</v>
      </c>
      <c r="R23" s="76">
        <v>25.5</v>
      </c>
      <c r="S23" s="76">
        <v>27</v>
      </c>
      <c r="T23" s="76">
        <v>27</v>
      </c>
      <c r="U23" s="76">
        <v>29.5</v>
      </c>
      <c r="V23" s="76">
        <v>28.4</v>
      </c>
      <c r="W23" s="76">
        <v>29.6</v>
      </c>
      <c r="X23" s="76">
        <v>28.4</v>
      </c>
      <c r="Y23" s="76">
        <v>28.9</v>
      </c>
      <c r="Z23" s="76">
        <v>28.5</v>
      </c>
      <c r="AA23" s="76">
        <v>28.1</v>
      </c>
      <c r="AB23" s="76">
        <v>28</v>
      </c>
      <c r="AC23" s="76">
        <v>29.7</v>
      </c>
      <c r="AD23" s="76">
        <v>28.7</v>
      </c>
      <c r="AE23" s="76">
        <v>28.9</v>
      </c>
      <c r="AF23" s="76">
        <v>29.3</v>
      </c>
      <c r="AG23" s="76">
        <v>29</v>
      </c>
      <c r="AH23" s="76">
        <v>29.1</v>
      </c>
      <c r="AI23" s="76">
        <v>29.7</v>
      </c>
      <c r="AJ23" s="76">
        <v>30.7</v>
      </c>
      <c r="AK23" s="76">
        <v>29.5</v>
      </c>
      <c r="AL23" s="76">
        <v>29.7</v>
      </c>
      <c r="AM23" s="76">
        <v>29.9</v>
      </c>
      <c r="AN23" s="76">
        <v>30.1</v>
      </c>
      <c r="AO23" s="76">
        <v>30.8</v>
      </c>
      <c r="AP23" s="76">
        <v>30.8</v>
      </c>
      <c r="AQ23" s="76">
        <v>31.1</v>
      </c>
      <c r="AR23" s="76">
        <v>29.8</v>
      </c>
      <c r="AS23" s="76">
        <v>29.6</v>
      </c>
      <c r="AT23" s="76">
        <v>29.7</v>
      </c>
      <c r="AU23" s="76">
        <v>29.3</v>
      </c>
      <c r="AV23" s="76">
        <v>28.6</v>
      </c>
      <c r="AW23" s="76">
        <v>30</v>
      </c>
      <c r="AX23" s="76">
        <v>30.9</v>
      </c>
      <c r="AY23" s="76">
        <v>31</v>
      </c>
      <c r="AZ23" s="76"/>
      <c r="BA23" s="76"/>
      <c r="BB23" s="76"/>
      <c r="BC23" s="76"/>
      <c r="BD23" s="2"/>
      <c r="BE23" s="66">
        <f t="shared" si="7"/>
        <v>0.99300699300699291</v>
      </c>
      <c r="BF23" s="66" t="str">
        <f t="shared" si="8"/>
        <v/>
      </c>
      <c r="BG23" s="66">
        <f t="shared" si="9"/>
        <v>1</v>
      </c>
      <c r="BH23" s="66">
        <f t="shared" si="10"/>
        <v>0.97202797202797198</v>
      </c>
      <c r="BI23" s="66">
        <f t="shared" si="11"/>
        <v>0.96153846153846145</v>
      </c>
      <c r="BJ23" s="66">
        <f t="shared" si="12"/>
        <v>0.97902097902097895</v>
      </c>
      <c r="BK23" s="66">
        <f t="shared" si="13"/>
        <v>0.89160839160839156</v>
      </c>
      <c r="BL23" s="66">
        <f t="shared" si="14"/>
        <v>0.94405594405594406</v>
      </c>
      <c r="BM23" s="66">
        <f t="shared" si="15"/>
        <v>0.94405594405594406</v>
      </c>
      <c r="BN23" s="66">
        <f t="shared" si="16"/>
        <v>1.0314685314685315</v>
      </c>
      <c r="BO23" s="66">
        <f t="shared" si="17"/>
        <v>0.99300699300699291</v>
      </c>
      <c r="BP23" s="66">
        <f t="shared" si="18"/>
        <v>1.034965034965035</v>
      </c>
      <c r="BQ23" s="66">
        <f t="shared" si="19"/>
        <v>0.99300699300699291</v>
      </c>
      <c r="BR23" s="66">
        <f t="shared" si="20"/>
        <v>1.0104895104895104</v>
      </c>
      <c r="BS23" s="66">
        <f t="shared" si="21"/>
        <v>0.99650349650349646</v>
      </c>
      <c r="BT23" s="66">
        <f t="shared" si="22"/>
        <v>0.9825174825174825</v>
      </c>
      <c r="BU23" s="66">
        <f t="shared" si="23"/>
        <v>0.97902097902097895</v>
      </c>
      <c r="BV23" s="66">
        <f t="shared" si="24"/>
        <v>1.0384615384615383</v>
      </c>
      <c r="BW23" s="66">
        <f t="shared" si="25"/>
        <v>1.0034965034965033</v>
      </c>
      <c r="BX23" s="66">
        <f t="shared" si="26"/>
        <v>1.0104895104895104</v>
      </c>
      <c r="BY23" s="66">
        <f t="shared" si="27"/>
        <v>1.0244755244755244</v>
      </c>
      <c r="BZ23" s="66">
        <f t="shared" si="28"/>
        <v>1.013986013986014</v>
      </c>
      <c r="CA23" s="66">
        <f t="shared" si="29"/>
        <v>1.0174825174825175</v>
      </c>
      <c r="CB23" s="66">
        <f t="shared" si="30"/>
        <v>1.0384615384615383</v>
      </c>
      <c r="CC23" s="66">
        <f t="shared" si="31"/>
        <v>1.0734265734265733</v>
      </c>
      <c r="CD23" s="66">
        <f t="shared" si="32"/>
        <v>1.0314685314685315</v>
      </c>
      <c r="CE23" s="66">
        <f t="shared" si="33"/>
        <v>1.0384615384615383</v>
      </c>
      <c r="CF23" s="66">
        <f t="shared" si="34"/>
        <v>1.0454545454545454</v>
      </c>
      <c r="CG23" s="66">
        <f t="shared" si="35"/>
        <v>1.0524475524475525</v>
      </c>
      <c r="CH23" s="66">
        <f t="shared" si="36"/>
        <v>1.0769230769230769</v>
      </c>
      <c r="CI23" s="66">
        <f t="shared" si="37"/>
        <v>1.0769230769230769</v>
      </c>
      <c r="CJ23" s="66">
        <f t="shared" si="38"/>
        <v>1.0874125874125875</v>
      </c>
      <c r="CK23" s="66">
        <f t="shared" si="39"/>
        <v>1.0419580419580419</v>
      </c>
      <c r="CL23" s="66">
        <f t="shared" si="40"/>
        <v>1.034965034965035</v>
      </c>
      <c r="CM23" s="66">
        <f t="shared" si="41"/>
        <v>1.0384615384615383</v>
      </c>
      <c r="CN23" s="66">
        <f t="shared" si="42"/>
        <v>1.0244755244755244</v>
      </c>
      <c r="CO23" s="66">
        <f t="shared" si="43"/>
        <v>1</v>
      </c>
      <c r="CP23" s="66">
        <f t="shared" si="44"/>
        <v>1.048951048951049</v>
      </c>
      <c r="CQ23" s="66">
        <f t="shared" si="46"/>
        <v>1.0804195804195804</v>
      </c>
      <c r="CR23" s="66">
        <f t="shared" si="46"/>
        <v>1.083916083916084</v>
      </c>
      <c r="CS23" s="66" t="str">
        <f t="shared" si="46"/>
        <v/>
      </c>
      <c r="CT23" s="66" t="str">
        <f t="shared" si="46"/>
        <v/>
      </c>
      <c r="CU23" s="66" t="str">
        <f t="shared" si="46"/>
        <v/>
      </c>
      <c r="CV23" s="66" t="str">
        <f t="shared" si="46"/>
        <v/>
      </c>
      <c r="CW23" s="3"/>
    </row>
    <row r="24" spans="1:101">
      <c r="A24" s="35">
        <v>1066032</v>
      </c>
      <c r="B24" s="1">
        <v>51</v>
      </c>
      <c r="C24" s="25" t="str">
        <f t="shared" si="6"/>
        <v>1066032-51</v>
      </c>
      <c r="D24" s="24" t="s">
        <v>20</v>
      </c>
      <c r="E24" s="26" t="s">
        <v>72</v>
      </c>
      <c r="F24" s="208">
        <v>42850</v>
      </c>
      <c r="G24" s="198" t="s">
        <v>66</v>
      </c>
      <c r="H24" s="76">
        <v>27.3</v>
      </c>
      <c r="I24" s="27">
        <v>42861</v>
      </c>
      <c r="J24" s="76">
        <v>29.4</v>
      </c>
      <c r="K24" s="34"/>
      <c r="L24" s="71">
        <v>28.4</v>
      </c>
      <c r="M24" s="76"/>
      <c r="N24" s="76">
        <v>29.4</v>
      </c>
      <c r="O24" s="76">
        <v>28.3</v>
      </c>
      <c r="P24" s="76">
        <v>29.5</v>
      </c>
      <c r="Q24" s="76">
        <v>28.9</v>
      </c>
      <c r="R24" s="76">
        <v>27.2</v>
      </c>
      <c r="S24" s="76">
        <v>27.6</v>
      </c>
      <c r="T24" s="76">
        <v>28</v>
      </c>
      <c r="U24" s="76">
        <v>28.3</v>
      </c>
      <c r="V24" s="76">
        <v>28.1</v>
      </c>
      <c r="W24" s="76">
        <v>29.4</v>
      </c>
      <c r="X24" s="76">
        <v>29</v>
      </c>
      <c r="Y24" s="76">
        <v>30</v>
      </c>
      <c r="Z24" s="76">
        <v>29.4</v>
      </c>
      <c r="AA24" s="76">
        <v>28.6</v>
      </c>
      <c r="AB24" s="76">
        <v>28.5</v>
      </c>
      <c r="AC24" s="76">
        <v>29.2</v>
      </c>
      <c r="AD24" s="76">
        <v>29.2</v>
      </c>
      <c r="AE24" s="76">
        <v>29.7</v>
      </c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2"/>
      <c r="BE24" s="66">
        <f t="shared" si="7"/>
        <v>0.96598639455782309</v>
      </c>
      <c r="BF24" s="66" t="str">
        <f t="shared" si="8"/>
        <v/>
      </c>
      <c r="BG24" s="66">
        <f t="shared" si="9"/>
        <v>1</v>
      </c>
      <c r="BH24" s="66">
        <f t="shared" si="10"/>
        <v>0.96258503401360551</v>
      </c>
      <c r="BI24" s="66">
        <f t="shared" si="11"/>
        <v>1.0034013605442178</v>
      </c>
      <c r="BJ24" s="66">
        <f t="shared" si="12"/>
        <v>0.98299319727891155</v>
      </c>
      <c r="BK24" s="66">
        <f t="shared" si="13"/>
        <v>0.92517006802721091</v>
      </c>
      <c r="BL24" s="66">
        <f t="shared" si="14"/>
        <v>0.93877551020408168</v>
      </c>
      <c r="BM24" s="66">
        <f t="shared" si="15"/>
        <v>0.95238095238095244</v>
      </c>
      <c r="BN24" s="66">
        <f t="shared" si="16"/>
        <v>0.96258503401360551</v>
      </c>
      <c r="BO24" s="66">
        <f t="shared" si="17"/>
        <v>0.95578231292517013</v>
      </c>
      <c r="BP24" s="66">
        <f t="shared" si="18"/>
        <v>1</v>
      </c>
      <c r="BQ24" s="66">
        <f t="shared" si="19"/>
        <v>0.98639455782312935</v>
      </c>
      <c r="BR24" s="66">
        <f t="shared" si="20"/>
        <v>1.0204081632653061</v>
      </c>
      <c r="BS24" s="66">
        <f t="shared" si="21"/>
        <v>1</v>
      </c>
      <c r="BT24" s="66">
        <f t="shared" si="22"/>
        <v>0.97278911564625858</v>
      </c>
      <c r="BU24" s="66">
        <f t="shared" si="23"/>
        <v>0.96938775510204089</v>
      </c>
      <c r="BV24" s="66">
        <f t="shared" si="24"/>
        <v>0.99319727891156462</v>
      </c>
      <c r="BW24" s="66">
        <f t="shared" si="25"/>
        <v>0.99319727891156462</v>
      </c>
      <c r="BX24" s="66">
        <f t="shared" si="26"/>
        <v>1.0102040816326532</v>
      </c>
      <c r="BY24" s="66" t="str">
        <f t="shared" si="27"/>
        <v/>
      </c>
      <c r="BZ24" s="66" t="str">
        <f t="shared" si="28"/>
        <v/>
      </c>
      <c r="CA24" s="66" t="str">
        <f t="shared" si="29"/>
        <v/>
      </c>
      <c r="CB24" s="66" t="str">
        <f t="shared" si="30"/>
        <v/>
      </c>
      <c r="CC24" s="66" t="str">
        <f t="shared" si="31"/>
        <v/>
      </c>
      <c r="CD24" s="66" t="str">
        <f t="shared" si="32"/>
        <v/>
      </c>
      <c r="CE24" s="66" t="str">
        <f t="shared" si="33"/>
        <v/>
      </c>
      <c r="CF24" s="66" t="str">
        <f t="shared" si="34"/>
        <v/>
      </c>
      <c r="CG24" s="66" t="str">
        <f t="shared" si="35"/>
        <v/>
      </c>
      <c r="CH24" s="66" t="str">
        <f t="shared" si="36"/>
        <v/>
      </c>
      <c r="CI24" s="66" t="str">
        <f t="shared" si="37"/>
        <v/>
      </c>
      <c r="CJ24" s="66" t="str">
        <f t="shared" si="38"/>
        <v/>
      </c>
      <c r="CK24" s="66" t="str">
        <f t="shared" si="39"/>
        <v/>
      </c>
      <c r="CL24" s="66" t="str">
        <f t="shared" si="40"/>
        <v/>
      </c>
      <c r="CM24" s="66" t="str">
        <f t="shared" si="41"/>
        <v/>
      </c>
      <c r="CN24" s="66" t="str">
        <f t="shared" si="42"/>
        <v/>
      </c>
      <c r="CO24" s="66" t="str">
        <f t="shared" si="43"/>
        <v/>
      </c>
      <c r="CP24" s="66" t="str">
        <f t="shared" si="44"/>
        <v/>
      </c>
      <c r="CQ24" s="66" t="str">
        <f t="shared" si="46"/>
        <v/>
      </c>
      <c r="CR24" s="66" t="str">
        <f t="shared" si="46"/>
        <v/>
      </c>
      <c r="CS24" s="66" t="str">
        <f t="shared" si="46"/>
        <v/>
      </c>
      <c r="CT24" s="66" t="str">
        <f t="shared" si="46"/>
        <v/>
      </c>
      <c r="CU24" s="66" t="str">
        <f t="shared" si="46"/>
        <v/>
      </c>
      <c r="CV24" s="66" t="str">
        <f t="shared" si="46"/>
        <v/>
      </c>
      <c r="CW24" s="3"/>
    </row>
    <row r="25" spans="1:101">
      <c r="A25" s="35">
        <v>1066032</v>
      </c>
      <c r="B25" s="1">
        <v>52</v>
      </c>
      <c r="C25" s="25" t="str">
        <f t="shared" si="6"/>
        <v>1066032-52</v>
      </c>
      <c r="D25" s="24" t="s">
        <v>20</v>
      </c>
      <c r="E25" s="32" t="s">
        <v>72</v>
      </c>
      <c r="F25" s="208">
        <v>42850</v>
      </c>
      <c r="G25" s="198" t="s">
        <v>66</v>
      </c>
      <c r="H25" s="76">
        <v>28.2</v>
      </c>
      <c r="I25" s="27">
        <v>42861</v>
      </c>
      <c r="J25" s="76">
        <v>29.4</v>
      </c>
      <c r="K25" s="34"/>
      <c r="L25" s="71">
        <v>29.1</v>
      </c>
      <c r="M25" s="76"/>
      <c r="N25" s="76">
        <v>29.4</v>
      </c>
      <c r="O25" s="76">
        <v>28.8</v>
      </c>
      <c r="P25" s="76">
        <v>28.8</v>
      </c>
      <c r="Q25" s="76">
        <v>28.9</v>
      </c>
      <c r="R25" s="76">
        <v>28.9</v>
      </c>
      <c r="S25" s="76">
        <v>29.1</v>
      </c>
      <c r="T25" s="76">
        <v>29.1</v>
      </c>
      <c r="U25" s="76">
        <v>31.1</v>
      </c>
      <c r="V25" s="76">
        <v>30.6</v>
      </c>
      <c r="W25" s="76">
        <v>31.3</v>
      </c>
      <c r="X25" s="76">
        <v>29.7</v>
      </c>
      <c r="Y25" s="76">
        <v>30.3</v>
      </c>
      <c r="Z25" s="76">
        <v>28.9</v>
      </c>
      <c r="AA25" s="76">
        <v>27.5</v>
      </c>
      <c r="AB25" s="76">
        <v>26.6</v>
      </c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2"/>
      <c r="BE25" s="66">
        <f t="shared" si="7"/>
        <v>0.98979591836734704</v>
      </c>
      <c r="BF25" s="66" t="str">
        <f t="shared" si="8"/>
        <v/>
      </c>
      <c r="BG25" s="66">
        <f t="shared" si="9"/>
        <v>1</v>
      </c>
      <c r="BH25" s="66">
        <f t="shared" si="10"/>
        <v>0.97959183673469397</v>
      </c>
      <c r="BI25" s="66">
        <f t="shared" si="11"/>
        <v>0.97959183673469397</v>
      </c>
      <c r="BJ25" s="66">
        <f t="shared" si="12"/>
        <v>0.98299319727891155</v>
      </c>
      <c r="BK25" s="66">
        <f t="shared" si="13"/>
        <v>0.98299319727891155</v>
      </c>
      <c r="BL25" s="66">
        <f t="shared" si="14"/>
        <v>0.98979591836734704</v>
      </c>
      <c r="BM25" s="66">
        <f t="shared" si="15"/>
        <v>0.98979591836734704</v>
      </c>
      <c r="BN25" s="66">
        <f t="shared" si="16"/>
        <v>1.0578231292517009</v>
      </c>
      <c r="BO25" s="66">
        <f t="shared" si="17"/>
        <v>1.0408163265306123</v>
      </c>
      <c r="BP25" s="66">
        <f t="shared" si="18"/>
        <v>1.0646258503401362</v>
      </c>
      <c r="BQ25" s="66">
        <f t="shared" si="19"/>
        <v>1.0102040816326532</v>
      </c>
      <c r="BR25" s="66">
        <f t="shared" si="20"/>
        <v>1.0306122448979593</v>
      </c>
      <c r="BS25" s="66">
        <f t="shared" si="21"/>
        <v>0.98299319727891155</v>
      </c>
      <c r="BT25" s="66">
        <f t="shared" si="22"/>
        <v>0.93537414965986398</v>
      </c>
      <c r="BU25" s="66">
        <f t="shared" si="23"/>
        <v>0.90476190476190488</v>
      </c>
      <c r="BV25" s="66" t="str">
        <f t="shared" si="24"/>
        <v/>
      </c>
      <c r="BW25" s="66" t="str">
        <f t="shared" si="25"/>
        <v/>
      </c>
      <c r="BX25" s="66" t="str">
        <f t="shared" si="26"/>
        <v/>
      </c>
      <c r="BY25" s="66" t="str">
        <f t="shared" si="27"/>
        <v/>
      </c>
      <c r="BZ25" s="66" t="str">
        <f t="shared" si="28"/>
        <v/>
      </c>
      <c r="CA25" s="66" t="str">
        <f t="shared" si="29"/>
        <v/>
      </c>
      <c r="CB25" s="66" t="str">
        <f t="shared" si="30"/>
        <v/>
      </c>
      <c r="CC25" s="66" t="str">
        <f t="shared" si="31"/>
        <v/>
      </c>
      <c r="CD25" s="66" t="str">
        <f t="shared" si="32"/>
        <v/>
      </c>
      <c r="CE25" s="66" t="str">
        <f t="shared" si="33"/>
        <v/>
      </c>
      <c r="CF25" s="66" t="str">
        <f t="shared" si="34"/>
        <v/>
      </c>
      <c r="CG25" s="66" t="str">
        <f t="shared" si="35"/>
        <v/>
      </c>
      <c r="CH25" s="66" t="str">
        <f t="shared" si="36"/>
        <v/>
      </c>
      <c r="CI25" s="66" t="str">
        <f t="shared" si="37"/>
        <v/>
      </c>
      <c r="CJ25" s="66" t="str">
        <f t="shared" si="38"/>
        <v/>
      </c>
      <c r="CK25" s="66" t="str">
        <f t="shared" si="39"/>
        <v/>
      </c>
      <c r="CL25" s="66" t="str">
        <f t="shared" si="40"/>
        <v/>
      </c>
      <c r="CM25" s="66" t="str">
        <f t="shared" si="41"/>
        <v/>
      </c>
      <c r="CN25" s="66" t="str">
        <f t="shared" si="42"/>
        <v/>
      </c>
      <c r="CO25" s="66" t="str">
        <f t="shared" si="43"/>
        <v/>
      </c>
      <c r="CP25" s="66" t="str">
        <f t="shared" si="44"/>
        <v/>
      </c>
      <c r="CQ25" s="66" t="str">
        <f t="shared" si="46"/>
        <v/>
      </c>
      <c r="CR25" s="66" t="str">
        <f t="shared" si="46"/>
        <v/>
      </c>
      <c r="CS25" s="66" t="str">
        <f t="shared" si="46"/>
        <v/>
      </c>
      <c r="CT25" s="66" t="str">
        <f t="shared" si="46"/>
        <v/>
      </c>
      <c r="CU25" s="66" t="str">
        <f t="shared" si="46"/>
        <v/>
      </c>
      <c r="CV25" s="66" t="str">
        <f t="shared" si="46"/>
        <v/>
      </c>
      <c r="CW25" s="3"/>
    </row>
    <row r="26" spans="1:101">
      <c r="A26" s="35">
        <v>1066032</v>
      </c>
      <c r="B26" s="1">
        <v>53</v>
      </c>
      <c r="C26" s="25" t="str">
        <f t="shared" si="6"/>
        <v>1066032-53</v>
      </c>
      <c r="D26" s="24" t="s">
        <v>20</v>
      </c>
      <c r="E26" s="32" t="s">
        <v>62</v>
      </c>
      <c r="F26" s="208">
        <v>42850</v>
      </c>
      <c r="G26" s="198" t="s">
        <v>66</v>
      </c>
      <c r="H26" s="76">
        <v>27.6</v>
      </c>
      <c r="I26" s="27">
        <v>42861</v>
      </c>
      <c r="J26" s="76">
        <v>30</v>
      </c>
      <c r="K26" s="34"/>
      <c r="L26" s="71">
        <v>28.7</v>
      </c>
      <c r="M26" s="76"/>
      <c r="N26" s="76">
        <v>30</v>
      </c>
      <c r="O26" s="76">
        <v>29.8</v>
      </c>
      <c r="P26" s="76">
        <v>29.9</v>
      </c>
      <c r="Q26" s="76">
        <v>29.9</v>
      </c>
      <c r="R26" s="76">
        <v>29.7</v>
      </c>
      <c r="S26" s="76">
        <v>29.3</v>
      </c>
      <c r="T26" s="76">
        <v>29.2</v>
      </c>
      <c r="U26" s="76">
        <v>30.2</v>
      </c>
      <c r="V26" s="76">
        <v>29.6</v>
      </c>
      <c r="W26" s="76">
        <v>31.1</v>
      </c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2"/>
      <c r="BE26" s="66">
        <f t="shared" si="7"/>
        <v>0.95666666666666667</v>
      </c>
      <c r="BF26" s="66" t="str">
        <f t="shared" si="8"/>
        <v/>
      </c>
      <c r="BG26" s="66">
        <f t="shared" si="9"/>
        <v>1</v>
      </c>
      <c r="BH26" s="66">
        <f t="shared" si="10"/>
        <v>0.9933333333333334</v>
      </c>
      <c r="BI26" s="66">
        <f t="shared" si="11"/>
        <v>0.99666666666666659</v>
      </c>
      <c r="BJ26" s="66">
        <f t="shared" si="12"/>
        <v>0.99666666666666659</v>
      </c>
      <c r="BK26" s="66">
        <f t="shared" si="13"/>
        <v>0.99</v>
      </c>
      <c r="BL26" s="66">
        <f t="shared" si="14"/>
        <v>0.97666666666666668</v>
      </c>
      <c r="BM26" s="66">
        <f t="shared" si="15"/>
        <v>0.97333333333333327</v>
      </c>
      <c r="BN26" s="66">
        <f t="shared" si="16"/>
        <v>1.0066666666666666</v>
      </c>
      <c r="BO26" s="66">
        <f t="shared" si="17"/>
        <v>0.98666666666666669</v>
      </c>
      <c r="BP26" s="66">
        <f t="shared" si="18"/>
        <v>1.0366666666666666</v>
      </c>
      <c r="BQ26" s="66" t="str">
        <f t="shared" si="19"/>
        <v/>
      </c>
      <c r="BR26" s="66" t="str">
        <f t="shared" si="20"/>
        <v/>
      </c>
      <c r="BS26" s="66" t="str">
        <f t="shared" si="21"/>
        <v/>
      </c>
      <c r="BT26" s="66" t="str">
        <f t="shared" si="22"/>
        <v/>
      </c>
      <c r="BU26" s="66" t="str">
        <f t="shared" si="23"/>
        <v/>
      </c>
      <c r="BV26" s="66" t="str">
        <f t="shared" si="24"/>
        <v/>
      </c>
      <c r="BW26" s="66" t="str">
        <f t="shared" si="25"/>
        <v/>
      </c>
      <c r="BX26" s="66" t="str">
        <f t="shared" si="26"/>
        <v/>
      </c>
      <c r="BY26" s="66" t="str">
        <f t="shared" si="27"/>
        <v/>
      </c>
      <c r="BZ26" s="66" t="str">
        <f t="shared" si="28"/>
        <v/>
      </c>
      <c r="CA26" s="66" t="str">
        <f t="shared" si="29"/>
        <v/>
      </c>
      <c r="CB26" s="66" t="str">
        <f t="shared" si="30"/>
        <v/>
      </c>
      <c r="CC26" s="66" t="str">
        <f t="shared" si="31"/>
        <v/>
      </c>
      <c r="CD26" s="66" t="str">
        <f t="shared" si="32"/>
        <v/>
      </c>
      <c r="CE26" s="66" t="str">
        <f t="shared" si="33"/>
        <v/>
      </c>
      <c r="CF26" s="66" t="str">
        <f t="shared" si="34"/>
        <v/>
      </c>
      <c r="CG26" s="66" t="str">
        <f t="shared" si="35"/>
        <v/>
      </c>
      <c r="CH26" s="66" t="str">
        <f t="shared" si="36"/>
        <v/>
      </c>
      <c r="CI26" s="66" t="str">
        <f t="shared" si="37"/>
        <v/>
      </c>
      <c r="CJ26" s="66" t="str">
        <f t="shared" si="38"/>
        <v/>
      </c>
      <c r="CK26" s="66" t="str">
        <f t="shared" si="39"/>
        <v/>
      </c>
      <c r="CL26" s="66" t="str">
        <f t="shared" si="40"/>
        <v/>
      </c>
      <c r="CM26" s="66" t="str">
        <f t="shared" si="41"/>
        <v/>
      </c>
      <c r="CN26" s="66" t="str">
        <f t="shared" si="42"/>
        <v/>
      </c>
      <c r="CO26" s="66" t="str">
        <f t="shared" si="43"/>
        <v/>
      </c>
      <c r="CP26" s="66" t="str">
        <f t="shared" si="44"/>
        <v/>
      </c>
      <c r="CQ26" s="66" t="str">
        <f t="shared" si="46"/>
        <v/>
      </c>
      <c r="CR26" s="66" t="str">
        <f t="shared" si="46"/>
        <v/>
      </c>
      <c r="CS26" s="66" t="str">
        <f t="shared" si="46"/>
        <v/>
      </c>
      <c r="CT26" s="66" t="str">
        <f t="shared" si="46"/>
        <v/>
      </c>
      <c r="CU26" s="66" t="str">
        <f t="shared" si="46"/>
        <v/>
      </c>
      <c r="CV26" s="66" t="str">
        <f t="shared" si="46"/>
        <v/>
      </c>
      <c r="CW26" s="3"/>
    </row>
    <row r="27" spans="1:101">
      <c r="A27" s="35">
        <v>1066032</v>
      </c>
      <c r="B27" s="1">
        <v>54</v>
      </c>
      <c r="C27" s="25" t="str">
        <f t="shared" si="6"/>
        <v>1066032-54</v>
      </c>
      <c r="D27" s="24" t="s">
        <v>20</v>
      </c>
      <c r="E27" s="32" t="s">
        <v>72</v>
      </c>
      <c r="F27" s="208">
        <v>42850</v>
      </c>
      <c r="G27" s="198" t="s">
        <v>66</v>
      </c>
      <c r="H27" s="76">
        <v>26.7</v>
      </c>
      <c r="I27" s="27">
        <v>42861</v>
      </c>
      <c r="J27" s="76">
        <v>29</v>
      </c>
      <c r="K27" s="34"/>
      <c r="L27" s="71">
        <v>28.3</v>
      </c>
      <c r="M27" s="76"/>
      <c r="N27" s="76">
        <v>29</v>
      </c>
      <c r="O27" s="76">
        <v>26.6</v>
      </c>
      <c r="P27" s="76">
        <v>27.2</v>
      </c>
      <c r="Q27" s="76">
        <v>26.2</v>
      </c>
      <c r="R27" s="76">
        <v>26.2</v>
      </c>
      <c r="S27" s="76">
        <v>26.9</v>
      </c>
      <c r="T27" s="76">
        <v>27</v>
      </c>
      <c r="U27" s="76">
        <v>29.8</v>
      </c>
      <c r="V27" s="76">
        <v>27.8</v>
      </c>
      <c r="W27" s="76">
        <v>29.4</v>
      </c>
      <c r="X27" s="76">
        <v>29.6</v>
      </c>
      <c r="Y27" s="76">
        <v>29.9</v>
      </c>
      <c r="Z27" s="76">
        <v>29.6</v>
      </c>
      <c r="AA27" s="76">
        <v>28.7</v>
      </c>
      <c r="AB27" s="76">
        <v>28</v>
      </c>
      <c r="AC27" s="76">
        <v>29.6</v>
      </c>
      <c r="AD27" s="76">
        <v>29.5</v>
      </c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2"/>
      <c r="BE27" s="66">
        <f t="shared" si="7"/>
        <v>0.9758620689655173</v>
      </c>
      <c r="BF27" s="66" t="str">
        <f t="shared" si="8"/>
        <v/>
      </c>
      <c r="BG27" s="66">
        <f t="shared" si="9"/>
        <v>1</v>
      </c>
      <c r="BH27" s="66">
        <f t="shared" si="10"/>
        <v>0.91724137931034488</v>
      </c>
      <c r="BI27" s="66">
        <f t="shared" si="11"/>
        <v>0.93793103448275861</v>
      </c>
      <c r="BJ27" s="66">
        <f t="shared" si="12"/>
        <v>0.90344827586206899</v>
      </c>
      <c r="BK27" s="66">
        <f t="shared" si="13"/>
        <v>0.90344827586206899</v>
      </c>
      <c r="BL27" s="66">
        <f t="shared" si="14"/>
        <v>0.92758620689655169</v>
      </c>
      <c r="BM27" s="66">
        <f t="shared" si="15"/>
        <v>0.93103448275862066</v>
      </c>
      <c r="BN27" s="66">
        <f t="shared" si="16"/>
        <v>1.0275862068965518</v>
      </c>
      <c r="BO27" s="66">
        <f t="shared" si="17"/>
        <v>0.95862068965517244</v>
      </c>
      <c r="BP27" s="66">
        <f t="shared" si="18"/>
        <v>1.0137931034482759</v>
      </c>
      <c r="BQ27" s="66">
        <f t="shared" si="19"/>
        <v>1.0206896551724138</v>
      </c>
      <c r="BR27" s="66">
        <f t="shared" si="20"/>
        <v>1.0310344827586206</v>
      </c>
      <c r="BS27" s="66">
        <f t="shared" si="21"/>
        <v>1.0206896551724138</v>
      </c>
      <c r="BT27" s="66">
        <f t="shared" si="22"/>
        <v>0.98965517241379308</v>
      </c>
      <c r="BU27" s="66">
        <f t="shared" si="23"/>
        <v>0.96551724137931039</v>
      </c>
      <c r="BV27" s="66">
        <f t="shared" si="24"/>
        <v>1.0206896551724138</v>
      </c>
      <c r="BW27" s="66">
        <f t="shared" si="25"/>
        <v>1.0172413793103448</v>
      </c>
      <c r="BX27" s="66" t="str">
        <f t="shared" si="26"/>
        <v/>
      </c>
      <c r="BY27" s="66" t="str">
        <f t="shared" si="27"/>
        <v/>
      </c>
      <c r="BZ27" s="66" t="str">
        <f t="shared" si="28"/>
        <v/>
      </c>
      <c r="CA27" s="66" t="str">
        <f t="shared" si="29"/>
        <v/>
      </c>
      <c r="CB27" s="66" t="str">
        <f t="shared" si="30"/>
        <v/>
      </c>
      <c r="CC27" s="66" t="str">
        <f t="shared" si="31"/>
        <v/>
      </c>
      <c r="CD27" s="66" t="str">
        <f t="shared" si="32"/>
        <v/>
      </c>
      <c r="CE27" s="66" t="str">
        <f t="shared" si="33"/>
        <v/>
      </c>
      <c r="CF27" s="66" t="str">
        <f t="shared" si="34"/>
        <v/>
      </c>
      <c r="CG27" s="66" t="str">
        <f t="shared" si="35"/>
        <v/>
      </c>
      <c r="CH27" s="66" t="str">
        <f t="shared" si="36"/>
        <v/>
      </c>
      <c r="CI27" s="66" t="str">
        <f t="shared" si="37"/>
        <v/>
      </c>
      <c r="CJ27" s="66" t="str">
        <f t="shared" si="38"/>
        <v/>
      </c>
      <c r="CK27" s="66" t="str">
        <f t="shared" si="39"/>
        <v/>
      </c>
      <c r="CL27" s="66" t="str">
        <f t="shared" si="40"/>
        <v/>
      </c>
      <c r="CM27" s="66" t="str">
        <f t="shared" si="41"/>
        <v/>
      </c>
      <c r="CN27" s="66" t="str">
        <f t="shared" si="42"/>
        <v/>
      </c>
      <c r="CO27" s="66" t="str">
        <f t="shared" si="43"/>
        <v/>
      </c>
      <c r="CP27" s="66" t="str">
        <f t="shared" si="44"/>
        <v/>
      </c>
      <c r="CQ27" s="66" t="str">
        <f t="shared" si="46"/>
        <v/>
      </c>
      <c r="CR27" s="66" t="str">
        <f t="shared" si="46"/>
        <v/>
      </c>
      <c r="CS27" s="66" t="str">
        <f t="shared" si="46"/>
        <v/>
      </c>
      <c r="CT27" s="66" t="str">
        <f t="shared" si="46"/>
        <v/>
      </c>
      <c r="CU27" s="66" t="str">
        <f t="shared" si="46"/>
        <v/>
      </c>
      <c r="CV27" s="66" t="str">
        <f t="shared" si="46"/>
        <v/>
      </c>
      <c r="CW27" s="3"/>
    </row>
    <row r="28" spans="1:101" s="80" customFormat="1">
      <c r="A28" s="98"/>
      <c r="B28" s="81"/>
      <c r="C28" s="99"/>
      <c r="D28" s="81"/>
      <c r="E28" s="90"/>
      <c r="F28" s="100"/>
      <c r="G28" s="199"/>
      <c r="H28" s="89"/>
      <c r="I28" s="100"/>
      <c r="J28" s="89"/>
      <c r="K28" s="81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1" ht="14.25" customHeight="1">
      <c r="A29" s="77"/>
      <c r="B29" s="77"/>
      <c r="C29" s="77"/>
      <c r="D29" s="38"/>
      <c r="E29" s="84" t="s">
        <v>16</v>
      </c>
      <c r="F29" s="78"/>
      <c r="G29" s="200"/>
      <c r="H29" s="75"/>
      <c r="I29" s="353" t="s">
        <v>16</v>
      </c>
      <c r="J29" s="75">
        <f>AVERAGE(J5:J27)</f>
        <v>28.982608695652171</v>
      </c>
      <c r="K29" s="65" t="s">
        <v>9</v>
      </c>
      <c r="L29" s="71">
        <f t="shared" ref="L29:BC29" si="47">AVERAGE(L5:L27)</f>
        <v>28.404347826086951</v>
      </c>
      <c r="M29" s="71" t="e">
        <f t="shared" si="47"/>
        <v>#DIV/0!</v>
      </c>
      <c r="N29" s="71">
        <f t="shared" si="47"/>
        <v>28.982608695652171</v>
      </c>
      <c r="O29" s="71">
        <f t="shared" si="47"/>
        <v>27.769565217391293</v>
      </c>
      <c r="P29" s="71">
        <f t="shared" si="47"/>
        <v>27.913043478260875</v>
      </c>
      <c r="Q29" s="71">
        <f t="shared" si="47"/>
        <v>27.969565217391303</v>
      </c>
      <c r="R29" s="71">
        <f t="shared" si="47"/>
        <v>27.008695652173916</v>
      </c>
      <c r="S29" s="71">
        <f t="shared" si="47"/>
        <v>27.5</v>
      </c>
      <c r="T29" s="71">
        <f t="shared" si="47"/>
        <v>27.495652173913051</v>
      </c>
      <c r="U29" s="71">
        <f t="shared" si="47"/>
        <v>28.930434782608689</v>
      </c>
      <c r="V29" s="71">
        <f t="shared" si="47"/>
        <v>28.20454545454545</v>
      </c>
      <c r="W29" s="71">
        <f t="shared" si="47"/>
        <v>29.509523809523813</v>
      </c>
      <c r="X29" s="71">
        <f t="shared" si="47"/>
        <v>28.774999999999999</v>
      </c>
      <c r="Y29" s="71">
        <f t="shared" si="47"/>
        <v>29.170588235294115</v>
      </c>
      <c r="Z29" s="71">
        <f t="shared" si="47"/>
        <v>28.542857142857144</v>
      </c>
      <c r="AA29" s="71">
        <f t="shared" si="47"/>
        <v>28.150000000000002</v>
      </c>
      <c r="AB29" s="71">
        <f t="shared" si="47"/>
        <v>28.200000000000003</v>
      </c>
      <c r="AC29" s="71">
        <f t="shared" si="47"/>
        <v>29.55</v>
      </c>
      <c r="AD29" s="71">
        <f t="shared" si="47"/>
        <v>28.808333333333334</v>
      </c>
      <c r="AE29" s="71">
        <f t="shared" si="47"/>
        <v>30.080000000000002</v>
      </c>
      <c r="AF29" s="71">
        <f t="shared" si="47"/>
        <v>29.462500000000002</v>
      </c>
      <c r="AG29" s="71">
        <f t="shared" si="47"/>
        <v>29.166666666666668</v>
      </c>
      <c r="AH29" s="71">
        <f t="shared" si="47"/>
        <v>29.18</v>
      </c>
      <c r="AI29" s="71">
        <f t="shared" si="47"/>
        <v>29.18</v>
      </c>
      <c r="AJ29" s="71">
        <f t="shared" si="47"/>
        <v>29.999999999999993</v>
      </c>
      <c r="AK29" s="71">
        <f t="shared" si="47"/>
        <v>29.080000000000002</v>
      </c>
      <c r="AL29" s="71">
        <f t="shared" si="47"/>
        <v>29.275000000000002</v>
      </c>
      <c r="AM29" s="71">
        <f t="shared" si="47"/>
        <v>29.324999999999996</v>
      </c>
      <c r="AN29" s="71">
        <f t="shared" si="47"/>
        <v>29.375</v>
      </c>
      <c r="AO29" s="71">
        <f t="shared" si="47"/>
        <v>29.925000000000001</v>
      </c>
      <c r="AP29" s="71">
        <f t="shared" si="47"/>
        <v>30.074999999999999</v>
      </c>
      <c r="AQ29" s="71">
        <f t="shared" si="47"/>
        <v>30.5</v>
      </c>
      <c r="AR29" s="71">
        <f t="shared" si="47"/>
        <v>29.45</v>
      </c>
      <c r="AS29" s="71">
        <f t="shared" si="47"/>
        <v>29.625</v>
      </c>
      <c r="AT29" s="71">
        <f t="shared" si="47"/>
        <v>29.875</v>
      </c>
      <c r="AU29" s="71">
        <f t="shared" si="47"/>
        <v>29.675000000000001</v>
      </c>
      <c r="AV29" s="71">
        <f t="shared" si="47"/>
        <v>29.074999999999996</v>
      </c>
      <c r="AW29" s="71">
        <f t="shared" si="47"/>
        <v>30.024999999999999</v>
      </c>
      <c r="AX29" s="71">
        <f t="shared" si="47"/>
        <v>30.174999999999997</v>
      </c>
      <c r="AY29" s="71">
        <f t="shared" si="47"/>
        <v>30.324999999999999</v>
      </c>
      <c r="AZ29" s="71">
        <f t="shared" si="47"/>
        <v>30.633333333333329</v>
      </c>
      <c r="BA29" s="71">
        <f t="shared" si="47"/>
        <v>30.666666666666668</v>
      </c>
      <c r="BB29" s="71">
        <f t="shared" si="47"/>
        <v>30.266666666666666</v>
      </c>
      <c r="BC29" s="71">
        <f t="shared" si="47"/>
        <v>30.566666666666666</v>
      </c>
      <c r="BD29" s="91" t="s">
        <v>9</v>
      </c>
      <c r="BE29" s="66">
        <f t="shared" ref="BE29:CV29" si="48">AVERAGE(BE5:BE27)</f>
        <v>0.98065416584218201</v>
      </c>
      <c r="BF29" s="66" t="e">
        <f t="shared" si="48"/>
        <v>#DIV/0!</v>
      </c>
      <c r="BG29" s="66">
        <f t="shared" si="48"/>
        <v>1</v>
      </c>
      <c r="BH29" s="66">
        <f t="shared" si="48"/>
        <v>0.95824086443541867</v>
      </c>
      <c r="BI29" s="66">
        <f t="shared" si="48"/>
        <v>0.96408745125936568</v>
      </c>
      <c r="BJ29" s="66">
        <f t="shared" si="48"/>
        <v>0.96549304146304138</v>
      </c>
      <c r="BK29" s="66">
        <f t="shared" si="48"/>
        <v>0.93181824075091124</v>
      </c>
      <c r="BL29" s="66">
        <f t="shared" si="48"/>
        <v>0.94956783143719714</v>
      </c>
      <c r="BM29" s="66">
        <f t="shared" si="48"/>
        <v>0.94950878386161486</v>
      </c>
      <c r="BN29" s="66">
        <f t="shared" si="48"/>
        <v>0.99893461320053789</v>
      </c>
      <c r="BO29" s="66">
        <f t="shared" si="48"/>
        <v>0.97164477508653146</v>
      </c>
      <c r="BP29" s="66">
        <f t="shared" si="48"/>
        <v>1.0155231461730607</v>
      </c>
      <c r="BQ29" s="66">
        <f t="shared" si="48"/>
        <v>0.99169117584407718</v>
      </c>
      <c r="BR29" s="66">
        <f t="shared" si="48"/>
        <v>1.0138516166228726</v>
      </c>
      <c r="BS29" s="66">
        <f t="shared" si="48"/>
        <v>1.0027880519393955</v>
      </c>
      <c r="BT29" s="66">
        <f t="shared" si="48"/>
        <v>0.98929423634239555</v>
      </c>
      <c r="BU29" s="66">
        <f t="shared" si="48"/>
        <v>0.99164578795505443</v>
      </c>
      <c r="BV29" s="66">
        <f t="shared" si="48"/>
        <v>1.04115139059006</v>
      </c>
      <c r="BW29" s="66">
        <f t="shared" si="48"/>
        <v>1.0149338699500665</v>
      </c>
      <c r="BX29" s="66">
        <f t="shared" si="48"/>
        <v>1.0512481330811712</v>
      </c>
      <c r="BY29" s="66">
        <f t="shared" si="48"/>
        <v>1.0570695933566767</v>
      </c>
      <c r="BZ29" s="66">
        <f t="shared" si="48"/>
        <v>1.0666656685092544</v>
      </c>
      <c r="CA29" s="66">
        <f t="shared" si="48"/>
        <v>1.0723640861842845</v>
      </c>
      <c r="CB29" s="66">
        <f t="shared" si="48"/>
        <v>1.0720505140153398</v>
      </c>
      <c r="CC29" s="66">
        <f t="shared" si="48"/>
        <v>1.1022596465168211</v>
      </c>
      <c r="CD29" s="66">
        <f t="shared" si="48"/>
        <v>1.0688065382360334</v>
      </c>
      <c r="CE29" s="66">
        <f t="shared" si="48"/>
        <v>1.087367352093205</v>
      </c>
      <c r="CF29" s="66">
        <f t="shared" si="48"/>
        <v>1.0890061781463922</v>
      </c>
      <c r="CG29" s="66">
        <f t="shared" si="48"/>
        <v>1.0906903638400838</v>
      </c>
      <c r="CH29" s="66">
        <f t="shared" si="48"/>
        <v>1.111151930516215</v>
      </c>
      <c r="CI29" s="66">
        <f t="shared" si="48"/>
        <v>1.1168377518954671</v>
      </c>
      <c r="CJ29" s="66">
        <f t="shared" si="48"/>
        <v>1.1327543273944565</v>
      </c>
      <c r="CK29" s="66">
        <f t="shared" si="48"/>
        <v>1.0938856809888893</v>
      </c>
      <c r="CL29" s="66">
        <f t="shared" si="48"/>
        <v>1.1006773851579488</v>
      </c>
      <c r="CM29" s="66">
        <f t="shared" si="48"/>
        <v>1.1099217164825719</v>
      </c>
      <c r="CN29" s="66">
        <f t="shared" si="48"/>
        <v>1.1024926605048826</v>
      </c>
      <c r="CO29" s="66">
        <f t="shared" si="48"/>
        <v>1.0812023314145196</v>
      </c>
      <c r="CP29" s="66">
        <f t="shared" si="48"/>
        <v>1.1155455314129563</v>
      </c>
      <c r="CQ29" s="66">
        <f t="shared" si="48"/>
        <v>1.1209092545240908</v>
      </c>
      <c r="CR29" s="66">
        <f t="shared" si="48"/>
        <v>1.1261719324442123</v>
      </c>
      <c r="CS29" s="66">
        <f t="shared" si="48"/>
        <v>1.1600991587411551</v>
      </c>
      <c r="CT29" s="66">
        <f t="shared" si="48"/>
        <v>1.1620907227765147</v>
      </c>
      <c r="CU29" s="66">
        <f t="shared" si="48"/>
        <v>1.1469890119525157</v>
      </c>
      <c r="CV29" s="66">
        <f t="shared" si="48"/>
        <v>1.1586873752040956</v>
      </c>
      <c r="CW29" s="3"/>
    </row>
    <row r="30" spans="1:101" ht="14.25" customHeight="1">
      <c r="A30" s="39"/>
      <c r="B30" s="38"/>
      <c r="C30" s="40"/>
      <c r="D30" s="38"/>
      <c r="E30" s="82"/>
      <c r="F30" s="64"/>
      <c r="G30" s="200"/>
      <c r="H30" s="75"/>
      <c r="I30" s="353"/>
      <c r="J30" s="75">
        <f>_xlfn.STDEV.P(J5:J27)</f>
        <v>2.4802966466889713</v>
      </c>
      <c r="K30" s="65" t="s">
        <v>11</v>
      </c>
      <c r="L30" s="74">
        <f t="shared" ref="L30:BC30" si="49">STDEVA(L5:L27)</f>
        <v>2.3418093744464041</v>
      </c>
      <c r="M30" s="74" t="e">
        <f t="shared" si="49"/>
        <v>#DIV/0!</v>
      </c>
      <c r="N30" s="74">
        <f t="shared" si="49"/>
        <v>2.5360406101410482</v>
      </c>
      <c r="O30" s="74">
        <f t="shared" si="49"/>
        <v>2.4656614053855619</v>
      </c>
      <c r="P30" s="74">
        <f t="shared" si="49"/>
        <v>2.2220597217704627</v>
      </c>
      <c r="Q30" s="74">
        <f t="shared" si="49"/>
        <v>2.4832959737575848</v>
      </c>
      <c r="R30" s="74">
        <f t="shared" si="49"/>
        <v>2.7314520020541622</v>
      </c>
      <c r="S30" s="74">
        <f t="shared" si="49"/>
        <v>2.318698694605152</v>
      </c>
      <c r="T30" s="74">
        <f t="shared" si="49"/>
        <v>2.408409180892793</v>
      </c>
      <c r="U30" s="74">
        <f t="shared" si="49"/>
        <v>2.5641647200331046</v>
      </c>
      <c r="V30" s="74">
        <f t="shared" si="49"/>
        <v>2.437109387061271</v>
      </c>
      <c r="W30" s="74">
        <f t="shared" si="49"/>
        <v>2.3389965288355516</v>
      </c>
      <c r="X30" s="74">
        <f t="shared" si="49"/>
        <v>2.4231069659470363</v>
      </c>
      <c r="Y30" s="74">
        <f t="shared" si="49"/>
        <v>2.557284865311829</v>
      </c>
      <c r="Z30" s="74">
        <f t="shared" si="49"/>
        <v>2.4168365482793623</v>
      </c>
      <c r="AA30" s="74">
        <f t="shared" si="49"/>
        <v>2.3014209657380076</v>
      </c>
      <c r="AB30" s="74">
        <f t="shared" si="49"/>
        <v>2.4549270186029295</v>
      </c>
      <c r="AC30" s="74">
        <f t="shared" si="49"/>
        <v>2.8182844556089925</v>
      </c>
      <c r="AD30" s="74">
        <f t="shared" si="49"/>
        <v>2.696616847874838</v>
      </c>
      <c r="AE30" s="74">
        <f t="shared" si="49"/>
        <v>2.547242517791434</v>
      </c>
      <c r="AF30" s="74">
        <f t="shared" si="49"/>
        <v>1.8454093622515615</v>
      </c>
      <c r="AG30" s="74">
        <f t="shared" si="49"/>
        <v>1.6907591983090511</v>
      </c>
      <c r="AH30" s="74">
        <f t="shared" si="49"/>
        <v>1.8566098136118965</v>
      </c>
      <c r="AI30" s="74">
        <f t="shared" si="49"/>
        <v>1.8833480825381164</v>
      </c>
      <c r="AJ30" s="74">
        <f t="shared" si="49"/>
        <v>1.8275666882497059</v>
      </c>
      <c r="AK30" s="74">
        <f t="shared" si="49"/>
        <v>1.8390214789392754</v>
      </c>
      <c r="AL30" s="74">
        <f t="shared" si="49"/>
        <v>2.3865945054267881</v>
      </c>
      <c r="AM30" s="74">
        <f t="shared" si="49"/>
        <v>2.525041253788407</v>
      </c>
      <c r="AN30" s="74">
        <f t="shared" si="49"/>
        <v>2.5250412537884075</v>
      </c>
      <c r="AO30" s="74">
        <f t="shared" si="49"/>
        <v>2.4185050478894339</v>
      </c>
      <c r="AP30" s="74">
        <f t="shared" si="49"/>
        <v>2.3400498570187205</v>
      </c>
      <c r="AQ30" s="74">
        <f t="shared" si="49"/>
        <v>2.6038433132583063</v>
      </c>
      <c r="AR30" s="74">
        <f t="shared" si="49"/>
        <v>2.5013329779672806</v>
      </c>
      <c r="AS30" s="74">
        <f t="shared" si="49"/>
        <v>2.4904818810824549</v>
      </c>
      <c r="AT30" s="74">
        <f t="shared" si="49"/>
        <v>2.6259918760981207</v>
      </c>
      <c r="AU30" s="74">
        <f t="shared" si="49"/>
        <v>2.7109346481733314</v>
      </c>
      <c r="AV30" s="74">
        <f t="shared" si="49"/>
        <v>1.7745891543302832</v>
      </c>
      <c r="AW30" s="74">
        <f t="shared" si="49"/>
        <v>2.3471614061812347</v>
      </c>
      <c r="AX30" s="74">
        <f t="shared" si="49"/>
        <v>2.1853680086734437</v>
      </c>
      <c r="AY30" s="74">
        <f t="shared" si="49"/>
        <v>2.4595053703268612</v>
      </c>
      <c r="AZ30" s="74">
        <f t="shared" si="49"/>
        <v>3.5118845842842443</v>
      </c>
      <c r="BA30" s="74">
        <f t="shared" si="49"/>
        <v>2.4704925284917034</v>
      </c>
      <c r="BB30" s="74">
        <f t="shared" si="49"/>
        <v>2.4542480178933279</v>
      </c>
      <c r="BC30" s="74">
        <f t="shared" si="49"/>
        <v>2.3797758998135392</v>
      </c>
      <c r="BD30" s="92" t="s">
        <v>11</v>
      </c>
      <c r="BE30" s="67">
        <f t="shared" ref="BE30:CV30" si="50">STDEVA(BE5:BE27)</f>
        <v>2.31273845759229E-2</v>
      </c>
      <c r="BF30" s="67">
        <f t="shared" si="50"/>
        <v>0</v>
      </c>
      <c r="BG30" s="67">
        <f t="shared" si="50"/>
        <v>0</v>
      </c>
      <c r="BH30" s="67">
        <f t="shared" si="50"/>
        <v>2.1109716397593785E-2</v>
      </c>
      <c r="BI30" s="67">
        <f t="shared" si="50"/>
        <v>3.0404184532840002E-2</v>
      </c>
      <c r="BJ30" s="67">
        <f t="shared" si="50"/>
        <v>3.5435476582818613E-2</v>
      </c>
      <c r="BK30" s="67">
        <f t="shared" si="50"/>
        <v>4.3940701027630875E-2</v>
      </c>
      <c r="BL30" s="67">
        <f t="shared" si="50"/>
        <v>3.0845675990504307E-2</v>
      </c>
      <c r="BM30" s="67">
        <f t="shared" si="50"/>
        <v>4.0483329886810936E-2</v>
      </c>
      <c r="BN30" s="67">
        <f t="shared" si="50"/>
        <v>4.2790937180273082E-2</v>
      </c>
      <c r="BO30" s="67">
        <f t="shared" si="50"/>
        <v>0.20699547529242368</v>
      </c>
      <c r="BP30" s="67">
        <f t="shared" si="50"/>
        <v>0.29522487323789359</v>
      </c>
      <c r="BQ30" s="67">
        <f t="shared" si="50"/>
        <v>0.34390286131318604</v>
      </c>
      <c r="BR30" s="67">
        <f t="shared" si="50"/>
        <v>0.45806064334503455</v>
      </c>
      <c r="BS30" s="67">
        <f t="shared" si="50"/>
        <v>0.50168417423599954</v>
      </c>
      <c r="BT30" s="67">
        <f t="shared" si="50"/>
        <v>0.49505852649910215</v>
      </c>
      <c r="BU30" s="67">
        <f t="shared" si="50"/>
        <v>0.50381621463241588</v>
      </c>
      <c r="BV30" s="67">
        <f t="shared" si="50"/>
        <v>0.53259249097773032</v>
      </c>
      <c r="BW30" s="67">
        <f t="shared" si="50"/>
        <v>0.51887207959532478</v>
      </c>
      <c r="BX30" s="67">
        <f t="shared" si="50"/>
        <v>0.53339128799621649</v>
      </c>
      <c r="BY30" s="67">
        <f t="shared" si="50"/>
        <v>0.51531146895299462</v>
      </c>
      <c r="BZ30" s="67">
        <f t="shared" si="50"/>
        <v>0.47944167318815628</v>
      </c>
      <c r="CA30" s="67">
        <f t="shared" si="50"/>
        <v>0.45285425523249423</v>
      </c>
      <c r="CB30" s="67">
        <f t="shared" si="50"/>
        <v>0.45259104723586552</v>
      </c>
      <c r="CC30" s="67">
        <f t="shared" si="50"/>
        <v>0.46527825922276039</v>
      </c>
      <c r="CD30" s="67">
        <f t="shared" si="50"/>
        <v>0.45141933593096012</v>
      </c>
      <c r="CE30" s="67">
        <f t="shared" si="50"/>
        <v>0.42227453000449289</v>
      </c>
      <c r="CF30" s="67">
        <f t="shared" si="50"/>
        <v>0.42295873342131407</v>
      </c>
      <c r="CG30" s="67">
        <f t="shared" si="50"/>
        <v>0.42352269646083268</v>
      </c>
      <c r="CH30" s="67">
        <f t="shared" si="50"/>
        <v>0.43132067848814493</v>
      </c>
      <c r="CI30" s="67">
        <f t="shared" si="50"/>
        <v>0.43348100206754409</v>
      </c>
      <c r="CJ30" s="67">
        <f t="shared" si="50"/>
        <v>0.43998702369056308</v>
      </c>
      <c r="CK30" s="67">
        <f t="shared" si="50"/>
        <v>0.42492672110882085</v>
      </c>
      <c r="CL30" s="67">
        <f t="shared" si="50"/>
        <v>0.42766303528976235</v>
      </c>
      <c r="CM30" s="67">
        <f t="shared" si="50"/>
        <v>0.43135154207634341</v>
      </c>
      <c r="CN30" s="67">
        <f t="shared" si="50"/>
        <v>0.42856973375773055</v>
      </c>
      <c r="CO30" s="67">
        <f t="shared" si="50"/>
        <v>0.41990140055351466</v>
      </c>
      <c r="CP30" s="67">
        <f t="shared" si="50"/>
        <v>0.43324281974437473</v>
      </c>
      <c r="CQ30" s="67">
        <f t="shared" si="50"/>
        <v>0.43508627931677951</v>
      </c>
      <c r="CR30" s="67">
        <f t="shared" si="50"/>
        <v>0.43723896562548414</v>
      </c>
      <c r="CS30" s="67">
        <f t="shared" si="50"/>
        <v>0.40060892449091745</v>
      </c>
      <c r="CT30" s="67">
        <f t="shared" si="50"/>
        <v>0.40057973759531412</v>
      </c>
      <c r="CU30" s="67">
        <f t="shared" si="50"/>
        <v>0.39541242985017205</v>
      </c>
      <c r="CV30" s="67">
        <f t="shared" si="50"/>
        <v>0.39951039360143403</v>
      </c>
      <c r="CW30" s="3"/>
    </row>
    <row r="31" spans="1:101" ht="12.75" customHeight="1">
      <c r="A31" s="103"/>
      <c r="E31" s="83"/>
      <c r="K31" s="38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3"/>
    </row>
    <row r="32" spans="1:101" ht="14.25" customHeight="1">
      <c r="A32" s="103"/>
      <c r="E32" s="108" t="str">
        <f>'NAB_PTX Groups'!C6</f>
        <v>BxPc3 - Control</v>
      </c>
      <c r="I32" s="108" t="str">
        <f>E32</f>
        <v>BxPc3 - Control</v>
      </c>
      <c r="J32" s="213">
        <f>AVERAGEIF($E$5:$E$27,$E32,J$5:J$27)</f>
        <v>30.066666666666663</v>
      </c>
      <c r="K32" s="65" t="s">
        <v>9</v>
      </c>
      <c r="L32" s="71">
        <f t="shared" ref="L32:BC32" si="51">AVERAGEIF($E$5:$E$27,$E32,L$5:L$27)</f>
        <v>29.099999999999998</v>
      </c>
      <c r="M32" s="71" t="e">
        <f t="shared" si="51"/>
        <v>#DIV/0!</v>
      </c>
      <c r="N32" s="71">
        <f t="shared" si="51"/>
        <v>30.066666666666663</v>
      </c>
      <c r="O32" s="71">
        <f t="shared" si="51"/>
        <v>28.983333333333334</v>
      </c>
      <c r="P32" s="71">
        <f t="shared" si="51"/>
        <v>28.850000000000005</v>
      </c>
      <c r="Q32" s="71">
        <f t="shared" si="51"/>
        <v>29.316666666666666</v>
      </c>
      <c r="R32" s="71">
        <f t="shared" si="51"/>
        <v>28.266666666666666</v>
      </c>
      <c r="S32" s="71">
        <f t="shared" si="51"/>
        <v>28.666666666666668</v>
      </c>
      <c r="T32" s="71">
        <f t="shared" si="51"/>
        <v>28.233333333333331</v>
      </c>
      <c r="U32" s="71">
        <f t="shared" si="51"/>
        <v>29.133333333333329</v>
      </c>
      <c r="V32" s="71">
        <f t="shared" si="51"/>
        <v>28.78</v>
      </c>
      <c r="W32" s="71">
        <f t="shared" si="51"/>
        <v>31.299999999999997</v>
      </c>
      <c r="X32" s="71">
        <f t="shared" si="51"/>
        <v>31.099999999999998</v>
      </c>
      <c r="Y32" s="71">
        <f t="shared" si="51"/>
        <v>31.599999999999998</v>
      </c>
      <c r="Z32" s="71" t="e">
        <f t="shared" si="51"/>
        <v>#DIV/0!</v>
      </c>
      <c r="AA32" s="71" t="e">
        <f t="shared" si="51"/>
        <v>#DIV/0!</v>
      </c>
      <c r="AB32" s="71" t="e">
        <f t="shared" si="51"/>
        <v>#DIV/0!</v>
      </c>
      <c r="AC32" s="71" t="e">
        <f t="shared" si="51"/>
        <v>#DIV/0!</v>
      </c>
      <c r="AD32" s="71" t="e">
        <f t="shared" si="51"/>
        <v>#DIV/0!</v>
      </c>
      <c r="AE32" s="71" t="e">
        <f t="shared" si="51"/>
        <v>#DIV/0!</v>
      </c>
      <c r="AF32" s="71" t="e">
        <f t="shared" si="51"/>
        <v>#DIV/0!</v>
      </c>
      <c r="AG32" s="71" t="e">
        <f t="shared" si="51"/>
        <v>#DIV/0!</v>
      </c>
      <c r="AH32" s="71" t="e">
        <f t="shared" si="51"/>
        <v>#DIV/0!</v>
      </c>
      <c r="AI32" s="71" t="e">
        <f t="shared" si="51"/>
        <v>#DIV/0!</v>
      </c>
      <c r="AJ32" s="71" t="e">
        <f t="shared" si="51"/>
        <v>#DIV/0!</v>
      </c>
      <c r="AK32" s="71" t="e">
        <f t="shared" si="51"/>
        <v>#DIV/0!</v>
      </c>
      <c r="AL32" s="71" t="e">
        <f t="shared" si="51"/>
        <v>#DIV/0!</v>
      </c>
      <c r="AM32" s="71" t="e">
        <f t="shared" si="51"/>
        <v>#DIV/0!</v>
      </c>
      <c r="AN32" s="71" t="e">
        <f t="shared" si="51"/>
        <v>#DIV/0!</v>
      </c>
      <c r="AO32" s="71" t="e">
        <f t="shared" si="51"/>
        <v>#DIV/0!</v>
      </c>
      <c r="AP32" s="71" t="e">
        <f t="shared" si="51"/>
        <v>#DIV/0!</v>
      </c>
      <c r="AQ32" s="71" t="e">
        <f t="shared" si="51"/>
        <v>#DIV/0!</v>
      </c>
      <c r="AR32" s="71" t="e">
        <f t="shared" si="51"/>
        <v>#DIV/0!</v>
      </c>
      <c r="AS32" s="71" t="e">
        <f t="shared" si="51"/>
        <v>#DIV/0!</v>
      </c>
      <c r="AT32" s="71" t="e">
        <f t="shared" si="51"/>
        <v>#DIV/0!</v>
      </c>
      <c r="AU32" s="71" t="e">
        <f t="shared" si="51"/>
        <v>#DIV/0!</v>
      </c>
      <c r="AV32" s="71" t="e">
        <f t="shared" si="51"/>
        <v>#DIV/0!</v>
      </c>
      <c r="AW32" s="71" t="e">
        <f t="shared" si="51"/>
        <v>#DIV/0!</v>
      </c>
      <c r="AX32" s="71" t="e">
        <f t="shared" si="51"/>
        <v>#DIV/0!</v>
      </c>
      <c r="AY32" s="71" t="e">
        <f t="shared" si="51"/>
        <v>#DIV/0!</v>
      </c>
      <c r="AZ32" s="71" t="e">
        <f t="shared" si="51"/>
        <v>#DIV/0!</v>
      </c>
      <c r="BA32" s="71" t="e">
        <f t="shared" si="51"/>
        <v>#DIV/0!</v>
      </c>
      <c r="BB32" s="71" t="e">
        <f t="shared" si="51"/>
        <v>#DIV/0!</v>
      </c>
      <c r="BC32" s="71" t="e">
        <f t="shared" si="51"/>
        <v>#DIV/0!</v>
      </c>
      <c r="BD32" s="93" t="s">
        <v>9</v>
      </c>
      <c r="BE32" s="66">
        <f t="shared" ref="BE32:CV32" si="52">AVERAGEIF($E$5:$E$27,$E32,BE$5:BE$27)</f>
        <v>0.96889333128272659</v>
      </c>
      <c r="BF32" s="66" t="e">
        <f t="shared" si="52"/>
        <v>#DIV/0!</v>
      </c>
      <c r="BG32" s="66">
        <f t="shared" si="52"/>
        <v>1</v>
      </c>
      <c r="BH32" s="66">
        <f t="shared" si="52"/>
        <v>0.96431304715263533</v>
      </c>
      <c r="BI32" s="66">
        <f t="shared" si="52"/>
        <v>0.96132996775308166</v>
      </c>
      <c r="BJ32" s="66">
        <f t="shared" si="52"/>
        <v>0.97653935921012014</v>
      </c>
      <c r="BK32" s="66">
        <f t="shared" si="52"/>
        <v>0.9390827325888832</v>
      </c>
      <c r="BL32" s="66">
        <f t="shared" si="52"/>
        <v>0.95394770098361859</v>
      </c>
      <c r="BM32" s="66">
        <f t="shared" si="52"/>
        <v>0.93920070724537652</v>
      </c>
      <c r="BN32" s="66">
        <f t="shared" si="52"/>
        <v>0.96926827005817329</v>
      </c>
      <c r="BO32" s="66">
        <f t="shared" si="52"/>
        <v>0.93983477523446823</v>
      </c>
      <c r="BP32" s="66">
        <f t="shared" si="52"/>
        <v>1.0040064020018074</v>
      </c>
      <c r="BQ32" s="66">
        <f t="shared" si="52"/>
        <v>0.98402352168228868</v>
      </c>
      <c r="BR32" s="66">
        <f t="shared" si="52"/>
        <v>1.0229212540631225</v>
      </c>
      <c r="BS32" s="66" t="e">
        <f t="shared" si="52"/>
        <v>#DIV/0!</v>
      </c>
      <c r="BT32" s="66" t="e">
        <f t="shared" si="52"/>
        <v>#DIV/0!</v>
      </c>
      <c r="BU32" s="66" t="e">
        <f t="shared" si="52"/>
        <v>#DIV/0!</v>
      </c>
      <c r="BV32" s="66" t="e">
        <f t="shared" si="52"/>
        <v>#DIV/0!</v>
      </c>
      <c r="BW32" s="66" t="e">
        <f t="shared" si="52"/>
        <v>#DIV/0!</v>
      </c>
      <c r="BX32" s="66" t="e">
        <f t="shared" si="52"/>
        <v>#DIV/0!</v>
      </c>
      <c r="BY32" s="66" t="e">
        <f t="shared" si="52"/>
        <v>#DIV/0!</v>
      </c>
      <c r="BZ32" s="66" t="e">
        <f t="shared" si="52"/>
        <v>#DIV/0!</v>
      </c>
      <c r="CA32" s="66" t="e">
        <f t="shared" si="52"/>
        <v>#DIV/0!</v>
      </c>
      <c r="CB32" s="66" t="e">
        <f t="shared" si="52"/>
        <v>#DIV/0!</v>
      </c>
      <c r="CC32" s="66" t="e">
        <f t="shared" si="52"/>
        <v>#DIV/0!</v>
      </c>
      <c r="CD32" s="66" t="e">
        <f t="shared" si="52"/>
        <v>#DIV/0!</v>
      </c>
      <c r="CE32" s="66" t="e">
        <f t="shared" si="52"/>
        <v>#DIV/0!</v>
      </c>
      <c r="CF32" s="66" t="e">
        <f t="shared" si="52"/>
        <v>#DIV/0!</v>
      </c>
      <c r="CG32" s="66" t="e">
        <f t="shared" si="52"/>
        <v>#DIV/0!</v>
      </c>
      <c r="CH32" s="66" t="e">
        <f t="shared" si="52"/>
        <v>#DIV/0!</v>
      </c>
      <c r="CI32" s="66" t="e">
        <f t="shared" si="52"/>
        <v>#DIV/0!</v>
      </c>
      <c r="CJ32" s="66" t="e">
        <f t="shared" si="52"/>
        <v>#DIV/0!</v>
      </c>
      <c r="CK32" s="66" t="e">
        <f t="shared" si="52"/>
        <v>#DIV/0!</v>
      </c>
      <c r="CL32" s="66" t="e">
        <f t="shared" si="52"/>
        <v>#DIV/0!</v>
      </c>
      <c r="CM32" s="66" t="e">
        <f t="shared" si="52"/>
        <v>#DIV/0!</v>
      </c>
      <c r="CN32" s="66" t="e">
        <f t="shared" si="52"/>
        <v>#DIV/0!</v>
      </c>
      <c r="CO32" s="66" t="e">
        <f t="shared" si="52"/>
        <v>#DIV/0!</v>
      </c>
      <c r="CP32" s="66" t="e">
        <f t="shared" si="52"/>
        <v>#DIV/0!</v>
      </c>
      <c r="CQ32" s="66" t="e">
        <f t="shared" si="52"/>
        <v>#DIV/0!</v>
      </c>
      <c r="CR32" s="66" t="e">
        <f t="shared" si="52"/>
        <v>#DIV/0!</v>
      </c>
      <c r="CS32" s="66" t="e">
        <f t="shared" si="52"/>
        <v>#DIV/0!</v>
      </c>
      <c r="CT32" s="66" t="e">
        <f t="shared" si="52"/>
        <v>#DIV/0!</v>
      </c>
      <c r="CU32" s="66" t="e">
        <f t="shared" si="52"/>
        <v>#DIV/0!</v>
      </c>
      <c r="CV32" s="66" t="e">
        <f t="shared" si="52"/>
        <v>#DIV/0!</v>
      </c>
      <c r="CW32" s="69"/>
    </row>
    <row r="33" spans="1:101" ht="14.25" customHeight="1">
      <c r="A33" s="103"/>
      <c r="E33" s="83"/>
      <c r="I33" s="83"/>
      <c r="J33" s="213">
        <f t="array" ref="J33">_xlfn.STDEV.P(IF($E$5:$E$27=$E32,J$5:J$27))</f>
        <v>2.2617593938249834</v>
      </c>
      <c r="K33" s="65" t="s">
        <v>11</v>
      </c>
      <c r="L33" s="74">
        <f t="array" ref="L33">_xlfn.STDEV.P(IF($E$5:$E$27=$E32,L$5:L$27))</f>
        <v>1.784189825476352</v>
      </c>
      <c r="M33" s="74">
        <f t="array" ref="M33">_xlfn.STDEV.P(IF($E$5:$E$27=$E32,M$5:M$27))</f>
        <v>0</v>
      </c>
      <c r="N33" s="74">
        <f t="array" ref="N33">_xlfn.STDEV.P(IF($E$5:$E$27=$E32,N$5:N$27))</f>
        <v>2.2617593938249834</v>
      </c>
      <c r="O33" s="74">
        <f t="array" ref="O33">_xlfn.STDEV.P(IF($E$5:$E$27=$E32,O$5:O$27))</f>
        <v>2.0915836636917544</v>
      </c>
      <c r="P33" s="74">
        <f t="array" ref="P33">_xlfn.STDEV.P(IF($E$5:$E$27=$E32,P$5:P$27))</f>
        <v>1.6730710285778856</v>
      </c>
      <c r="Q33" s="74">
        <f t="array" ref="Q33">_xlfn.STDEV.P(IF($E$5:$E$27=$E32,Q$5:Q$27))</f>
        <v>1.6516826437168719</v>
      </c>
      <c r="R33" s="74">
        <f t="array" ref="R33">_xlfn.STDEV.P(IF($E$5:$E$27=$E32,R$5:R$27))</f>
        <v>2.7980151695244411</v>
      </c>
      <c r="S33" s="74">
        <f t="array" ref="S33">_xlfn.STDEV.P(IF($E$5:$E$27=$E32,S$5:S$27))</f>
        <v>1.9813014802284781</v>
      </c>
      <c r="T33" s="74">
        <f t="array" ref="T33">_xlfn.STDEV.P(IF($E$5:$E$27=$E32,T$5:T$27))</f>
        <v>2.1989896669960851</v>
      </c>
      <c r="U33" s="74">
        <f t="array" ref="U33">_xlfn.STDEV.P(IF($E$5:$E$27=$E32,U$5:U$27))</f>
        <v>2.5447112911989755</v>
      </c>
      <c r="V33" s="74">
        <f t="array" ref="V33">_xlfn.STDEV.P(IF($E$5:$E$27=$E32,V$5:V$27))</f>
        <v>10.986570084526935</v>
      </c>
      <c r="W33" s="74">
        <f t="array" ref="W33">_xlfn.STDEV.P(IF($E$5:$E$27=$E32,W$5:W$27))</f>
        <v>14.769525682596885</v>
      </c>
      <c r="X33" s="74">
        <f t="array" ref="X33">_xlfn.STDEV.P(IF($E$5:$E$27=$E32,X$5:X$27))</f>
        <v>15.566711277594893</v>
      </c>
      <c r="Y33" s="74">
        <f t="array" ref="Y33">_xlfn.STDEV.P(IF($E$5:$E$27=$E32,Y$5:Y$27))</f>
        <v>14.912485447510829</v>
      </c>
      <c r="Z33" s="74">
        <f t="array" ref="Z33">_xlfn.STDEV.P(IF($E$5:$E$27=$E32,Z$5:Z$27))</f>
        <v>0</v>
      </c>
      <c r="AA33" s="74">
        <f t="array" ref="AA33">_xlfn.STDEV.P(IF($E$5:$E$27=$E32,AA$5:AA$27))</f>
        <v>0</v>
      </c>
      <c r="AB33" s="74">
        <f t="array" ref="AB33">_xlfn.STDEV.P(IF($E$5:$E$27=$E32,AB$5:AB$27))</f>
        <v>0</v>
      </c>
      <c r="AC33" s="74">
        <f t="array" ref="AC33">_xlfn.STDEV.P(IF($E$5:$E$27=$E32,AC$5:AC$27))</f>
        <v>0</v>
      </c>
      <c r="AD33" s="74">
        <f t="array" ref="AD33">_xlfn.STDEV.P(IF($E$5:$E$27=$E32,AD$5:AD$27))</f>
        <v>0</v>
      </c>
      <c r="AE33" s="74">
        <f t="array" ref="AE33">_xlfn.STDEV.P(IF($E$5:$E$27=$E32,AE$5:AE$27))</f>
        <v>0</v>
      </c>
      <c r="AF33" s="74">
        <f t="array" ref="AF33">_xlfn.STDEV.P(IF($E$5:$E$27=$E32,AF$5:AF$27))</f>
        <v>0</v>
      </c>
      <c r="AG33" s="74">
        <f t="array" ref="AG33">_xlfn.STDEV.P(IF($E$5:$E$27=$E32,AG$5:AG$27))</f>
        <v>0</v>
      </c>
      <c r="AH33" s="74">
        <f t="array" ref="AH33">_xlfn.STDEV.P(IF($E$5:$E$27=$E32,AH$5:AH$27))</f>
        <v>0</v>
      </c>
      <c r="AI33" s="74">
        <f t="array" ref="AI33">_xlfn.STDEV.P(IF($E$5:$E$27=$E32,AI$5:AI$27))</f>
        <v>0</v>
      </c>
      <c r="AJ33" s="74">
        <f t="array" ref="AJ33">_xlfn.STDEV.P(IF($E$5:$E$27=$E32,AJ$5:AJ$27))</f>
        <v>0</v>
      </c>
      <c r="AK33" s="74">
        <f t="array" ref="AK33">_xlfn.STDEV.P(IF($E$5:$E$27=$E32,AK$5:AK$27))</f>
        <v>0</v>
      </c>
      <c r="AL33" s="74">
        <f t="array" ref="AL33">_xlfn.STDEV.P(IF($E$5:$E$27=$E32,AL$5:AL$27))</f>
        <v>0</v>
      </c>
      <c r="AM33" s="74">
        <f t="array" ref="AM33">_xlfn.STDEV.P(IF($E$5:$E$27=$E32,AM$5:AM$27))</f>
        <v>0</v>
      </c>
      <c r="AN33" s="74">
        <f t="array" ref="AN33">_xlfn.STDEV.P(IF($E$5:$E$27=$E32,AN$5:AN$27))</f>
        <v>0</v>
      </c>
      <c r="AO33" s="74">
        <f t="array" ref="AO33">_xlfn.STDEV.P(IF($E$5:$E$27=$E32,AO$5:AO$27))</f>
        <v>0</v>
      </c>
      <c r="AP33" s="74">
        <f t="array" ref="AP33">_xlfn.STDEV.P(IF($E$5:$E$27=$E32,AP$5:AP$27))</f>
        <v>0</v>
      </c>
      <c r="AQ33" s="74">
        <f t="array" ref="AQ33">_xlfn.STDEV.P(IF($E$5:$E$27=$E32,AQ$5:AQ$27))</f>
        <v>0</v>
      </c>
      <c r="AR33" s="74">
        <f t="array" ref="AR33">_xlfn.STDEV.P(IF($E$5:$E$27=$E32,AR$5:AR$27))</f>
        <v>0</v>
      </c>
      <c r="AS33" s="74">
        <f t="array" ref="AS33">_xlfn.STDEV.P(IF($E$5:$E$27=$E32,AS$5:AS$27))</f>
        <v>0</v>
      </c>
      <c r="AT33" s="74">
        <f t="array" ref="AT33">_xlfn.STDEV.P(IF($E$5:$E$27=$E32,AT$5:AT$27))</f>
        <v>0</v>
      </c>
      <c r="AU33" s="74">
        <f t="array" ref="AU33">_xlfn.STDEV.P(IF($E$5:$E$27=$E32,AU$5:AU$27))</f>
        <v>0</v>
      </c>
      <c r="AV33" s="74">
        <f t="array" ref="AV33">_xlfn.STDEV.P(IF($E$5:$E$27=$E32,AV$5:AV$27))</f>
        <v>0</v>
      </c>
      <c r="AW33" s="74">
        <f t="array" ref="AW33">_xlfn.STDEV.P(IF($E$5:$E$27=$E32,AW$5:AW$27))</f>
        <v>0</v>
      </c>
      <c r="AX33" s="74">
        <f t="array" ref="AX33">_xlfn.STDEV.P(IF($E$5:$E$27=$E32,AX$5:AX$27))</f>
        <v>0</v>
      </c>
      <c r="AY33" s="74">
        <f t="array" ref="AY33">_xlfn.STDEV.P(IF($E$5:$E$27=$E32,AY$5:AY$27))</f>
        <v>0</v>
      </c>
      <c r="AZ33" s="74">
        <f t="array" ref="AZ33">_xlfn.STDEV.P(IF($E$5:$E$27=$E32,AZ$5:AZ$27))</f>
        <v>0</v>
      </c>
      <c r="BA33" s="74">
        <f t="array" ref="BA33">_xlfn.STDEV.P(IF($E$5:$E$27=$E32,BA$5:BA$27))</f>
        <v>0</v>
      </c>
      <c r="BB33" s="74">
        <f t="array" ref="BB33">_xlfn.STDEV.P(IF($E$5:$E$27=$E32,BB$5:BB$27))</f>
        <v>0</v>
      </c>
      <c r="BC33" s="74">
        <f t="array" ref="BC33">_xlfn.STDEV.P(IF($E$5:$E$27=$E32,BC$5:BC$27))</f>
        <v>0</v>
      </c>
      <c r="BD33" s="94" t="s">
        <v>11</v>
      </c>
      <c r="BE33" s="67">
        <f t="array" ref="BE33">_xlfn.STDEV.P(IF($E$5:$E$27=$E32,BE$5:BE$27))</f>
        <v>1.6545595346459135E-2</v>
      </c>
      <c r="BF33" s="67" t="e">
        <f t="array" ref="BF33">_xlfn.STDEV.P(IF($E$5:$E$27=$E32,BF$5:BF$27))</f>
        <v>#DIV/0!</v>
      </c>
      <c r="BG33" s="67">
        <f t="array" ref="BG33">_xlfn.STDEV.P(IF($E$5:$E$27=$E32,BG$5:BG$27))</f>
        <v>0</v>
      </c>
      <c r="BH33" s="67">
        <f t="array" ref="BH33">_xlfn.STDEV.P(IF($E$5:$E$27=$E32,BH$5:BH$27))</f>
        <v>1.7128765392017964E-2</v>
      </c>
      <c r="BI33" s="67">
        <f t="array" ref="BI33">_xlfn.STDEV.P(IF($E$5:$E$27=$E32,BI$5:BI$27))</f>
        <v>3.7413868694626345E-2</v>
      </c>
      <c r="BJ33" s="67">
        <f t="array" ref="BJ33">_xlfn.STDEV.P(IF($E$5:$E$27=$E32,BJ$5:BJ$27))</f>
        <v>2.5026182503094793E-2</v>
      </c>
      <c r="BK33" s="67">
        <f t="array" ref="BK33">_xlfn.STDEV.P(IF($E$5:$E$27=$E32,BK$5:BK$27))</f>
        <v>4.2864872316642197E-2</v>
      </c>
      <c r="BL33" s="67">
        <f t="array" ref="BL33">_xlfn.STDEV.P(IF($E$5:$E$27=$E32,BL$5:BL$27))</f>
        <v>1.5677158968469121E-2</v>
      </c>
      <c r="BM33" s="67">
        <f t="array" ref="BM33">_xlfn.STDEV.P(IF($E$5:$E$27=$E32,BM$5:BM$27))</f>
        <v>2.8682873956722286E-2</v>
      </c>
      <c r="BN33" s="67">
        <f t="array" ref="BN33">_xlfn.STDEV.P(IF($E$5:$E$27=$E32,BN$5:BN$27))</f>
        <v>5.2339887979296104E-2</v>
      </c>
      <c r="BO33" s="67">
        <f t="array" ref="BO33">_xlfn.STDEV.P(IF($E$5:$E$27=$E32,BO$5:BO$27))</f>
        <v>6.0705576782705419E-2</v>
      </c>
      <c r="BP33" s="67">
        <f t="array" ref="BP33">_xlfn.STDEV.P(IF($E$5:$E$27=$E32,BP$5:BP$27))</f>
        <v>4.4079560583134343E-2</v>
      </c>
      <c r="BQ33" s="67">
        <f t="array" ref="BQ33">_xlfn.STDEV.P(IF($E$5:$E$27=$E32,BQ$5:BQ$27))</f>
        <v>3.2046478234635363E-2</v>
      </c>
      <c r="BR33" s="67">
        <f t="array" ref="BR33">_xlfn.STDEV.P(IF($E$5:$E$27=$E32,BR$5:BR$27))</f>
        <v>2.8981860123728609E-2</v>
      </c>
      <c r="BS33" s="67" t="e">
        <f t="array" ref="BS33">_xlfn.STDEV.P(IF($E$5:$E$27=$E32,BS$5:BS$27))</f>
        <v>#DIV/0!</v>
      </c>
      <c r="BT33" s="67" t="e">
        <f t="array" ref="BT33">_xlfn.STDEV.P(IF($E$5:$E$27=$E32,BT$5:BT$27))</f>
        <v>#DIV/0!</v>
      </c>
      <c r="BU33" s="67" t="e">
        <f t="array" ref="BU33">_xlfn.STDEV.P(IF($E$5:$E$27=$E32,BU$5:BU$27))</f>
        <v>#DIV/0!</v>
      </c>
      <c r="BV33" s="67" t="e">
        <f t="array" ref="BV33">_xlfn.STDEV.P(IF($E$5:$E$27=$E32,BV$5:BV$27))</f>
        <v>#DIV/0!</v>
      </c>
      <c r="BW33" s="67" t="e">
        <f t="array" ref="BW33">_xlfn.STDEV.P(IF($E$5:$E$27=$E32,BW$5:BW$27))</f>
        <v>#DIV/0!</v>
      </c>
      <c r="BX33" s="67" t="e">
        <f t="array" ref="BX33">_xlfn.STDEV.P(IF($E$5:$E$27=$E32,BX$5:BX$27))</f>
        <v>#DIV/0!</v>
      </c>
      <c r="BY33" s="67" t="e">
        <f t="array" ref="BY33">_xlfn.STDEV.P(IF($E$5:$E$27=$E32,BY$5:BY$27))</f>
        <v>#DIV/0!</v>
      </c>
      <c r="BZ33" s="67" t="e">
        <f t="array" ref="BZ33">_xlfn.STDEV.P(IF($E$5:$E$27=$E32,BZ$5:BZ$27))</f>
        <v>#DIV/0!</v>
      </c>
      <c r="CA33" s="67" t="e">
        <f t="array" ref="CA33">_xlfn.STDEV.P(IF($E$5:$E$27=$E32,CA$5:CA$27))</f>
        <v>#DIV/0!</v>
      </c>
      <c r="CB33" s="67" t="e">
        <f t="array" ref="CB33">_xlfn.STDEV.P(IF($E$5:$E$27=$E32,CB$5:CB$27))</f>
        <v>#DIV/0!</v>
      </c>
      <c r="CC33" s="67" t="e">
        <f t="array" ref="CC33">_xlfn.STDEV.P(IF($E$5:$E$27=$E32,CC$5:CC$27))</f>
        <v>#DIV/0!</v>
      </c>
      <c r="CD33" s="67" t="e">
        <f t="array" ref="CD33">_xlfn.STDEV.P(IF($E$5:$E$27=$E32,CD$5:CD$27))</f>
        <v>#DIV/0!</v>
      </c>
      <c r="CE33" s="67" t="e">
        <f t="array" ref="CE33">_xlfn.STDEV.P(IF($E$5:$E$27=$E32,CE$5:CE$27))</f>
        <v>#DIV/0!</v>
      </c>
      <c r="CF33" s="67" t="e">
        <f t="array" ref="CF33">_xlfn.STDEV.P(IF($E$5:$E$27=$E32,CF$5:CF$27))</f>
        <v>#DIV/0!</v>
      </c>
      <c r="CG33" s="67" t="e">
        <f t="array" ref="CG33">_xlfn.STDEV.P(IF($E$5:$E$27=$E32,CG$5:CG$27))</f>
        <v>#DIV/0!</v>
      </c>
      <c r="CH33" s="67" t="e">
        <f t="array" ref="CH33">_xlfn.STDEV.P(IF($E$5:$E$27=$E32,CH$5:CH$27))</f>
        <v>#DIV/0!</v>
      </c>
      <c r="CI33" s="67" t="e">
        <f t="array" ref="CI33">_xlfn.STDEV.P(IF($E$5:$E$27=$E32,CI$5:CI$27))</f>
        <v>#DIV/0!</v>
      </c>
      <c r="CJ33" s="67" t="e">
        <f t="array" ref="CJ33">_xlfn.STDEV.P(IF($E$5:$E$27=$E32,CJ$5:CJ$27))</f>
        <v>#DIV/0!</v>
      </c>
      <c r="CK33" s="67" t="e">
        <f t="array" ref="CK33">_xlfn.STDEV.P(IF($E$5:$E$27=$E32,CK$5:CK$27))</f>
        <v>#DIV/0!</v>
      </c>
      <c r="CL33" s="67" t="e">
        <f t="array" ref="CL33">_xlfn.STDEV.P(IF($E$5:$E$27=$E32,CL$5:CL$27))</f>
        <v>#DIV/0!</v>
      </c>
      <c r="CM33" s="67" t="e">
        <f t="array" ref="CM33">_xlfn.STDEV.P(IF($E$5:$E$27=$E32,CM$5:CM$27))</f>
        <v>#DIV/0!</v>
      </c>
      <c r="CN33" s="67" t="e">
        <f t="array" ref="CN33">_xlfn.STDEV.P(IF($E$5:$E$27=$E32,CN$5:CN$27))</f>
        <v>#DIV/0!</v>
      </c>
      <c r="CO33" s="67" t="e">
        <f t="array" ref="CO33">_xlfn.STDEV.P(IF($E$5:$E$27=$E32,CO$5:CO$27))</f>
        <v>#DIV/0!</v>
      </c>
      <c r="CP33" s="67" t="e">
        <f t="array" ref="CP33">_xlfn.STDEV.P(IF($E$5:$E$27=$E32,CP$5:CP$27))</f>
        <v>#DIV/0!</v>
      </c>
      <c r="CQ33" s="67" t="e">
        <f t="array" ref="CQ33">_xlfn.STDEV.P(IF($E$5:$E$27=$E32,CQ$5:CQ$27))</f>
        <v>#DIV/0!</v>
      </c>
      <c r="CR33" s="67" t="e">
        <f t="array" ref="CR33">_xlfn.STDEV.P(IF($E$5:$E$27=$E32,CR$5:CR$27))</f>
        <v>#DIV/0!</v>
      </c>
      <c r="CS33" s="67" t="e">
        <f t="array" ref="CS33">_xlfn.STDEV.P(IF($E$5:$E$27=$E32,CS$5:CS$27))</f>
        <v>#DIV/0!</v>
      </c>
      <c r="CT33" s="67" t="e">
        <f t="array" ref="CT33">_xlfn.STDEV.P(IF($E$5:$E$27=$E32,CT$5:CT$27))</f>
        <v>#DIV/0!</v>
      </c>
      <c r="CU33" s="67" t="e">
        <f t="array" ref="CU33">_xlfn.STDEV.P(IF($E$5:$E$27=$E32,CU$5:CU$27))</f>
        <v>#DIV/0!</v>
      </c>
      <c r="CV33" s="67" t="e">
        <f t="array" ref="CV33">_xlfn.STDEV.P(IF($E$5:$E$27=$E32,CV$5:CV$27))</f>
        <v>#DIV/0!</v>
      </c>
      <c r="CW33" s="69"/>
    </row>
    <row r="34" spans="1:101" ht="15">
      <c r="A34" s="103"/>
      <c r="E34" s="45"/>
      <c r="I34" s="45"/>
    </row>
    <row r="35" spans="1:101" ht="14.25" customHeight="1">
      <c r="A35" s="103"/>
      <c r="E35" s="108" t="str">
        <f>'NAB_PTX Groups'!C7</f>
        <v>BxPc3 - 131I-ELP only</v>
      </c>
      <c r="I35" s="108" t="str">
        <f>E35</f>
        <v>BxPc3 - 131I-ELP only</v>
      </c>
      <c r="J35" s="213">
        <f>AVERAGEIF($E$5:$E$27,$E35,J$5:J$27)</f>
        <v>28.650000000000002</v>
      </c>
      <c r="K35" s="65" t="s">
        <v>9</v>
      </c>
      <c r="L35" s="71">
        <f t="shared" ref="L35:BC35" si="53">AVERAGEIF($E$5:$E$27,$E35,L$5:L$27)</f>
        <v>28.066666666666666</v>
      </c>
      <c r="M35" s="71" t="e">
        <f t="shared" si="53"/>
        <v>#DIV/0!</v>
      </c>
      <c r="N35" s="71">
        <f t="shared" si="53"/>
        <v>28.650000000000002</v>
      </c>
      <c r="O35" s="71">
        <f t="shared" si="53"/>
        <v>27.150000000000002</v>
      </c>
      <c r="P35" s="71">
        <f t="shared" si="53"/>
        <v>27.733333333333334</v>
      </c>
      <c r="Q35" s="71">
        <f t="shared" si="53"/>
        <v>27.25</v>
      </c>
      <c r="R35" s="71">
        <f t="shared" si="53"/>
        <v>26.75</v>
      </c>
      <c r="S35" s="71">
        <f t="shared" si="53"/>
        <v>27.133333333333336</v>
      </c>
      <c r="T35" s="71">
        <f t="shared" si="53"/>
        <v>27.083333333333332</v>
      </c>
      <c r="U35" s="71">
        <f t="shared" si="53"/>
        <v>29.133333333333336</v>
      </c>
      <c r="V35" s="71">
        <f t="shared" si="53"/>
        <v>28.333333333333332</v>
      </c>
      <c r="W35" s="71">
        <f t="shared" si="53"/>
        <v>29.650000000000002</v>
      </c>
      <c r="X35" s="71">
        <f t="shared" si="53"/>
        <v>28.783333333333331</v>
      </c>
      <c r="Y35" s="71">
        <f t="shared" si="53"/>
        <v>29.383333333333336</v>
      </c>
      <c r="Z35" s="71">
        <f t="shared" si="53"/>
        <v>28.683333333333334</v>
      </c>
      <c r="AA35" s="71">
        <f t="shared" si="53"/>
        <v>28</v>
      </c>
      <c r="AB35" s="71">
        <f t="shared" si="53"/>
        <v>27.55</v>
      </c>
      <c r="AC35" s="71">
        <f t="shared" si="53"/>
        <v>28.98</v>
      </c>
      <c r="AD35" s="71">
        <f t="shared" si="53"/>
        <v>28.76</v>
      </c>
      <c r="AE35" s="71">
        <f t="shared" si="53"/>
        <v>30.5</v>
      </c>
      <c r="AF35" s="71">
        <f t="shared" si="53"/>
        <v>31</v>
      </c>
      <c r="AG35" s="71" t="e">
        <f t="shared" si="53"/>
        <v>#DIV/0!</v>
      </c>
      <c r="AH35" s="71" t="e">
        <f t="shared" si="53"/>
        <v>#DIV/0!</v>
      </c>
      <c r="AI35" s="71" t="e">
        <f t="shared" si="53"/>
        <v>#DIV/0!</v>
      </c>
      <c r="AJ35" s="71" t="e">
        <f t="shared" si="53"/>
        <v>#DIV/0!</v>
      </c>
      <c r="AK35" s="71" t="e">
        <f t="shared" si="53"/>
        <v>#DIV/0!</v>
      </c>
      <c r="AL35" s="71" t="e">
        <f t="shared" si="53"/>
        <v>#DIV/0!</v>
      </c>
      <c r="AM35" s="71" t="e">
        <f t="shared" si="53"/>
        <v>#DIV/0!</v>
      </c>
      <c r="AN35" s="71" t="e">
        <f t="shared" si="53"/>
        <v>#DIV/0!</v>
      </c>
      <c r="AO35" s="71" t="e">
        <f t="shared" si="53"/>
        <v>#DIV/0!</v>
      </c>
      <c r="AP35" s="71" t="e">
        <f t="shared" si="53"/>
        <v>#DIV/0!</v>
      </c>
      <c r="AQ35" s="71" t="e">
        <f t="shared" si="53"/>
        <v>#DIV/0!</v>
      </c>
      <c r="AR35" s="71" t="e">
        <f t="shared" si="53"/>
        <v>#DIV/0!</v>
      </c>
      <c r="AS35" s="71" t="e">
        <f t="shared" si="53"/>
        <v>#DIV/0!</v>
      </c>
      <c r="AT35" s="71" t="e">
        <f t="shared" si="53"/>
        <v>#DIV/0!</v>
      </c>
      <c r="AU35" s="71" t="e">
        <f t="shared" si="53"/>
        <v>#DIV/0!</v>
      </c>
      <c r="AV35" s="71" t="e">
        <f t="shared" si="53"/>
        <v>#DIV/0!</v>
      </c>
      <c r="AW35" s="71" t="e">
        <f t="shared" si="53"/>
        <v>#DIV/0!</v>
      </c>
      <c r="AX35" s="71" t="e">
        <f t="shared" si="53"/>
        <v>#DIV/0!</v>
      </c>
      <c r="AY35" s="71" t="e">
        <f t="shared" si="53"/>
        <v>#DIV/0!</v>
      </c>
      <c r="AZ35" s="71" t="e">
        <f t="shared" si="53"/>
        <v>#DIV/0!</v>
      </c>
      <c r="BA35" s="71" t="e">
        <f t="shared" si="53"/>
        <v>#DIV/0!</v>
      </c>
      <c r="BB35" s="71" t="e">
        <f t="shared" si="53"/>
        <v>#DIV/0!</v>
      </c>
      <c r="BC35" s="71" t="e">
        <f t="shared" si="53"/>
        <v>#DIV/0!</v>
      </c>
      <c r="BD35" s="93" t="s">
        <v>9</v>
      </c>
      <c r="BE35" s="66">
        <f t="shared" ref="BE35:CV35" si="54">AVERAGEIF($E$5:$E$27,$E35,BE$5:BE$27)</f>
        <v>0.97933200660882991</v>
      </c>
      <c r="BF35" s="66" t="e">
        <f t="shared" si="54"/>
        <v>#DIV/0!</v>
      </c>
      <c r="BG35" s="66">
        <f t="shared" si="54"/>
        <v>1</v>
      </c>
      <c r="BH35" s="66">
        <f t="shared" si="54"/>
        <v>0.94695693626142885</v>
      </c>
      <c r="BI35" s="66">
        <f t="shared" si="54"/>
        <v>0.96720089107276375</v>
      </c>
      <c r="BJ35" s="66">
        <f t="shared" si="54"/>
        <v>0.95018422065478303</v>
      </c>
      <c r="BK35" s="66">
        <f t="shared" si="54"/>
        <v>0.93398904034464325</v>
      </c>
      <c r="BL35" s="66">
        <f t="shared" si="54"/>
        <v>0.94750849331316511</v>
      </c>
      <c r="BM35" s="66">
        <f t="shared" si="54"/>
        <v>0.94576858190732782</v>
      </c>
      <c r="BN35" s="66">
        <f t="shared" si="54"/>
        <v>1.0167269556581708</v>
      </c>
      <c r="BO35" s="66">
        <f t="shared" si="54"/>
        <v>0.98867780016525664</v>
      </c>
      <c r="BP35" s="66">
        <f t="shared" si="54"/>
        <v>1.0345789030684394</v>
      </c>
      <c r="BQ35" s="66">
        <f t="shared" si="54"/>
        <v>1.0044333878666334</v>
      </c>
      <c r="BR35" s="66">
        <f t="shared" si="54"/>
        <v>1.0247539376031156</v>
      </c>
      <c r="BS35" s="66">
        <f t="shared" si="54"/>
        <v>1.000681751710816</v>
      </c>
      <c r="BT35" s="66">
        <f t="shared" si="54"/>
        <v>0.97680423567544805</v>
      </c>
      <c r="BU35" s="66">
        <f t="shared" si="54"/>
        <v>0.96101720901078069</v>
      </c>
      <c r="BV35" s="66">
        <f t="shared" si="54"/>
        <v>1.015103266934632</v>
      </c>
      <c r="BW35" s="66">
        <f t="shared" si="54"/>
        <v>1.0082128543904059</v>
      </c>
      <c r="BX35" s="66">
        <f t="shared" si="54"/>
        <v>1.0366216265217121</v>
      </c>
      <c r="BY35" s="66">
        <f t="shared" si="54"/>
        <v>1.053141657244387</v>
      </c>
      <c r="BZ35" s="66" t="e">
        <f t="shared" si="54"/>
        <v>#DIV/0!</v>
      </c>
      <c r="CA35" s="66" t="e">
        <f t="shared" si="54"/>
        <v>#DIV/0!</v>
      </c>
      <c r="CB35" s="66" t="e">
        <f t="shared" si="54"/>
        <v>#DIV/0!</v>
      </c>
      <c r="CC35" s="66" t="e">
        <f t="shared" si="54"/>
        <v>#DIV/0!</v>
      </c>
      <c r="CD35" s="66" t="e">
        <f t="shared" si="54"/>
        <v>#DIV/0!</v>
      </c>
      <c r="CE35" s="66" t="e">
        <f t="shared" si="54"/>
        <v>#DIV/0!</v>
      </c>
      <c r="CF35" s="66" t="e">
        <f t="shared" si="54"/>
        <v>#DIV/0!</v>
      </c>
      <c r="CG35" s="66" t="e">
        <f t="shared" si="54"/>
        <v>#DIV/0!</v>
      </c>
      <c r="CH35" s="66" t="e">
        <f t="shared" si="54"/>
        <v>#DIV/0!</v>
      </c>
      <c r="CI35" s="66" t="e">
        <f t="shared" si="54"/>
        <v>#DIV/0!</v>
      </c>
      <c r="CJ35" s="66" t="e">
        <f t="shared" si="54"/>
        <v>#DIV/0!</v>
      </c>
      <c r="CK35" s="66" t="e">
        <f t="shared" si="54"/>
        <v>#DIV/0!</v>
      </c>
      <c r="CL35" s="66" t="e">
        <f t="shared" si="54"/>
        <v>#DIV/0!</v>
      </c>
      <c r="CM35" s="66" t="e">
        <f t="shared" si="54"/>
        <v>#DIV/0!</v>
      </c>
      <c r="CN35" s="66" t="e">
        <f t="shared" si="54"/>
        <v>#DIV/0!</v>
      </c>
      <c r="CO35" s="66" t="e">
        <f t="shared" si="54"/>
        <v>#DIV/0!</v>
      </c>
      <c r="CP35" s="66" t="e">
        <f t="shared" si="54"/>
        <v>#DIV/0!</v>
      </c>
      <c r="CQ35" s="66" t="e">
        <f t="shared" si="54"/>
        <v>#DIV/0!</v>
      </c>
      <c r="CR35" s="66" t="e">
        <f t="shared" si="54"/>
        <v>#DIV/0!</v>
      </c>
      <c r="CS35" s="66" t="e">
        <f t="shared" si="54"/>
        <v>#DIV/0!</v>
      </c>
      <c r="CT35" s="66" t="e">
        <f t="shared" si="54"/>
        <v>#DIV/0!</v>
      </c>
      <c r="CU35" s="66" t="e">
        <f t="shared" si="54"/>
        <v>#DIV/0!</v>
      </c>
      <c r="CV35" s="66" t="e">
        <f t="shared" si="54"/>
        <v>#DIV/0!</v>
      </c>
      <c r="CW35" s="69"/>
    </row>
    <row r="36" spans="1:101" ht="14.25" customHeight="1">
      <c r="A36" s="103"/>
      <c r="E36" s="83"/>
      <c r="I36" s="83"/>
      <c r="J36" s="213">
        <f t="array" ref="J36">_xlfn.STDEV.P(IF($E$5:$E$27=$E35,J$5:J$27))</f>
        <v>1.6101242188104619</v>
      </c>
      <c r="K36" s="65" t="s">
        <v>11</v>
      </c>
      <c r="L36" s="74">
        <f t="array" ref="L36">_xlfn.STDEV.P(IF($E$5:$E$27=$E35,L$5:L$27))</f>
        <v>1.7575235101952091</v>
      </c>
      <c r="M36" s="74">
        <f t="array" ref="M36">_xlfn.STDEV.P(IF($E$5:$E$27=$E35,M$5:M$27))</f>
        <v>0</v>
      </c>
      <c r="N36" s="74">
        <f t="array" ref="N36">_xlfn.STDEV.P(IF($E$5:$E$27=$E35,N$5:N$27))</f>
        <v>1.6101242188104619</v>
      </c>
      <c r="O36" s="74">
        <f t="array" ref="O36">_xlfn.STDEV.P(IF($E$5:$E$27=$E35,O$5:O$27))</f>
        <v>1.9259196937221099</v>
      </c>
      <c r="P36" s="74">
        <f t="array" ref="P36">_xlfn.STDEV.P(IF($E$5:$E$27=$E35,P$5:P$27))</f>
        <v>2.0130132195845669</v>
      </c>
      <c r="Q36" s="74">
        <f t="array" ref="Q36">_xlfn.STDEV.P(IF($E$5:$E$27=$E35,Q$5:Q$27))</f>
        <v>2.1219095173922939</v>
      </c>
      <c r="R36" s="74">
        <f t="array" ref="R36">_xlfn.STDEV.P(IF($E$5:$E$27=$E35,R$5:R$27))</f>
        <v>1.5499999999999992</v>
      </c>
      <c r="S36" s="74">
        <f t="array" ref="S36">_xlfn.STDEV.P(IF($E$5:$E$27=$E35,S$5:S$27))</f>
        <v>1.4590712418826193</v>
      </c>
      <c r="T36" s="74">
        <f t="array" ref="T36">_xlfn.STDEV.P(IF($E$5:$E$27=$E35,T$5:T$27))</f>
        <v>1.4948987330994108</v>
      </c>
      <c r="U36" s="74">
        <f t="array" ref="U36">_xlfn.STDEV.P(IF($E$5:$E$27=$E35,U$5:U$27))</f>
        <v>1.8944362984510437</v>
      </c>
      <c r="V36" s="74">
        <f t="array" ref="V36">_xlfn.STDEV.P(IF($E$5:$E$27=$E35,V$5:V$27))</f>
        <v>1.9119507199599988</v>
      </c>
      <c r="W36" s="74">
        <f t="array" ref="W36">_xlfn.STDEV.P(IF($E$5:$E$27=$E35,W$5:W$27))</f>
        <v>1.9405755160089322</v>
      </c>
      <c r="X36" s="74">
        <f t="array" ref="X36">_xlfn.STDEV.P(IF($E$5:$E$27=$E35,X$5:X$27))</f>
        <v>1.7449132420330309</v>
      </c>
      <c r="Y36" s="74">
        <f t="array" ref="Y36">_xlfn.STDEV.P(IF($E$5:$E$27=$E35,Y$5:Y$27))</f>
        <v>2.050541933787803</v>
      </c>
      <c r="Z36" s="74">
        <f t="array" ref="Z36">_xlfn.STDEV.P(IF($E$5:$E$27=$E35,Z$5:Z$27))</f>
        <v>1.8738700298817115</v>
      </c>
      <c r="AA36" s="74">
        <f t="array" ref="AA36">_xlfn.STDEV.P(IF($E$5:$E$27=$E35,AA$5:AA$27))</f>
        <v>1.9459359359101904</v>
      </c>
      <c r="AB36" s="74">
        <f t="array" ref="AB36">_xlfn.STDEV.P(IF($E$5:$E$27=$E35,AB$5:AB$27))</f>
        <v>2.0467453839368166</v>
      </c>
      <c r="AC36" s="74">
        <f t="array" ref="AC36">_xlfn.STDEV.P(IF($E$5:$E$27=$E35,AC$5:AC$27))</f>
        <v>11.061005077900166</v>
      </c>
      <c r="AD36" s="74">
        <f t="array" ref="AD36">_xlfn.STDEV.P(IF($E$5:$E$27=$E35,AD$5:AD$27))</f>
        <v>10.909425079056893</v>
      </c>
      <c r="AE36" s="74">
        <f t="array" ref="AE36">_xlfn.STDEV.P(IF($E$5:$E$27=$E35,AE$5:AE$27))</f>
        <v>15.255354251322169</v>
      </c>
      <c r="AF36" s="74">
        <f t="array" ref="AF36">_xlfn.STDEV.P(IF($E$5:$E$27=$E35,AF$5:AF$27))</f>
        <v>14.613996335324874</v>
      </c>
      <c r="AG36" s="74">
        <f t="array" ref="AG36">_xlfn.STDEV.P(IF($E$5:$E$27=$E35,AG$5:AG$27))</f>
        <v>0</v>
      </c>
      <c r="AH36" s="74">
        <f t="array" ref="AH36">_xlfn.STDEV.P(IF($E$5:$E$27=$E35,AH$5:AH$27))</f>
        <v>0</v>
      </c>
      <c r="AI36" s="74">
        <f t="array" ref="AI36">_xlfn.STDEV.P(IF($E$5:$E$27=$E35,AI$5:AI$27))</f>
        <v>0</v>
      </c>
      <c r="AJ36" s="74">
        <f t="array" ref="AJ36">_xlfn.STDEV.P(IF($E$5:$E$27=$E35,AJ$5:AJ$27))</f>
        <v>0</v>
      </c>
      <c r="AK36" s="74">
        <f t="array" ref="AK36">_xlfn.STDEV.P(IF($E$5:$E$27=$E35,AK$5:AK$27))</f>
        <v>0</v>
      </c>
      <c r="AL36" s="74">
        <f t="array" ref="AL36">_xlfn.STDEV.P(IF($E$5:$E$27=$E35,AL$5:AL$27))</f>
        <v>0</v>
      </c>
      <c r="AM36" s="74">
        <f t="array" ref="AM36">_xlfn.STDEV.P(IF($E$5:$E$27=$E35,AM$5:AM$27))</f>
        <v>0</v>
      </c>
      <c r="AN36" s="74">
        <f t="array" ref="AN36">_xlfn.STDEV.P(IF($E$5:$E$27=$E35,AN$5:AN$27))</f>
        <v>0</v>
      </c>
      <c r="AO36" s="74">
        <f t="array" ref="AO36">_xlfn.STDEV.P(IF($E$5:$E$27=$E35,AO$5:AO$27))</f>
        <v>0</v>
      </c>
      <c r="AP36" s="74">
        <f t="array" ref="AP36">_xlfn.STDEV.P(IF($E$5:$E$27=$E35,AP$5:AP$27))</f>
        <v>0</v>
      </c>
      <c r="AQ36" s="74">
        <f t="array" ref="AQ36">_xlfn.STDEV.P(IF($E$5:$E$27=$E35,AQ$5:AQ$27))</f>
        <v>0</v>
      </c>
      <c r="AR36" s="74">
        <f t="array" ref="AR36">_xlfn.STDEV.P(IF($E$5:$E$27=$E35,AR$5:AR$27))</f>
        <v>0</v>
      </c>
      <c r="AS36" s="74">
        <f t="array" ref="AS36">_xlfn.STDEV.P(IF($E$5:$E$27=$E35,AS$5:AS$27))</f>
        <v>0</v>
      </c>
      <c r="AT36" s="74">
        <f t="array" ref="AT36">_xlfn.STDEV.P(IF($E$5:$E$27=$E35,AT$5:AT$27))</f>
        <v>0</v>
      </c>
      <c r="AU36" s="74">
        <f t="array" ref="AU36">_xlfn.STDEV.P(IF($E$5:$E$27=$E35,AU$5:AU$27))</f>
        <v>0</v>
      </c>
      <c r="AV36" s="74">
        <f t="array" ref="AV36">_xlfn.STDEV.P(IF($E$5:$E$27=$E35,AV$5:AV$27))</f>
        <v>0</v>
      </c>
      <c r="AW36" s="74">
        <f t="array" ref="AW36">_xlfn.STDEV.P(IF($E$5:$E$27=$E35,AW$5:AW$27))</f>
        <v>0</v>
      </c>
      <c r="AX36" s="74">
        <f t="array" ref="AX36">_xlfn.STDEV.P(IF($E$5:$E$27=$E35,AX$5:AX$27))</f>
        <v>0</v>
      </c>
      <c r="AY36" s="74">
        <f t="array" ref="AY36">_xlfn.STDEV.P(IF($E$5:$E$27=$E35,AY$5:AY$27))</f>
        <v>0</v>
      </c>
      <c r="AZ36" s="74">
        <f t="array" ref="AZ36">_xlfn.STDEV.P(IF($E$5:$E$27=$E35,AZ$5:AZ$27))</f>
        <v>0</v>
      </c>
      <c r="BA36" s="74">
        <f t="array" ref="BA36">_xlfn.STDEV.P(IF($E$5:$E$27=$E35,BA$5:BA$27))</f>
        <v>0</v>
      </c>
      <c r="BB36" s="74">
        <f t="array" ref="BB36">_xlfn.STDEV.P(IF($E$5:$E$27=$E35,BB$5:BB$27))</f>
        <v>0</v>
      </c>
      <c r="BC36" s="74">
        <f t="array" ref="BC36">_xlfn.STDEV.P(IF($E$5:$E$27=$E35,BC$5:BC$27))</f>
        <v>0</v>
      </c>
      <c r="BD36" s="94" t="s">
        <v>11</v>
      </c>
      <c r="BE36" s="67">
        <f t="array" ref="BE36">_xlfn.STDEV.P(IF($E$5:$E$27=$E35,BE$5:BE$27))</f>
        <v>1.1756479978895909E-2</v>
      </c>
      <c r="BF36" s="67" t="e">
        <f t="array" ref="BF36">_xlfn.STDEV.P(IF($E$5:$E$27=$E35,BF$5:BF$27))</f>
        <v>#DIV/0!</v>
      </c>
      <c r="BG36" s="67">
        <f t="array" ref="BG36">_xlfn.STDEV.P(IF($E$5:$E$27=$E35,BG$5:BG$27))</f>
        <v>0</v>
      </c>
      <c r="BH36" s="67">
        <f t="array" ref="BH36">_xlfn.STDEV.P(IF($E$5:$E$27=$E35,BH$5:BH$27))</f>
        <v>2.1718786654018871E-2</v>
      </c>
      <c r="BI36" s="67">
        <f t="array" ref="BI36">_xlfn.STDEV.P(IF($E$5:$E$27=$E35,BI$5:BI$27))</f>
        <v>2.3211822680024738E-2</v>
      </c>
      <c r="BJ36" s="67">
        <f t="array" ref="BJ36">_xlfn.STDEV.P(IF($E$5:$E$27=$E35,BJ$5:BJ$27))</f>
        <v>3.1840673038876929E-2</v>
      </c>
      <c r="BK36" s="67">
        <f t="array" ref="BK36">_xlfn.STDEV.P(IF($E$5:$E$27=$E35,BK$5:BK$27))</f>
        <v>2.6074616119645736E-2</v>
      </c>
      <c r="BL36" s="67">
        <f t="array" ref="BL36">_xlfn.STDEV.P(IF($E$5:$E$27=$E35,BL$5:BL$27))</f>
        <v>2.2907295644096281E-2</v>
      </c>
      <c r="BM36" s="67">
        <f t="array" ref="BM36">_xlfn.STDEV.P(IF($E$5:$E$27=$E35,BM$5:BM$27))</f>
        <v>2.5933229187016488E-2</v>
      </c>
      <c r="BN36" s="67">
        <f t="array" ref="BN36">_xlfn.STDEV.P(IF($E$5:$E$27=$E35,BN$5:BN$27))</f>
        <v>2.8693021161630399E-2</v>
      </c>
      <c r="BO36" s="67">
        <f t="array" ref="BO36">_xlfn.STDEV.P(IF($E$5:$E$27=$E35,BO$5:BO$27))</f>
        <v>2.8777626876986057E-2</v>
      </c>
      <c r="BP36" s="67">
        <f t="array" ref="BP36">_xlfn.STDEV.P(IF($E$5:$E$27=$E35,BP$5:BP$27))</f>
        <v>2.344477575803567E-2</v>
      </c>
      <c r="BQ36" s="67">
        <f t="array" ref="BQ36">_xlfn.STDEV.P(IF($E$5:$E$27=$E35,BQ$5:BQ$27))</f>
        <v>1.2024724720756906E-2</v>
      </c>
      <c r="BR36" s="67">
        <f t="array" ref="BR36">_xlfn.STDEV.P(IF($E$5:$E$27=$E35,BR$5:BR$27))</f>
        <v>1.601849949410087E-2</v>
      </c>
      <c r="BS36" s="67">
        <f t="array" ref="BS36">_xlfn.STDEV.P(IF($E$5:$E$27=$E35,BS$5:BS$27))</f>
        <v>1.6977533899744827E-2</v>
      </c>
      <c r="BT36" s="67">
        <f t="array" ref="BT36">_xlfn.STDEV.P(IF($E$5:$E$27=$E35,BT$5:BT$27))</f>
        <v>2.6672311751993368E-2</v>
      </c>
      <c r="BU36" s="67">
        <f t="array" ref="BU36">_xlfn.STDEV.P(IF($E$5:$E$27=$E35,BU$5:BU$27))</f>
        <v>3.4187684499681591E-2</v>
      </c>
      <c r="BV36" s="67">
        <f t="array" ref="BV36">_xlfn.STDEV.P(IF($E$5:$E$27=$E35,BV$5:BV$27))</f>
        <v>3.9590592023365727E-2</v>
      </c>
      <c r="BW36" s="67">
        <f t="array" ref="BW36">_xlfn.STDEV.P(IF($E$5:$E$27=$E35,BW$5:BW$27))</f>
        <v>2.8864930005187358E-2</v>
      </c>
      <c r="BX36" s="67">
        <f t="array" ref="BX36">_xlfn.STDEV.P(IF($E$5:$E$27=$E35,BX$5:BX$27))</f>
        <v>2.6685653335805887E-2</v>
      </c>
      <c r="BY36" s="67">
        <f t="array" ref="BY36">_xlfn.STDEV.P(IF($E$5:$E$27=$E35,BY$5:BY$27))</f>
        <v>2.0029074462930119E-2</v>
      </c>
      <c r="BZ36" s="67" t="e">
        <f t="array" ref="BZ36">_xlfn.STDEV.P(IF($E$5:$E$27=$E35,BZ$5:BZ$27))</f>
        <v>#DIV/0!</v>
      </c>
      <c r="CA36" s="67" t="e">
        <f t="array" ref="CA36">_xlfn.STDEV.P(IF($E$5:$E$27=$E35,CA$5:CA$27))</f>
        <v>#DIV/0!</v>
      </c>
      <c r="CB36" s="67" t="e">
        <f t="array" ref="CB36">_xlfn.STDEV.P(IF($E$5:$E$27=$E35,CB$5:CB$27))</f>
        <v>#DIV/0!</v>
      </c>
      <c r="CC36" s="67" t="e">
        <f t="array" ref="CC36">_xlfn.STDEV.P(IF($E$5:$E$27=$E35,CC$5:CC$27))</f>
        <v>#DIV/0!</v>
      </c>
      <c r="CD36" s="67" t="e">
        <f t="array" ref="CD36">_xlfn.STDEV.P(IF($E$5:$E$27=$E35,CD$5:CD$27))</f>
        <v>#DIV/0!</v>
      </c>
      <c r="CE36" s="67" t="e">
        <f t="array" ref="CE36">_xlfn.STDEV.P(IF($E$5:$E$27=$E35,CE$5:CE$27))</f>
        <v>#DIV/0!</v>
      </c>
      <c r="CF36" s="67" t="e">
        <f t="array" ref="CF36">_xlfn.STDEV.P(IF($E$5:$E$27=$E35,CF$5:CF$27))</f>
        <v>#DIV/0!</v>
      </c>
      <c r="CG36" s="67" t="e">
        <f t="array" ref="CG36">_xlfn.STDEV.P(IF($E$5:$E$27=$E35,CG$5:CG$27))</f>
        <v>#DIV/0!</v>
      </c>
      <c r="CH36" s="67" t="e">
        <f t="array" ref="CH36">_xlfn.STDEV.P(IF($E$5:$E$27=$E35,CH$5:CH$27))</f>
        <v>#DIV/0!</v>
      </c>
      <c r="CI36" s="67" t="e">
        <f t="array" ref="CI36">_xlfn.STDEV.P(IF($E$5:$E$27=$E35,CI$5:CI$27))</f>
        <v>#DIV/0!</v>
      </c>
      <c r="CJ36" s="67" t="e">
        <f t="array" ref="CJ36">_xlfn.STDEV.P(IF($E$5:$E$27=$E35,CJ$5:CJ$27))</f>
        <v>#DIV/0!</v>
      </c>
      <c r="CK36" s="67" t="e">
        <f t="array" ref="CK36">_xlfn.STDEV.P(IF($E$5:$E$27=$E35,CK$5:CK$27))</f>
        <v>#DIV/0!</v>
      </c>
      <c r="CL36" s="67" t="e">
        <f t="array" ref="CL36">_xlfn.STDEV.P(IF($E$5:$E$27=$E35,CL$5:CL$27))</f>
        <v>#DIV/0!</v>
      </c>
      <c r="CM36" s="67" t="e">
        <f t="array" ref="CM36">_xlfn.STDEV.P(IF($E$5:$E$27=$E35,CM$5:CM$27))</f>
        <v>#DIV/0!</v>
      </c>
      <c r="CN36" s="67" t="e">
        <f t="array" ref="CN36">_xlfn.STDEV.P(IF($E$5:$E$27=$E35,CN$5:CN$27))</f>
        <v>#DIV/0!</v>
      </c>
      <c r="CO36" s="67" t="e">
        <f t="array" ref="CO36">_xlfn.STDEV.P(IF($E$5:$E$27=$E35,CO$5:CO$27))</f>
        <v>#DIV/0!</v>
      </c>
      <c r="CP36" s="67" t="e">
        <f t="array" ref="CP36">_xlfn.STDEV.P(IF($E$5:$E$27=$E35,CP$5:CP$27))</f>
        <v>#DIV/0!</v>
      </c>
      <c r="CQ36" s="67" t="e">
        <f t="array" ref="CQ36">_xlfn.STDEV.P(IF($E$5:$E$27=$E35,CQ$5:CQ$27))</f>
        <v>#DIV/0!</v>
      </c>
      <c r="CR36" s="67" t="e">
        <f t="array" ref="CR36">_xlfn.STDEV.P(IF($E$5:$E$27=$E35,CR$5:CR$27))</f>
        <v>#DIV/0!</v>
      </c>
      <c r="CS36" s="67" t="e">
        <f t="array" ref="CS36">_xlfn.STDEV.P(IF($E$5:$E$27=$E35,CS$5:CS$27))</f>
        <v>#DIV/0!</v>
      </c>
      <c r="CT36" s="67" t="e">
        <f t="array" ref="CT36">_xlfn.STDEV.P(IF($E$5:$E$27=$E35,CT$5:CT$27))</f>
        <v>#DIV/0!</v>
      </c>
      <c r="CU36" s="67" t="e">
        <f t="array" ref="CU36">_xlfn.STDEV.P(IF($E$5:$E$27=$E35,CU$5:CU$27))</f>
        <v>#DIV/0!</v>
      </c>
      <c r="CV36" s="67" t="e">
        <f t="array" ref="CV36">_xlfn.STDEV.P(IF($E$5:$E$27=$E35,CV$5:CV$27))</f>
        <v>#DIV/0!</v>
      </c>
      <c r="CW36" s="69"/>
    </row>
    <row r="37" spans="1:101" ht="15">
      <c r="A37" s="103"/>
      <c r="E37" s="45"/>
      <c r="I37" s="45"/>
    </row>
    <row r="38" spans="1:101" ht="14.25" customHeight="1">
      <c r="A38" s="103"/>
      <c r="E38" s="108" t="str">
        <f>'NAB_PTX Groups'!C8</f>
        <v>BxPc3 - Abraxane only</v>
      </c>
      <c r="I38" s="108" t="str">
        <f>E38</f>
        <v>BxPc3 - Abraxane only</v>
      </c>
      <c r="J38" s="213">
        <f>AVERAGEIF($E$5:$E$27,$E38,J$5:J$27)</f>
        <v>28.879999999999995</v>
      </c>
      <c r="K38" s="65" t="s">
        <v>9</v>
      </c>
      <c r="L38" s="71">
        <f t="shared" ref="L38:BC38" si="55">AVERAGEIF($E$5:$E$27,$E38,L$5:L$27)</f>
        <v>28.24</v>
      </c>
      <c r="M38" s="71" t="e">
        <f t="shared" si="55"/>
        <v>#DIV/0!</v>
      </c>
      <c r="N38" s="71">
        <f t="shared" si="55"/>
        <v>28.879999999999995</v>
      </c>
      <c r="O38" s="71">
        <f t="shared" si="55"/>
        <v>28.119999999999997</v>
      </c>
      <c r="P38" s="71">
        <f t="shared" si="55"/>
        <v>28.380000000000003</v>
      </c>
      <c r="Q38" s="71">
        <f t="shared" si="55"/>
        <v>28.679999999999996</v>
      </c>
      <c r="R38" s="71">
        <f t="shared" si="55"/>
        <v>27.439999999999998</v>
      </c>
      <c r="S38" s="71">
        <f t="shared" si="55"/>
        <v>28.18</v>
      </c>
      <c r="T38" s="71">
        <f t="shared" si="55"/>
        <v>28.339999999999996</v>
      </c>
      <c r="U38" s="71">
        <f t="shared" si="55"/>
        <v>29.22</v>
      </c>
      <c r="V38" s="71">
        <f t="shared" si="55"/>
        <v>27.659999999999997</v>
      </c>
      <c r="W38" s="71">
        <f t="shared" si="55"/>
        <v>28.2</v>
      </c>
      <c r="X38" s="71">
        <f t="shared" si="55"/>
        <v>27.52</v>
      </c>
      <c r="Y38" s="71">
        <f t="shared" si="55"/>
        <v>26.566666666666666</v>
      </c>
      <c r="Z38" s="71">
        <f t="shared" si="55"/>
        <v>26.75</v>
      </c>
      <c r="AA38" s="71">
        <f t="shared" si="55"/>
        <v>26.75</v>
      </c>
      <c r="AB38" s="71">
        <f t="shared" si="55"/>
        <v>28.2</v>
      </c>
      <c r="AC38" s="71">
        <f t="shared" si="55"/>
        <v>30</v>
      </c>
      <c r="AD38" s="71">
        <f t="shared" si="55"/>
        <v>29</v>
      </c>
      <c r="AE38" s="71">
        <f t="shared" si="55"/>
        <v>30.4</v>
      </c>
      <c r="AF38" s="71">
        <f t="shared" si="55"/>
        <v>30.6</v>
      </c>
      <c r="AG38" s="71">
        <f t="shared" si="55"/>
        <v>30.4</v>
      </c>
      <c r="AH38" s="71" t="e">
        <f t="shared" si="55"/>
        <v>#DIV/0!</v>
      </c>
      <c r="AI38" s="71" t="e">
        <f t="shared" si="55"/>
        <v>#DIV/0!</v>
      </c>
      <c r="AJ38" s="71" t="e">
        <f t="shared" si="55"/>
        <v>#DIV/0!</v>
      </c>
      <c r="AK38" s="71" t="e">
        <f t="shared" si="55"/>
        <v>#DIV/0!</v>
      </c>
      <c r="AL38" s="71" t="e">
        <f t="shared" si="55"/>
        <v>#DIV/0!</v>
      </c>
      <c r="AM38" s="71" t="e">
        <f t="shared" si="55"/>
        <v>#DIV/0!</v>
      </c>
      <c r="AN38" s="71" t="e">
        <f t="shared" si="55"/>
        <v>#DIV/0!</v>
      </c>
      <c r="AO38" s="71" t="e">
        <f t="shared" si="55"/>
        <v>#DIV/0!</v>
      </c>
      <c r="AP38" s="71" t="e">
        <f t="shared" si="55"/>
        <v>#DIV/0!</v>
      </c>
      <c r="AQ38" s="71" t="e">
        <f t="shared" si="55"/>
        <v>#DIV/0!</v>
      </c>
      <c r="AR38" s="71" t="e">
        <f t="shared" si="55"/>
        <v>#DIV/0!</v>
      </c>
      <c r="AS38" s="71" t="e">
        <f t="shared" si="55"/>
        <v>#DIV/0!</v>
      </c>
      <c r="AT38" s="71" t="e">
        <f t="shared" si="55"/>
        <v>#DIV/0!</v>
      </c>
      <c r="AU38" s="71" t="e">
        <f t="shared" si="55"/>
        <v>#DIV/0!</v>
      </c>
      <c r="AV38" s="71" t="e">
        <f t="shared" si="55"/>
        <v>#DIV/0!</v>
      </c>
      <c r="AW38" s="71" t="e">
        <f t="shared" si="55"/>
        <v>#DIV/0!</v>
      </c>
      <c r="AX38" s="71" t="e">
        <f t="shared" si="55"/>
        <v>#DIV/0!</v>
      </c>
      <c r="AY38" s="71" t="e">
        <f t="shared" si="55"/>
        <v>#DIV/0!</v>
      </c>
      <c r="AZ38" s="71" t="e">
        <f t="shared" si="55"/>
        <v>#DIV/0!</v>
      </c>
      <c r="BA38" s="71" t="e">
        <f t="shared" si="55"/>
        <v>#DIV/0!</v>
      </c>
      <c r="BB38" s="71" t="e">
        <f t="shared" si="55"/>
        <v>#DIV/0!</v>
      </c>
      <c r="BC38" s="71" t="e">
        <f t="shared" si="55"/>
        <v>#DIV/0!</v>
      </c>
      <c r="BD38" s="93" t="s">
        <v>9</v>
      </c>
      <c r="BE38" s="66">
        <f t="shared" ref="BE38:CV38" si="56">AVERAGEIF($E$5:$E$27,$E38,BE$5:BE$27)</f>
        <v>0.97871475047204493</v>
      </c>
      <c r="BF38" s="66" t="e">
        <f t="shared" si="56"/>
        <v>#DIV/0!</v>
      </c>
      <c r="BG38" s="66">
        <f t="shared" si="56"/>
        <v>1</v>
      </c>
      <c r="BH38" s="66">
        <f t="shared" si="56"/>
        <v>0.97453234762584895</v>
      </c>
      <c r="BI38" s="66">
        <f t="shared" si="56"/>
        <v>0.98481980359087407</v>
      </c>
      <c r="BJ38" s="66">
        <f t="shared" si="56"/>
        <v>0.99414135037594864</v>
      </c>
      <c r="BK38" s="66">
        <f t="shared" si="56"/>
        <v>0.95146622035922113</v>
      </c>
      <c r="BL38" s="66">
        <f t="shared" si="56"/>
        <v>0.97667207077502682</v>
      </c>
      <c r="BM38" s="66">
        <f t="shared" si="56"/>
        <v>0.98271211526890911</v>
      </c>
      <c r="BN38" s="66">
        <f t="shared" si="56"/>
        <v>1.0133554112858039</v>
      </c>
      <c r="BO38" s="66">
        <f t="shared" si="56"/>
        <v>0.95997066977354906</v>
      </c>
      <c r="BP38" s="66">
        <f t="shared" si="56"/>
        <v>0.97872934499923903</v>
      </c>
      <c r="BQ38" s="66">
        <f t="shared" si="56"/>
        <v>0.95471417854888807</v>
      </c>
      <c r="BR38" s="66">
        <f t="shared" si="56"/>
        <v>0.93004013866082846</v>
      </c>
      <c r="BS38" s="66">
        <f t="shared" si="56"/>
        <v>0.94275793650793649</v>
      </c>
      <c r="BT38" s="66">
        <f t="shared" si="56"/>
        <v>0.94260912698412702</v>
      </c>
      <c r="BU38" s="66">
        <f t="shared" si="56"/>
        <v>1.0071428571428571</v>
      </c>
      <c r="BV38" s="66">
        <f t="shared" si="56"/>
        <v>1.0714285714285714</v>
      </c>
      <c r="BW38" s="66">
        <f t="shared" si="56"/>
        <v>1.0357142857142858</v>
      </c>
      <c r="BX38" s="66">
        <f t="shared" si="56"/>
        <v>1.0857142857142856</v>
      </c>
      <c r="BY38" s="66">
        <f t="shared" si="56"/>
        <v>1.092857142857143</v>
      </c>
      <c r="BZ38" s="66">
        <f t="shared" si="56"/>
        <v>1.0857142857142856</v>
      </c>
      <c r="CA38" s="66" t="e">
        <f t="shared" si="56"/>
        <v>#DIV/0!</v>
      </c>
      <c r="CB38" s="66" t="e">
        <f t="shared" si="56"/>
        <v>#DIV/0!</v>
      </c>
      <c r="CC38" s="66" t="e">
        <f t="shared" si="56"/>
        <v>#DIV/0!</v>
      </c>
      <c r="CD38" s="66" t="e">
        <f t="shared" si="56"/>
        <v>#DIV/0!</v>
      </c>
      <c r="CE38" s="66" t="e">
        <f t="shared" si="56"/>
        <v>#DIV/0!</v>
      </c>
      <c r="CF38" s="66" t="e">
        <f t="shared" si="56"/>
        <v>#DIV/0!</v>
      </c>
      <c r="CG38" s="66" t="e">
        <f t="shared" si="56"/>
        <v>#DIV/0!</v>
      </c>
      <c r="CH38" s="66" t="e">
        <f t="shared" si="56"/>
        <v>#DIV/0!</v>
      </c>
      <c r="CI38" s="66" t="e">
        <f t="shared" si="56"/>
        <v>#DIV/0!</v>
      </c>
      <c r="CJ38" s="66" t="e">
        <f t="shared" si="56"/>
        <v>#DIV/0!</v>
      </c>
      <c r="CK38" s="66" t="e">
        <f t="shared" si="56"/>
        <v>#DIV/0!</v>
      </c>
      <c r="CL38" s="66" t="e">
        <f t="shared" si="56"/>
        <v>#DIV/0!</v>
      </c>
      <c r="CM38" s="66" t="e">
        <f t="shared" si="56"/>
        <v>#DIV/0!</v>
      </c>
      <c r="CN38" s="66" t="e">
        <f t="shared" si="56"/>
        <v>#DIV/0!</v>
      </c>
      <c r="CO38" s="66" t="e">
        <f t="shared" si="56"/>
        <v>#DIV/0!</v>
      </c>
      <c r="CP38" s="66" t="e">
        <f t="shared" si="56"/>
        <v>#DIV/0!</v>
      </c>
      <c r="CQ38" s="66" t="e">
        <f t="shared" si="56"/>
        <v>#DIV/0!</v>
      </c>
      <c r="CR38" s="66" t="e">
        <f t="shared" si="56"/>
        <v>#DIV/0!</v>
      </c>
      <c r="CS38" s="66" t="e">
        <f t="shared" si="56"/>
        <v>#DIV/0!</v>
      </c>
      <c r="CT38" s="66" t="e">
        <f t="shared" si="56"/>
        <v>#DIV/0!</v>
      </c>
      <c r="CU38" s="66" t="e">
        <f t="shared" si="56"/>
        <v>#DIV/0!</v>
      </c>
      <c r="CV38" s="66" t="e">
        <f t="shared" si="56"/>
        <v>#DIV/0!</v>
      </c>
      <c r="CW38" s="69"/>
    </row>
    <row r="39" spans="1:101" ht="14.25" customHeight="1">
      <c r="A39" s="103"/>
      <c r="E39" s="83"/>
      <c r="I39" s="83"/>
      <c r="J39" s="213">
        <f t="array" ref="J39">_xlfn.STDEV.P(IF($E$5:$E$27=$E38,J$5:J$27))</f>
        <v>2.8861046412075906</v>
      </c>
      <c r="K39" s="65" t="s">
        <v>11</v>
      </c>
      <c r="L39" s="74">
        <f t="array" ref="L39">_xlfn.STDEV.P(IF($E$5:$E$27=$E38,L$5:L$27))</f>
        <v>2.5904439773907471</v>
      </c>
      <c r="M39" s="74">
        <f t="array" ref="M39">_xlfn.STDEV.P(IF($E$5:$E$27=$E38,M$5:M$27))</f>
        <v>0</v>
      </c>
      <c r="N39" s="74">
        <f t="array" ref="N39">_xlfn.STDEV.P(IF($E$5:$E$27=$E38,N$5:N$27))</f>
        <v>2.8861046412075906</v>
      </c>
      <c r="O39" s="74">
        <f t="array" ref="O39">_xlfn.STDEV.P(IF($E$5:$E$27=$E38,O$5:O$27))</f>
        <v>2.6026140705068039</v>
      </c>
      <c r="P39" s="74">
        <f t="array" ref="P39">_xlfn.STDEV.P(IF($E$5:$E$27=$E38,P$5:P$27))</f>
        <v>2.2328457179124594</v>
      </c>
      <c r="Q39" s="74">
        <f t="array" ref="Q39">_xlfn.STDEV.P(IF($E$5:$E$27=$E38,Q$5:Q$27))</f>
        <v>2.5979992301769448</v>
      </c>
      <c r="R39" s="74">
        <f t="array" ref="R39">_xlfn.STDEV.P(IF($E$5:$E$27=$E38,R$5:R$27))</f>
        <v>2.8625862432422928</v>
      </c>
      <c r="S39" s="74">
        <f t="array" ref="S39">_xlfn.STDEV.P(IF($E$5:$E$27=$E38,S$5:S$27))</f>
        <v>2.6225178741049593</v>
      </c>
      <c r="T39" s="74">
        <f t="array" ref="T39">_xlfn.STDEV.P(IF($E$5:$E$27=$E38,T$5:T$27))</f>
        <v>2.4694938752708002</v>
      </c>
      <c r="U39" s="74">
        <f t="array" ref="U39">_xlfn.STDEV.P(IF($E$5:$E$27=$E38,U$5:U$27))</f>
        <v>2.479032069175386</v>
      </c>
      <c r="V39" s="74">
        <f t="array" ref="V39">_xlfn.STDEV.P(IF($E$5:$E$27=$E38,V$5:V$27))</f>
        <v>2.2059918404200856</v>
      </c>
      <c r="W39" s="74">
        <f t="array" ref="W39">_xlfn.STDEV.P(IF($E$5:$E$27=$E38,W$5:W$27))</f>
        <v>2.3832750575625963</v>
      </c>
      <c r="X39" s="74">
        <f t="array" ref="X39">_xlfn.STDEV.P(IF($E$5:$E$27=$E38,X$5:X$27))</f>
        <v>2.6407574670915919</v>
      </c>
      <c r="Y39" s="74">
        <f t="array" ref="Y39">_xlfn.STDEV.P(IF($E$5:$E$27=$E38,Y$5:Y$27))</f>
        <v>13.083974931189683</v>
      </c>
      <c r="Z39" s="74">
        <f t="array" ref="Z39">_xlfn.STDEV.P(IF($E$5:$E$27=$E38,Z$5:Z$27))</f>
        <v>13.132554968474338</v>
      </c>
      <c r="AA39" s="74">
        <f t="array" ref="AA39">_xlfn.STDEV.P(IF($E$5:$E$27=$E38,AA$5:AA$27))</f>
        <v>13.121585270080745</v>
      </c>
      <c r="AB39" s="74">
        <f t="array" ref="AB39">_xlfn.STDEV.P(IF($E$5:$E$27=$E38,AB$5:AB$27))</f>
        <v>11.28</v>
      </c>
      <c r="AC39" s="74">
        <f t="array" ref="AC39">_xlfn.STDEV.P(IF($E$5:$E$27=$E38,AC$5:AC$27))</f>
        <v>12</v>
      </c>
      <c r="AD39" s="74">
        <f t="array" ref="AD39">_xlfn.STDEV.P(IF($E$5:$E$27=$E38,AD$5:AD$27))</f>
        <v>11.6</v>
      </c>
      <c r="AE39" s="74">
        <f t="array" ref="AE39">_xlfn.STDEV.P(IF($E$5:$E$27=$E38,AE$5:AE$27))</f>
        <v>12.16</v>
      </c>
      <c r="AF39" s="74">
        <f t="array" ref="AF39">_xlfn.STDEV.P(IF($E$5:$E$27=$E38,AF$5:AF$27))</f>
        <v>12.240000000000002</v>
      </c>
      <c r="AG39" s="74">
        <f t="array" ref="AG39">_xlfn.STDEV.P(IF($E$5:$E$27=$E38,AG$5:AG$27))</f>
        <v>12.16</v>
      </c>
      <c r="AH39" s="74">
        <f t="array" ref="AH39">_xlfn.STDEV.P(IF($E$5:$E$27=$E38,AH$5:AH$27))</f>
        <v>0</v>
      </c>
      <c r="AI39" s="74">
        <f t="array" ref="AI39">_xlfn.STDEV.P(IF($E$5:$E$27=$E38,AI$5:AI$27))</f>
        <v>0</v>
      </c>
      <c r="AJ39" s="74">
        <f t="array" ref="AJ39">_xlfn.STDEV.P(IF($E$5:$E$27=$E38,AJ$5:AJ$27))</f>
        <v>0</v>
      </c>
      <c r="AK39" s="74">
        <f t="array" ref="AK39">_xlfn.STDEV.P(IF($E$5:$E$27=$E38,AK$5:AK$27))</f>
        <v>0</v>
      </c>
      <c r="AL39" s="74">
        <f t="array" ref="AL39">_xlfn.STDEV.P(IF($E$5:$E$27=$E38,AL$5:AL$27))</f>
        <v>0</v>
      </c>
      <c r="AM39" s="74">
        <f t="array" ref="AM39">_xlfn.STDEV.P(IF($E$5:$E$27=$E38,AM$5:AM$27))</f>
        <v>0</v>
      </c>
      <c r="AN39" s="74">
        <f t="array" ref="AN39">_xlfn.STDEV.P(IF($E$5:$E$27=$E38,AN$5:AN$27))</f>
        <v>0</v>
      </c>
      <c r="AO39" s="74">
        <f t="array" ref="AO39">_xlfn.STDEV.P(IF($E$5:$E$27=$E38,AO$5:AO$27))</f>
        <v>0</v>
      </c>
      <c r="AP39" s="74">
        <f t="array" ref="AP39">_xlfn.STDEV.P(IF($E$5:$E$27=$E38,AP$5:AP$27))</f>
        <v>0</v>
      </c>
      <c r="AQ39" s="74">
        <f t="array" ref="AQ39">_xlfn.STDEV.P(IF($E$5:$E$27=$E38,AQ$5:AQ$27))</f>
        <v>0</v>
      </c>
      <c r="AR39" s="74">
        <f t="array" ref="AR39">_xlfn.STDEV.P(IF($E$5:$E$27=$E38,AR$5:AR$27))</f>
        <v>0</v>
      </c>
      <c r="AS39" s="74">
        <f t="array" ref="AS39">_xlfn.STDEV.P(IF($E$5:$E$27=$E38,AS$5:AS$27))</f>
        <v>0</v>
      </c>
      <c r="AT39" s="74">
        <f t="array" ref="AT39">_xlfn.STDEV.P(IF($E$5:$E$27=$E38,AT$5:AT$27))</f>
        <v>0</v>
      </c>
      <c r="AU39" s="74">
        <f t="array" ref="AU39">_xlfn.STDEV.P(IF($E$5:$E$27=$E38,AU$5:AU$27))</f>
        <v>0</v>
      </c>
      <c r="AV39" s="74">
        <f t="array" ref="AV39">_xlfn.STDEV.P(IF($E$5:$E$27=$E38,AV$5:AV$27))</f>
        <v>0</v>
      </c>
      <c r="AW39" s="74">
        <f t="array" ref="AW39">_xlfn.STDEV.P(IF($E$5:$E$27=$E38,AW$5:AW$27))</f>
        <v>0</v>
      </c>
      <c r="AX39" s="74">
        <f t="array" ref="AX39">_xlfn.STDEV.P(IF($E$5:$E$27=$E38,AX$5:AX$27))</f>
        <v>0</v>
      </c>
      <c r="AY39" s="74">
        <f t="array" ref="AY39">_xlfn.STDEV.P(IF($E$5:$E$27=$E38,AY$5:AY$27))</f>
        <v>0</v>
      </c>
      <c r="AZ39" s="74">
        <f t="array" ref="AZ39">_xlfn.STDEV.P(IF($E$5:$E$27=$E38,AZ$5:AZ$27))</f>
        <v>0</v>
      </c>
      <c r="BA39" s="74">
        <f t="array" ref="BA39">_xlfn.STDEV.P(IF($E$5:$E$27=$E38,BA$5:BA$27))</f>
        <v>0</v>
      </c>
      <c r="BB39" s="74">
        <f t="array" ref="BB39">_xlfn.STDEV.P(IF($E$5:$E$27=$E38,BB$5:BB$27))</f>
        <v>0</v>
      </c>
      <c r="BC39" s="74">
        <f t="array" ref="BC39">_xlfn.STDEV.P(IF($E$5:$E$27=$E38,BC$5:BC$27))</f>
        <v>0</v>
      </c>
      <c r="BD39" s="94" t="s">
        <v>11</v>
      </c>
      <c r="BE39" s="67">
        <f t="array" ref="BE39">_xlfn.STDEV.P(IF($E$5:$E$27=$E38,BE$5:BE$27))</f>
        <v>1.1856546503514715E-2</v>
      </c>
      <c r="BF39" s="67" t="e">
        <f t="array" ref="BF39">_xlfn.STDEV.P(IF($E$5:$E$27=$E38,BF$5:BF$27))</f>
        <v>#DIV/0!</v>
      </c>
      <c r="BG39" s="67">
        <f t="array" ref="BG39">_xlfn.STDEV.P(IF($E$5:$E$27=$E38,BG$5:BG$27))</f>
        <v>0</v>
      </c>
      <c r="BH39" s="67">
        <f t="array" ref="BH39">_xlfn.STDEV.P(IF($E$5:$E$27=$E38,BH$5:BH$27))</f>
        <v>1.3145077496202933E-2</v>
      </c>
      <c r="BI39" s="67">
        <f t="array" ref="BI39">_xlfn.STDEV.P(IF($E$5:$E$27=$E38,BI$5:BI$27))</f>
        <v>2.3814998915687328E-2</v>
      </c>
      <c r="BJ39" s="67">
        <f t="array" ref="BJ39">_xlfn.STDEV.P(IF($E$5:$E$27=$E38,BJ$5:BJ$27))</f>
        <v>1.6087439092286479E-2</v>
      </c>
      <c r="BK39" s="67">
        <f t="array" ref="BK39">_xlfn.STDEV.P(IF($E$5:$E$27=$E38,BK$5:BK$27))</f>
        <v>5.2845447334779701E-2</v>
      </c>
      <c r="BL39" s="67">
        <f t="array" ref="BL39">_xlfn.STDEV.P(IF($E$5:$E$27=$E38,BL$5:BL$27))</f>
        <v>1.9886264872791899E-2</v>
      </c>
      <c r="BM39" s="67">
        <f t="array" ref="BM39">_xlfn.STDEV.P(IF($E$5:$E$27=$E38,BM$5:BM$27))</f>
        <v>1.8852949916712221E-2</v>
      </c>
      <c r="BN39" s="67">
        <f t="array" ref="BN39">_xlfn.STDEV.P(IF($E$5:$E$27=$E38,BN$5:BN$27))</f>
        <v>2.0907651235184694E-2</v>
      </c>
      <c r="BO39" s="67">
        <f t="array" ref="BO39">_xlfn.STDEV.P(IF($E$5:$E$27=$E38,BO$5:BO$27))</f>
        <v>3.1166782911729855E-2</v>
      </c>
      <c r="BP39" s="67">
        <f t="array" ref="BP39">_xlfn.STDEV.P(IF($E$5:$E$27=$E38,BP$5:BP$27))</f>
        <v>4.3632377903294134E-2</v>
      </c>
      <c r="BQ39" s="67">
        <f t="array" ref="BQ39">_xlfn.STDEV.P(IF($E$5:$E$27=$E38,BQ$5:BQ$27))</f>
        <v>5.105801303845757E-2</v>
      </c>
      <c r="BR39" s="67">
        <f t="array" ref="BR39">_xlfn.STDEV.P(IF($E$5:$E$27=$E38,BR$5:BR$27))</f>
        <v>7.5329620085925489E-2</v>
      </c>
      <c r="BS39" s="67">
        <f t="array" ref="BS39">_xlfn.STDEV.P(IF($E$5:$E$27=$E38,BS$5:BS$27))</f>
        <v>6.0813492063492069E-2</v>
      </c>
      <c r="BT39" s="67">
        <f t="array" ref="BT39">_xlfn.STDEV.P(IF($E$5:$E$27=$E38,BT$5:BT$27))</f>
        <v>5.0248015873015917E-2</v>
      </c>
      <c r="BU39" s="67">
        <f t="array" ref="BU39">_xlfn.STDEV.P(IF($E$5:$E$27=$E38,BU$5:BU$27))</f>
        <v>0</v>
      </c>
      <c r="BV39" s="67">
        <f t="array" ref="BV39">_xlfn.STDEV.P(IF($E$5:$E$27=$E38,BV$5:BV$27))</f>
        <v>0</v>
      </c>
      <c r="BW39" s="67">
        <f t="array" ref="BW39">_xlfn.STDEV.P(IF($E$5:$E$27=$E38,BW$5:BW$27))</f>
        <v>0</v>
      </c>
      <c r="BX39" s="67">
        <f t="array" ref="BX39">_xlfn.STDEV.P(IF($E$5:$E$27=$E38,BX$5:BX$27))</f>
        <v>0</v>
      </c>
      <c r="BY39" s="67">
        <f t="array" ref="BY39">_xlfn.STDEV.P(IF($E$5:$E$27=$E38,BY$5:BY$27))</f>
        <v>0</v>
      </c>
      <c r="BZ39" s="67">
        <f t="array" ref="BZ39">_xlfn.STDEV.P(IF($E$5:$E$27=$E38,BZ$5:BZ$27))</f>
        <v>0</v>
      </c>
      <c r="CA39" s="67" t="e">
        <f t="array" ref="CA39">_xlfn.STDEV.P(IF($E$5:$E$27=$E38,CA$5:CA$27))</f>
        <v>#DIV/0!</v>
      </c>
      <c r="CB39" s="67" t="e">
        <f t="array" ref="CB39">_xlfn.STDEV.P(IF($E$5:$E$27=$E38,CB$5:CB$27))</f>
        <v>#DIV/0!</v>
      </c>
      <c r="CC39" s="67" t="e">
        <f t="array" ref="CC39">_xlfn.STDEV.P(IF($E$5:$E$27=$E38,CC$5:CC$27))</f>
        <v>#DIV/0!</v>
      </c>
      <c r="CD39" s="67" t="e">
        <f t="array" ref="CD39">_xlfn.STDEV.P(IF($E$5:$E$27=$E38,CD$5:CD$27))</f>
        <v>#DIV/0!</v>
      </c>
      <c r="CE39" s="67" t="e">
        <f t="array" ref="CE39">_xlfn.STDEV.P(IF($E$5:$E$27=$E38,CE$5:CE$27))</f>
        <v>#DIV/0!</v>
      </c>
      <c r="CF39" s="67" t="e">
        <f t="array" ref="CF39">_xlfn.STDEV.P(IF($E$5:$E$27=$E38,CF$5:CF$27))</f>
        <v>#DIV/0!</v>
      </c>
      <c r="CG39" s="67" t="e">
        <f t="array" ref="CG39">_xlfn.STDEV.P(IF($E$5:$E$27=$E38,CG$5:CG$27))</f>
        <v>#DIV/0!</v>
      </c>
      <c r="CH39" s="67" t="e">
        <f t="array" ref="CH39">_xlfn.STDEV.P(IF($E$5:$E$27=$E38,CH$5:CH$27))</f>
        <v>#DIV/0!</v>
      </c>
      <c r="CI39" s="67" t="e">
        <f t="array" ref="CI39">_xlfn.STDEV.P(IF($E$5:$E$27=$E38,CI$5:CI$27))</f>
        <v>#DIV/0!</v>
      </c>
      <c r="CJ39" s="67" t="e">
        <f t="array" ref="CJ39">_xlfn.STDEV.P(IF($E$5:$E$27=$E38,CJ$5:CJ$27))</f>
        <v>#DIV/0!</v>
      </c>
      <c r="CK39" s="67" t="e">
        <f t="array" ref="CK39">_xlfn.STDEV.P(IF($E$5:$E$27=$E38,CK$5:CK$27))</f>
        <v>#DIV/0!</v>
      </c>
      <c r="CL39" s="67" t="e">
        <f t="array" ref="CL39">_xlfn.STDEV.P(IF($E$5:$E$27=$E38,CL$5:CL$27))</f>
        <v>#DIV/0!</v>
      </c>
      <c r="CM39" s="67" t="e">
        <f t="array" ref="CM39">_xlfn.STDEV.P(IF($E$5:$E$27=$E38,CM$5:CM$27))</f>
        <v>#DIV/0!</v>
      </c>
      <c r="CN39" s="67" t="e">
        <f t="array" ref="CN39">_xlfn.STDEV.P(IF($E$5:$E$27=$E38,CN$5:CN$27))</f>
        <v>#DIV/0!</v>
      </c>
      <c r="CO39" s="67" t="e">
        <f t="array" ref="CO39">_xlfn.STDEV.P(IF($E$5:$E$27=$E38,CO$5:CO$27))</f>
        <v>#DIV/0!</v>
      </c>
      <c r="CP39" s="67" t="e">
        <f t="array" ref="CP39">_xlfn.STDEV.P(IF($E$5:$E$27=$E38,CP$5:CP$27))</f>
        <v>#DIV/0!</v>
      </c>
      <c r="CQ39" s="67" t="e">
        <f t="array" ref="CQ39">_xlfn.STDEV.P(IF($E$5:$E$27=$E38,CQ$5:CQ$27))</f>
        <v>#DIV/0!</v>
      </c>
      <c r="CR39" s="67" t="e">
        <f t="array" ref="CR39">_xlfn.STDEV.P(IF($E$5:$E$27=$E38,CR$5:CR$27))</f>
        <v>#DIV/0!</v>
      </c>
      <c r="CS39" s="67" t="e">
        <f t="array" ref="CS39">_xlfn.STDEV.P(IF($E$5:$E$27=$E38,CS$5:CS$27))</f>
        <v>#DIV/0!</v>
      </c>
      <c r="CT39" s="67" t="e">
        <f t="array" ref="CT39">_xlfn.STDEV.P(IF($E$5:$E$27=$E38,CT$5:CT$27))</f>
        <v>#DIV/0!</v>
      </c>
      <c r="CU39" s="67" t="e">
        <f t="array" ref="CU39">_xlfn.STDEV.P(IF($E$5:$E$27=$E38,CU$5:CU$27))</f>
        <v>#DIV/0!</v>
      </c>
      <c r="CV39" s="67" t="e">
        <f t="array" ref="CV39">_xlfn.STDEV.P(IF($E$5:$E$27=$E38,CV$5:CV$27))</f>
        <v>#DIV/0!</v>
      </c>
      <c r="CW39" s="69"/>
    </row>
    <row r="40" spans="1:101" ht="15">
      <c r="A40" s="103"/>
      <c r="E40" s="45"/>
      <c r="I40" s="45"/>
    </row>
    <row r="41" spans="1:101" ht="14.25" customHeight="1">
      <c r="A41" s="103"/>
      <c r="E41" s="108" t="str">
        <f>'NAB_PTX Groups'!C9</f>
        <v>BxPc3 - Abraxane Combo</v>
      </c>
      <c r="I41" s="108" t="str">
        <f>E41</f>
        <v>BxPc3 - Abraxane Combo</v>
      </c>
      <c r="J41" s="213">
        <f>AVERAGEIF($E$5:$E$27,$E41,J$5:J$27)</f>
        <v>28.316666666666666</v>
      </c>
      <c r="K41" s="65" t="s">
        <v>9</v>
      </c>
      <c r="L41" s="71">
        <f t="shared" ref="L41:BC41" si="57">AVERAGEIF($E$5:$E$27,$E41,L$5:L$27)</f>
        <v>28.183333333333337</v>
      </c>
      <c r="M41" s="71" t="e">
        <f t="shared" si="57"/>
        <v>#DIV/0!</v>
      </c>
      <c r="N41" s="71">
        <f t="shared" si="57"/>
        <v>28.316666666666666</v>
      </c>
      <c r="O41" s="71">
        <f t="shared" si="57"/>
        <v>26.883333333333336</v>
      </c>
      <c r="P41" s="71">
        <f t="shared" si="57"/>
        <v>26.766666666666666</v>
      </c>
      <c r="Q41" s="71">
        <f t="shared" si="57"/>
        <v>26.75</v>
      </c>
      <c r="R41" s="71">
        <f t="shared" si="57"/>
        <v>25.649999999999995</v>
      </c>
      <c r="S41" s="71">
        <f t="shared" si="57"/>
        <v>26.133333333333329</v>
      </c>
      <c r="T41" s="71">
        <f t="shared" si="57"/>
        <v>26.466666666666669</v>
      </c>
      <c r="U41" s="71">
        <f t="shared" si="57"/>
        <v>28.283333333333331</v>
      </c>
      <c r="V41" s="71">
        <f t="shared" si="57"/>
        <v>28.049999999999997</v>
      </c>
      <c r="W41" s="71">
        <f t="shared" si="57"/>
        <v>29.266666666666666</v>
      </c>
      <c r="X41" s="71">
        <f t="shared" si="57"/>
        <v>28.650000000000002</v>
      </c>
      <c r="Y41" s="71">
        <f t="shared" si="57"/>
        <v>29.450000000000003</v>
      </c>
      <c r="Z41" s="71">
        <f t="shared" si="57"/>
        <v>29</v>
      </c>
      <c r="AA41" s="71">
        <f t="shared" si="57"/>
        <v>28.766666666666666</v>
      </c>
      <c r="AB41" s="71">
        <f t="shared" si="57"/>
        <v>28.849999999999998</v>
      </c>
      <c r="AC41" s="71">
        <f t="shared" si="57"/>
        <v>29.95</v>
      </c>
      <c r="AD41" s="71">
        <f t="shared" si="57"/>
        <v>28.816666666666663</v>
      </c>
      <c r="AE41" s="71">
        <f t="shared" si="57"/>
        <v>29.816666666666666</v>
      </c>
      <c r="AF41" s="71">
        <f t="shared" si="57"/>
        <v>28.619999999999997</v>
      </c>
      <c r="AG41" s="71">
        <f t="shared" si="57"/>
        <v>28.919999999999998</v>
      </c>
      <c r="AH41" s="71">
        <f t="shared" si="57"/>
        <v>29.18</v>
      </c>
      <c r="AI41" s="71">
        <f t="shared" si="57"/>
        <v>29.18</v>
      </c>
      <c r="AJ41" s="71">
        <f t="shared" si="57"/>
        <v>29.999999999999993</v>
      </c>
      <c r="AK41" s="71">
        <f t="shared" si="57"/>
        <v>29.080000000000002</v>
      </c>
      <c r="AL41" s="71">
        <f t="shared" si="57"/>
        <v>29.275000000000002</v>
      </c>
      <c r="AM41" s="71">
        <f t="shared" si="57"/>
        <v>29.324999999999996</v>
      </c>
      <c r="AN41" s="71">
        <f t="shared" si="57"/>
        <v>29.375</v>
      </c>
      <c r="AO41" s="71">
        <f t="shared" si="57"/>
        <v>29.925000000000001</v>
      </c>
      <c r="AP41" s="71">
        <f t="shared" si="57"/>
        <v>30.074999999999999</v>
      </c>
      <c r="AQ41" s="71">
        <f t="shared" si="57"/>
        <v>30.5</v>
      </c>
      <c r="AR41" s="71">
        <f t="shared" si="57"/>
        <v>29.45</v>
      </c>
      <c r="AS41" s="71">
        <f t="shared" si="57"/>
        <v>29.625</v>
      </c>
      <c r="AT41" s="71">
        <f t="shared" si="57"/>
        <v>29.875</v>
      </c>
      <c r="AU41" s="71">
        <f t="shared" si="57"/>
        <v>29.675000000000001</v>
      </c>
      <c r="AV41" s="71">
        <f t="shared" si="57"/>
        <v>29.074999999999996</v>
      </c>
      <c r="AW41" s="71">
        <f t="shared" si="57"/>
        <v>30.024999999999999</v>
      </c>
      <c r="AX41" s="71">
        <f t="shared" si="57"/>
        <v>30.174999999999997</v>
      </c>
      <c r="AY41" s="71">
        <f t="shared" si="57"/>
        <v>30.324999999999999</v>
      </c>
      <c r="AZ41" s="71">
        <f t="shared" si="57"/>
        <v>30.633333333333329</v>
      </c>
      <c r="BA41" s="71">
        <f t="shared" si="57"/>
        <v>30.666666666666668</v>
      </c>
      <c r="BB41" s="71">
        <f t="shared" si="57"/>
        <v>30.266666666666666</v>
      </c>
      <c r="BC41" s="71">
        <f t="shared" si="57"/>
        <v>30.566666666666666</v>
      </c>
      <c r="BD41" s="93" t="s">
        <v>9</v>
      </c>
      <c r="BE41" s="66">
        <f t="shared" ref="BE41:CV41" si="58">AVERAGEIF($E$5:$E$27,$E41,BE$5:BE$27)</f>
        <v>0.9953533391101036</v>
      </c>
      <c r="BF41" s="66" t="e">
        <f t="shared" si="58"/>
        <v>#DIV/0!</v>
      </c>
      <c r="BG41" s="66">
        <f t="shared" si="58"/>
        <v>1</v>
      </c>
      <c r="BH41" s="66">
        <f t="shared" si="58"/>
        <v>0.94987637390016622</v>
      </c>
      <c r="BI41" s="66">
        <f t="shared" si="58"/>
        <v>0.94645453467599483</v>
      </c>
      <c r="BJ41" s="66">
        <f t="shared" si="58"/>
        <v>0.94588195376346518</v>
      </c>
      <c r="BK41" s="66">
        <f t="shared" si="58"/>
        <v>0.90600963297894987</v>
      </c>
      <c r="BL41" s="66">
        <f t="shared" si="58"/>
        <v>0.92466043389994912</v>
      </c>
      <c r="BM41" s="66">
        <f t="shared" si="58"/>
        <v>0.93588761959272881</v>
      </c>
      <c r="BN41" s="66">
        <f t="shared" si="58"/>
        <v>0.99879128214754775</v>
      </c>
      <c r="BO41" s="66">
        <f t="shared" si="58"/>
        <v>0.99084850431201055</v>
      </c>
      <c r="BP41" s="66">
        <f t="shared" si="58"/>
        <v>1.0348067197033697</v>
      </c>
      <c r="BQ41" s="66">
        <f t="shared" si="58"/>
        <v>1.0135969553150728</v>
      </c>
      <c r="BR41" s="66">
        <f t="shared" si="58"/>
        <v>1.0418318221435683</v>
      </c>
      <c r="BS41" s="66">
        <f t="shared" si="58"/>
        <v>1.0249043906451281</v>
      </c>
      <c r="BT41" s="66">
        <f t="shared" si="58"/>
        <v>1.0173459401287654</v>
      </c>
      <c r="BU41" s="66">
        <f t="shared" si="58"/>
        <v>1.0196915220346947</v>
      </c>
      <c r="BV41" s="66">
        <f t="shared" si="58"/>
        <v>1.0578119634964984</v>
      </c>
      <c r="BW41" s="66">
        <f t="shared" si="58"/>
        <v>1.0170713136224137</v>
      </c>
      <c r="BX41" s="66">
        <f t="shared" si="58"/>
        <v>1.0528170275887152</v>
      </c>
      <c r="BY41" s="66">
        <f t="shared" si="58"/>
        <v>1.051483257901499</v>
      </c>
      <c r="BZ41" s="66">
        <f t="shared" si="58"/>
        <v>1.062855945068248</v>
      </c>
      <c r="CA41" s="66">
        <f t="shared" si="58"/>
        <v>1.0723640861842845</v>
      </c>
      <c r="CB41" s="66">
        <f t="shared" si="58"/>
        <v>1.0720505140153398</v>
      </c>
      <c r="CC41" s="66">
        <f t="shared" si="58"/>
        <v>1.1022596465168211</v>
      </c>
      <c r="CD41" s="66">
        <f t="shared" si="58"/>
        <v>1.0688065382360334</v>
      </c>
      <c r="CE41" s="66">
        <f t="shared" si="58"/>
        <v>1.087367352093205</v>
      </c>
      <c r="CF41" s="66">
        <f t="shared" si="58"/>
        <v>1.0890061781463922</v>
      </c>
      <c r="CG41" s="66">
        <f t="shared" si="58"/>
        <v>1.0906903638400838</v>
      </c>
      <c r="CH41" s="66">
        <f t="shared" si="58"/>
        <v>1.111151930516215</v>
      </c>
      <c r="CI41" s="66">
        <f t="shared" si="58"/>
        <v>1.1168377518954671</v>
      </c>
      <c r="CJ41" s="66">
        <f t="shared" si="58"/>
        <v>1.1327543273944565</v>
      </c>
      <c r="CK41" s="66">
        <f t="shared" si="58"/>
        <v>1.0938856809888893</v>
      </c>
      <c r="CL41" s="66">
        <f t="shared" si="58"/>
        <v>1.1006773851579488</v>
      </c>
      <c r="CM41" s="66">
        <f t="shared" si="58"/>
        <v>1.1099217164825719</v>
      </c>
      <c r="CN41" s="66">
        <f t="shared" si="58"/>
        <v>1.1024926605048826</v>
      </c>
      <c r="CO41" s="66">
        <f t="shared" si="58"/>
        <v>1.0812023314145196</v>
      </c>
      <c r="CP41" s="66">
        <f t="shared" si="58"/>
        <v>1.1155455314129563</v>
      </c>
      <c r="CQ41" s="66">
        <f t="shared" si="58"/>
        <v>1.1209092545240908</v>
      </c>
      <c r="CR41" s="66">
        <f t="shared" si="58"/>
        <v>1.1261719324442123</v>
      </c>
      <c r="CS41" s="66">
        <f t="shared" si="58"/>
        <v>1.1600991587411551</v>
      </c>
      <c r="CT41" s="66">
        <f t="shared" si="58"/>
        <v>1.1620907227765147</v>
      </c>
      <c r="CU41" s="66">
        <f t="shared" si="58"/>
        <v>1.1469890119525157</v>
      </c>
      <c r="CV41" s="66">
        <f t="shared" si="58"/>
        <v>1.1586873752040956</v>
      </c>
      <c r="CW41" s="69"/>
    </row>
    <row r="42" spans="1:101" ht="14.25" customHeight="1">
      <c r="A42" s="103"/>
      <c r="E42" s="108"/>
      <c r="I42" s="83"/>
      <c r="J42" s="213">
        <f t="array" ref="J42">_xlfn.STDEV.P(IF($E$5:$E$27=$E41,J$5:J$27))</f>
        <v>2.6822979368858744</v>
      </c>
      <c r="K42" s="65" t="s">
        <v>11</v>
      </c>
      <c r="L42" s="74">
        <f t="array" ref="L42">_xlfn.STDEV.P(IF($E$5:$E$27=$E41,L$5:L$27))</f>
        <v>2.7522213250794758</v>
      </c>
      <c r="M42" s="74">
        <f t="array" ref="M42">_xlfn.STDEV.P(IF($E$5:$E$27=$E41,M$5:M$27))</f>
        <v>0</v>
      </c>
      <c r="N42" s="74">
        <f t="array" ref="N42">_xlfn.STDEV.P(IF($E$5:$E$27=$E41,N$5:N$27))</f>
        <v>2.6822979368858744</v>
      </c>
      <c r="O42" s="74">
        <f t="array" ref="O42">_xlfn.STDEV.P(IF($E$5:$E$27=$E41,O$5:O$27))</f>
        <v>2.4120645836203387</v>
      </c>
      <c r="P42" s="74">
        <f t="array" ref="P42">_xlfn.STDEV.P(IF($E$5:$E$27=$E41,P$5:P$27))</f>
        <v>2.1661537854506601</v>
      </c>
      <c r="Q42" s="74">
        <f t="array" ref="Q42">_xlfn.STDEV.P(IF($E$5:$E$27=$E41,Q$5:Q$27))</f>
        <v>2.3485811319461241</v>
      </c>
      <c r="R42" s="74">
        <f t="array" ref="R42">_xlfn.STDEV.P(IF($E$5:$E$27=$E41,R$5:R$27))</f>
        <v>2.5779513830430423</v>
      </c>
      <c r="S42" s="74">
        <f t="array" ref="S42">_xlfn.STDEV.P(IF($E$5:$E$27=$E41,S$5:S$27))</f>
        <v>2.0442330808615949</v>
      </c>
      <c r="T42" s="74">
        <f t="array" ref="T42">_xlfn.STDEV.P(IF($E$5:$E$27=$E41,T$5:T$27))</f>
        <v>2.5978623691198282</v>
      </c>
      <c r="U42" s="74">
        <f t="array" ref="U42">_xlfn.STDEV.P(IF($E$5:$E$27=$E41,U$5:U$27))</f>
        <v>2.889876967777163</v>
      </c>
      <c r="V42" s="74">
        <f t="array" ref="V42">_xlfn.STDEV.P(IF($E$5:$E$27=$E41,V$5:V$27))</f>
        <v>2.6170912606683521</v>
      </c>
      <c r="W42" s="74">
        <f t="array" ref="W42">_xlfn.STDEV.P(IF($E$5:$E$27=$E41,W$5:W$27))</f>
        <v>2.3795424396766331</v>
      </c>
      <c r="X42" s="74">
        <f t="array" ref="X42">_xlfn.STDEV.P(IF($E$5:$E$27=$E41,X$5:X$27))</f>
        <v>2.2772424845266976</v>
      </c>
      <c r="Y42" s="74">
        <f t="array" ref="Y42">_xlfn.STDEV.P(IF($E$5:$E$27=$E41,Y$5:Y$27))</f>
        <v>2.4026027553467935</v>
      </c>
      <c r="Z42" s="74">
        <f t="array" ref="Z42">_xlfn.STDEV.P(IF($E$5:$E$27=$E41,Z$5:Z$27))</f>
        <v>2.6901053263146908</v>
      </c>
      <c r="AA42" s="74">
        <f t="array" ref="AA42">_xlfn.STDEV.P(IF($E$5:$E$27=$E41,AA$5:AA$27))</f>
        <v>2.5031091777139003</v>
      </c>
      <c r="AB42" s="74">
        <f t="array" ref="AB42">_xlfn.STDEV.P(IF($E$5:$E$27=$E41,AB$5:AB$27))</f>
        <v>2.6493709945318469</v>
      </c>
      <c r="AC42" s="74">
        <f t="array" ref="AC42">_xlfn.STDEV.P(IF($E$5:$E$27=$E41,AC$5:AC$27))</f>
        <v>2.897556441785619</v>
      </c>
      <c r="AD42" s="74">
        <f t="array" ref="AD42">_xlfn.STDEV.P(IF($E$5:$E$27=$E41,AD$5:AD$27))</f>
        <v>3.0311805547601036</v>
      </c>
      <c r="AE42" s="74">
        <f t="array" ref="AE42">_xlfn.STDEV.P(IF($E$5:$E$27=$E41,AE$5:AE$27))</f>
        <v>3.0650811118504349</v>
      </c>
      <c r="AF42" s="74">
        <f t="array" ref="AF42">_xlfn.STDEV.P(IF($E$5:$E$27=$E41,AF$5:AF$27))</f>
        <v>10.776324357899906</v>
      </c>
      <c r="AG42" s="74">
        <f t="array" ref="AG42">_xlfn.STDEV.P(IF($E$5:$E$27=$E41,AG$5:AG$27))</f>
        <v>10.873821775254553</v>
      </c>
      <c r="AH42" s="74">
        <f t="array" ref="AH42">_xlfn.STDEV.P(IF($E$5:$E$27=$E41,AH$5:AH$27))</f>
        <v>10.979893239715746</v>
      </c>
      <c r="AI42" s="74">
        <f t="array" ref="AI42">_xlfn.STDEV.P(IF($E$5:$E$27=$E41,AI$5:AI$27))</f>
        <v>10.982928672363409</v>
      </c>
      <c r="AJ42" s="74">
        <f t="array" ref="AJ42">_xlfn.STDEV.P(IF($E$5:$E$27=$E41,AJ$5:AJ$27))</f>
        <v>11.279479893446629</v>
      </c>
      <c r="AK42" s="74">
        <f t="array" ref="AK42">_xlfn.STDEV.P(IF($E$5:$E$27=$E41,AK$5:AK$27))</f>
        <v>10.941003407163146</v>
      </c>
      <c r="AL42" s="74">
        <f t="array" ref="AL42">_xlfn.STDEV.P(IF($E$5:$E$27=$E41,AL$5:AL$27))</f>
        <v>13.903167105215832</v>
      </c>
      <c r="AM42" s="74">
        <f t="array" ref="AM42">_xlfn.STDEV.P(IF($E$5:$E$27=$E41,AM$5:AM$27))</f>
        <v>13.938764890285894</v>
      </c>
      <c r="AN42" s="74">
        <f t="array" ref="AN42">_xlfn.STDEV.P(IF($E$5:$E$27=$E41,AN$5:AN$27))</f>
        <v>13.962141271627674</v>
      </c>
      <c r="AO42" s="74">
        <f t="array" ref="AO42">_xlfn.STDEV.P(IF($E$5:$E$27=$E41,AO$5:AO$27))</f>
        <v>14.210060989782328</v>
      </c>
      <c r="AP42" s="74">
        <f t="array" ref="AP42">_xlfn.STDEV.P(IF($E$5:$E$27=$E41,AP$5:AP$27))</f>
        <v>14.273722943460356</v>
      </c>
      <c r="AQ42" s="74">
        <f t="array" ref="AQ42">_xlfn.STDEV.P(IF($E$5:$E$27=$E41,AQ$5:AQ$27))</f>
        <v>14.495248263559414</v>
      </c>
      <c r="AR42" s="74">
        <f t="array" ref="AR42">_xlfn.STDEV.P(IF($E$5:$E$27=$E41,AR$5:AR$27))</f>
        <v>13.99507850003787</v>
      </c>
      <c r="AS42" s="74">
        <f t="array" ref="AS42">_xlfn.STDEV.P(IF($E$5:$E$27=$E41,AS$5:AS$27))</f>
        <v>14.075954674550498</v>
      </c>
      <c r="AT42" s="74">
        <f t="array" ref="AT42">_xlfn.STDEV.P(IF($E$5:$E$27=$E41,AT$5:AT$27))</f>
        <v>14.205094938866907</v>
      </c>
      <c r="AU42" s="74">
        <f t="array" ref="AU42">_xlfn.STDEV.P(IF($E$5:$E$27=$E41,AU$5:AU$27))</f>
        <v>14.119657298327821</v>
      </c>
      <c r="AV42" s="74">
        <f t="array" ref="AV42">_xlfn.STDEV.P(IF($E$5:$E$27=$E41,AV$5:AV$27))</f>
        <v>13.763407604546522</v>
      </c>
      <c r="AW42" s="74">
        <f t="array" ref="AW42">_xlfn.STDEV.P(IF($E$5:$E$27=$E41,AW$5:AW$27))</f>
        <v>14.250896657949477</v>
      </c>
      <c r="AX42" s="74">
        <f t="array" ref="AX42">_xlfn.STDEV.P(IF($E$5:$E$27=$E41,AX$5:AX$27))</f>
        <v>14.30832119976189</v>
      </c>
      <c r="AY42" s="74">
        <f t="array" ref="AY42">_xlfn.STDEV.P(IF($E$5:$E$27=$E41,AY$5:AY$27))</f>
        <v>14.400742650602744</v>
      </c>
      <c r="AZ42" s="74">
        <f t="array" ref="AZ42">_xlfn.STDEV.P(IF($E$5:$E$27=$E41,AZ$5:AZ$27))</f>
        <v>15.45028766362908</v>
      </c>
      <c r="BA42" s="74">
        <f t="array" ref="BA42">_xlfn.STDEV.P(IF($E$5:$E$27=$E41,BA$5:BA$27))</f>
        <v>15.399531017389961</v>
      </c>
      <c r="BB42" s="74">
        <f t="array" ref="BB42">_xlfn.STDEV.P(IF($E$5:$E$27=$E41,BB$5:BB$27))</f>
        <v>15.199524846374491</v>
      </c>
      <c r="BC42" s="74">
        <f t="array" ref="BC42">_xlfn.STDEV.P(IF($E$5:$E$27=$E41,BC$5:BC$27))</f>
        <v>15.344968411683206</v>
      </c>
      <c r="BD42" s="94" t="s">
        <v>11</v>
      </c>
      <c r="BE42" s="67">
        <f t="array" ref="BE42">_xlfn.STDEV.P(IF($E$5:$E$27=$E41,BE$5:BE$27))</f>
        <v>3.2754031785107593E-2</v>
      </c>
      <c r="BF42" s="67" t="e">
        <f t="array" ref="BF42">_xlfn.STDEV.P(IF($E$5:$E$27=$E41,BF$5:BF$27))</f>
        <v>#DIV/0!</v>
      </c>
      <c r="BG42" s="67">
        <f t="array" ref="BG42">_xlfn.STDEV.P(IF($E$5:$E$27=$E41,BG$5:BG$27))</f>
        <v>0</v>
      </c>
      <c r="BH42" s="67">
        <f t="array" ref="BH42">_xlfn.STDEV.P(IF($E$5:$E$27=$E41,BH$5:BH$27))</f>
        <v>1.6416631409491487E-2</v>
      </c>
      <c r="BI42" s="67">
        <f t="array" ref="BI42">_xlfn.STDEV.P(IF($E$5:$E$27=$E41,BI$5:BI$27))</f>
        <v>1.7084959597341267E-2</v>
      </c>
      <c r="BJ42" s="67">
        <f t="array" ref="BJ42">_xlfn.STDEV.P(IF($E$5:$E$27=$E41,BJ$5:BJ$27))</f>
        <v>3.6378712973956222E-2</v>
      </c>
      <c r="BK42" s="67">
        <f t="array" ref="BK42">_xlfn.STDEV.P(IF($E$5:$E$27=$E41,BK$5:BK$27))</f>
        <v>3.4493329120832826E-2</v>
      </c>
      <c r="BL42" s="67">
        <f t="array" ref="BL42">_xlfn.STDEV.P(IF($E$5:$E$27=$E41,BL$5:BL$27))</f>
        <v>3.3654095486780611E-2</v>
      </c>
      <c r="BM42" s="67">
        <f t="array" ref="BM42">_xlfn.STDEV.P(IF($E$5:$E$27=$E41,BM$5:BM$27))</f>
        <v>5.4711664597476915E-2</v>
      </c>
      <c r="BN42" s="67">
        <f t="array" ref="BN42">_xlfn.STDEV.P(IF($E$5:$E$27=$E41,BN$5:BN$27))</f>
        <v>3.7641662951099442E-2</v>
      </c>
      <c r="BO42" s="67">
        <f t="array" ref="BO42">_xlfn.STDEV.P(IF($E$5:$E$27=$E41,BO$5:BO$27))</f>
        <v>1.6557636470229543E-2</v>
      </c>
      <c r="BP42" s="67">
        <f t="array" ref="BP42">_xlfn.STDEV.P(IF($E$5:$E$27=$E41,BP$5:BP$27))</f>
        <v>1.8034807356048455E-2</v>
      </c>
      <c r="BQ42" s="67">
        <f t="array" ref="BQ42">_xlfn.STDEV.P(IF($E$5:$E$27=$E41,BQ$5:BQ$27))</f>
        <v>3.7743045101388983E-2</v>
      </c>
      <c r="BR42" s="67">
        <f t="array" ref="BR42">_xlfn.STDEV.P(IF($E$5:$E$27=$E41,BR$5:BR$27))</f>
        <v>4.2126044297405268E-2</v>
      </c>
      <c r="BS42" s="67">
        <f t="array" ref="BS42">_xlfn.STDEV.P(IF($E$5:$E$27=$E41,BS$5:BS$27))</f>
        <v>3.8662654587748153E-2</v>
      </c>
      <c r="BT42" s="67">
        <f t="array" ref="BT42">_xlfn.STDEV.P(IF($E$5:$E$27=$E41,BT$5:BT$27))</f>
        <v>4.2621152132132877E-2</v>
      </c>
      <c r="BU42" s="67">
        <f t="array" ref="BU42">_xlfn.STDEV.P(IF($E$5:$E$27=$E41,BU$5:BU$27))</f>
        <v>3.7741796153929023E-2</v>
      </c>
      <c r="BV42" s="67">
        <f t="array" ref="BV42">_xlfn.STDEV.P(IF($E$5:$E$27=$E41,BV$5:BV$27))</f>
        <v>2.9992528883468372E-2</v>
      </c>
      <c r="BW42" s="67">
        <f t="array" ref="BW42">_xlfn.STDEV.P(IF($E$5:$E$27=$E41,BW$5:BW$27))</f>
        <v>3.2519013301439623E-2</v>
      </c>
      <c r="BX42" s="67">
        <f t="array" ref="BX42">_xlfn.STDEV.P(IF($E$5:$E$27=$E41,BX$5:BX$27))</f>
        <v>3.8322431433550942E-2</v>
      </c>
      <c r="BY42" s="67">
        <f t="array" ref="BY42">_xlfn.STDEV.P(IF($E$5:$E$27=$E41,BY$5:BY$27))</f>
        <v>4.4378427647015897E-2</v>
      </c>
      <c r="BZ42" s="67">
        <f t="array" ref="BZ42">_xlfn.STDEV.P(IF($E$5:$E$27=$E41,BZ$5:BZ$27))</f>
        <v>4.6458407141389019E-2</v>
      </c>
      <c r="CA42" s="67">
        <f t="array" ref="CA42">_xlfn.STDEV.P(IF($E$5:$E$27=$E41,CA$5:CA$27))</f>
        <v>4.8644593924088618E-2</v>
      </c>
      <c r="CB42" s="67">
        <f t="array" ref="CB42">_xlfn.STDEV.P(IF($E$5:$E$27=$E41,CB$5:CB$27))</f>
        <v>4.2941065903540562E-2</v>
      </c>
      <c r="CC42" s="67">
        <f t="array" ref="CC42">_xlfn.STDEV.P(IF($E$5:$E$27=$E41,CC$5:CC$27))</f>
        <v>4.0962639729867904E-2</v>
      </c>
      <c r="CD42" s="67">
        <f t="array" ref="CD42">_xlfn.STDEV.P(IF($E$5:$E$27=$E41,CD$5:CD$27))</f>
        <v>5.1170428912924094E-2</v>
      </c>
      <c r="CE42" s="67">
        <f t="array" ref="CE42">_xlfn.STDEV.P(IF($E$5:$E$27=$E41,CE$5:CE$27))</f>
        <v>6.3231319559567928E-2</v>
      </c>
      <c r="CF42" s="67">
        <f t="array" ref="CF42">_xlfn.STDEV.P(IF($E$5:$E$27=$E41,CF$5:CF$27))</f>
        <v>6.5057747811534228E-2</v>
      </c>
      <c r="CG42" s="67">
        <f t="array" ref="CG42">_xlfn.STDEV.P(IF($E$5:$E$27=$E41,CG$5:CG$27))</f>
        <v>6.185100895782953E-2</v>
      </c>
      <c r="CH42" s="67">
        <f t="array" ref="CH42">_xlfn.STDEV.P(IF($E$5:$E$27=$E41,CH$5:CH$27))</f>
        <v>5.7192889442163365E-2</v>
      </c>
      <c r="CI42" s="67">
        <f t="array" ref="CI42">_xlfn.STDEV.P(IF($E$5:$E$27=$E41,CI$5:CI$27))</f>
        <v>5.5511982958634451E-2</v>
      </c>
      <c r="CJ42" s="67">
        <f t="array" ref="CJ42">_xlfn.STDEV.P(IF($E$5:$E$27=$E41,CJ$5:CJ$27))</f>
        <v>6.8980318600641147E-2</v>
      </c>
      <c r="CK42" s="67">
        <f t="array" ref="CK42">_xlfn.STDEV.P(IF($E$5:$E$27=$E41,CK$5:CK$27))</f>
        <v>6.7904052554718722E-2</v>
      </c>
      <c r="CL42" s="67">
        <f t="array" ref="CL42">_xlfn.STDEV.P(IF($E$5:$E$27=$E41,CL$5:CL$27))</f>
        <v>7.1620697464457511E-2</v>
      </c>
      <c r="CM42" s="67">
        <f t="array" ref="CM42">_xlfn.STDEV.P(IF($E$5:$E$27=$E41,CM$5:CM$27))</f>
        <v>7.5330350156936371E-2</v>
      </c>
      <c r="CN42" s="67">
        <f t="array" ref="CN42">_xlfn.STDEV.P(IF($E$5:$E$27=$E41,CN$5:CN$27))</f>
        <v>7.8074337155079609E-2</v>
      </c>
      <c r="CO42" s="67">
        <f t="array" ref="CO42">_xlfn.STDEV.P(IF($E$5:$E$27=$E41,CO$5:CO$27))</f>
        <v>6.364060262706879E-2</v>
      </c>
      <c r="CP42" s="67">
        <f t="array" ref="CP42">_xlfn.STDEV.P(IF($E$5:$E$27=$E41,CP$5:CP$27))</f>
        <v>6.5796721982671072E-2</v>
      </c>
      <c r="CQ42" s="67">
        <f t="array" ref="CQ42">_xlfn.STDEV.P(IF($E$5:$E$27=$E41,CQ$5:CQ$27))</f>
        <v>5.677772496939628E-2</v>
      </c>
      <c r="CR42" s="67">
        <f t="array" ref="CR42">_xlfn.STDEV.P(IF($E$5:$E$27=$E41,CR$5:CR$27))</f>
        <v>6.150461105717895E-2</v>
      </c>
      <c r="CS42" s="67">
        <f t="array" ref="CS42">_xlfn.STDEV.P(IF($E$5:$E$27=$E41,CS$5:CS$27))</f>
        <v>8.1372000174833939E-2</v>
      </c>
      <c r="CT42" s="67">
        <f t="array" ref="CT42">_xlfn.STDEV.P(IF($E$5:$E$27=$E41,CT$5:CT$27))</f>
        <v>4.927841124191619E-2</v>
      </c>
      <c r="CU42" s="67">
        <f t="array" ref="CU42">_xlfn.STDEV.P(IF($E$5:$E$27=$E41,CU$5:CU$27))</f>
        <v>5.0872555412583211E-2</v>
      </c>
      <c r="CV42" s="67">
        <f t="array" ref="CV42">_xlfn.STDEV.P(IF($E$5:$E$27=$E41,CV$5:CV$27))</f>
        <v>5.4975965488803312E-2</v>
      </c>
      <c r="CW42" s="69"/>
    </row>
    <row r="43" spans="1:101" ht="15">
      <c r="A43" s="103"/>
      <c r="E43" s="108"/>
      <c r="I43" s="45"/>
    </row>
    <row r="44" spans="1:101" ht="14.25" customHeight="1">
      <c r="A44" s="103"/>
      <c r="E44" s="108" t="str">
        <f>'NAB_PTX Groups'!C10</f>
        <v>Group 5</v>
      </c>
      <c r="I44" s="108" t="str">
        <f>E44</f>
        <v>Group 5</v>
      </c>
      <c r="J44" s="213" t="e">
        <f>AVERAGEIF($E$5:$E$27,$E44,J$5:J$27)</f>
        <v>#DIV/0!</v>
      </c>
      <c r="K44" s="65" t="s">
        <v>9</v>
      </c>
      <c r="L44" s="71" t="e">
        <f t="shared" ref="L44:BC44" si="59">AVERAGEIF($E$5:$E$27,$E44,L$5:L$27)</f>
        <v>#DIV/0!</v>
      </c>
      <c r="M44" s="71" t="e">
        <f t="shared" si="59"/>
        <v>#DIV/0!</v>
      </c>
      <c r="N44" s="71" t="e">
        <f t="shared" si="59"/>
        <v>#DIV/0!</v>
      </c>
      <c r="O44" s="71" t="e">
        <f t="shared" si="59"/>
        <v>#DIV/0!</v>
      </c>
      <c r="P44" s="71" t="e">
        <f t="shared" si="59"/>
        <v>#DIV/0!</v>
      </c>
      <c r="Q44" s="71" t="e">
        <f t="shared" si="59"/>
        <v>#DIV/0!</v>
      </c>
      <c r="R44" s="71" t="e">
        <f t="shared" si="59"/>
        <v>#DIV/0!</v>
      </c>
      <c r="S44" s="71" t="e">
        <f t="shared" si="59"/>
        <v>#DIV/0!</v>
      </c>
      <c r="T44" s="71" t="e">
        <f t="shared" si="59"/>
        <v>#DIV/0!</v>
      </c>
      <c r="U44" s="71" t="e">
        <f t="shared" si="59"/>
        <v>#DIV/0!</v>
      </c>
      <c r="V44" s="71" t="e">
        <f t="shared" si="59"/>
        <v>#DIV/0!</v>
      </c>
      <c r="W44" s="71" t="e">
        <f t="shared" si="59"/>
        <v>#DIV/0!</v>
      </c>
      <c r="X44" s="71" t="e">
        <f t="shared" si="59"/>
        <v>#DIV/0!</v>
      </c>
      <c r="Y44" s="71" t="e">
        <f t="shared" si="59"/>
        <v>#DIV/0!</v>
      </c>
      <c r="Z44" s="71" t="e">
        <f t="shared" si="59"/>
        <v>#DIV/0!</v>
      </c>
      <c r="AA44" s="71" t="e">
        <f t="shared" si="59"/>
        <v>#DIV/0!</v>
      </c>
      <c r="AB44" s="71" t="e">
        <f t="shared" si="59"/>
        <v>#DIV/0!</v>
      </c>
      <c r="AC44" s="71" t="e">
        <f t="shared" si="59"/>
        <v>#DIV/0!</v>
      </c>
      <c r="AD44" s="71" t="e">
        <f t="shared" si="59"/>
        <v>#DIV/0!</v>
      </c>
      <c r="AE44" s="71" t="e">
        <f t="shared" si="59"/>
        <v>#DIV/0!</v>
      </c>
      <c r="AF44" s="71" t="e">
        <f t="shared" si="59"/>
        <v>#DIV/0!</v>
      </c>
      <c r="AG44" s="71" t="e">
        <f t="shared" si="59"/>
        <v>#DIV/0!</v>
      </c>
      <c r="AH44" s="71" t="e">
        <f t="shared" si="59"/>
        <v>#DIV/0!</v>
      </c>
      <c r="AI44" s="71" t="e">
        <f t="shared" si="59"/>
        <v>#DIV/0!</v>
      </c>
      <c r="AJ44" s="71" t="e">
        <f t="shared" si="59"/>
        <v>#DIV/0!</v>
      </c>
      <c r="AK44" s="71" t="e">
        <f t="shared" si="59"/>
        <v>#DIV/0!</v>
      </c>
      <c r="AL44" s="71" t="e">
        <f t="shared" si="59"/>
        <v>#DIV/0!</v>
      </c>
      <c r="AM44" s="71" t="e">
        <f t="shared" si="59"/>
        <v>#DIV/0!</v>
      </c>
      <c r="AN44" s="71" t="e">
        <f t="shared" si="59"/>
        <v>#DIV/0!</v>
      </c>
      <c r="AO44" s="71" t="e">
        <f t="shared" si="59"/>
        <v>#DIV/0!</v>
      </c>
      <c r="AP44" s="71" t="e">
        <f t="shared" si="59"/>
        <v>#DIV/0!</v>
      </c>
      <c r="AQ44" s="71" t="e">
        <f t="shared" si="59"/>
        <v>#DIV/0!</v>
      </c>
      <c r="AR44" s="71" t="e">
        <f t="shared" si="59"/>
        <v>#DIV/0!</v>
      </c>
      <c r="AS44" s="71" t="e">
        <f t="shared" si="59"/>
        <v>#DIV/0!</v>
      </c>
      <c r="AT44" s="71" t="e">
        <f t="shared" si="59"/>
        <v>#DIV/0!</v>
      </c>
      <c r="AU44" s="71" t="e">
        <f t="shared" si="59"/>
        <v>#DIV/0!</v>
      </c>
      <c r="AV44" s="71" t="e">
        <f t="shared" si="59"/>
        <v>#DIV/0!</v>
      </c>
      <c r="AW44" s="71" t="e">
        <f t="shared" si="59"/>
        <v>#DIV/0!</v>
      </c>
      <c r="AX44" s="71" t="e">
        <f t="shared" si="59"/>
        <v>#DIV/0!</v>
      </c>
      <c r="AY44" s="71" t="e">
        <f t="shared" si="59"/>
        <v>#DIV/0!</v>
      </c>
      <c r="AZ44" s="71" t="e">
        <f t="shared" si="59"/>
        <v>#DIV/0!</v>
      </c>
      <c r="BA44" s="71" t="e">
        <f t="shared" si="59"/>
        <v>#DIV/0!</v>
      </c>
      <c r="BB44" s="71" t="e">
        <f t="shared" si="59"/>
        <v>#DIV/0!</v>
      </c>
      <c r="BC44" s="71" t="e">
        <f t="shared" si="59"/>
        <v>#DIV/0!</v>
      </c>
      <c r="BD44" s="93" t="s">
        <v>9</v>
      </c>
      <c r="BE44" s="66" t="e">
        <f t="shared" ref="BE44:CV44" si="60">AVERAGEIF($E$5:$E$27,$E44,BE$5:BE$27)</f>
        <v>#DIV/0!</v>
      </c>
      <c r="BF44" s="66" t="e">
        <f t="shared" si="60"/>
        <v>#DIV/0!</v>
      </c>
      <c r="BG44" s="66" t="e">
        <f t="shared" si="60"/>
        <v>#DIV/0!</v>
      </c>
      <c r="BH44" s="66" t="e">
        <f t="shared" si="60"/>
        <v>#DIV/0!</v>
      </c>
      <c r="BI44" s="66" t="e">
        <f t="shared" si="60"/>
        <v>#DIV/0!</v>
      </c>
      <c r="BJ44" s="66" t="e">
        <f t="shared" si="60"/>
        <v>#DIV/0!</v>
      </c>
      <c r="BK44" s="66" t="e">
        <f t="shared" si="60"/>
        <v>#DIV/0!</v>
      </c>
      <c r="BL44" s="66" t="e">
        <f t="shared" si="60"/>
        <v>#DIV/0!</v>
      </c>
      <c r="BM44" s="66" t="e">
        <f t="shared" si="60"/>
        <v>#DIV/0!</v>
      </c>
      <c r="BN44" s="66" t="e">
        <f t="shared" si="60"/>
        <v>#DIV/0!</v>
      </c>
      <c r="BO44" s="66" t="e">
        <f t="shared" si="60"/>
        <v>#DIV/0!</v>
      </c>
      <c r="BP44" s="66" t="e">
        <f t="shared" si="60"/>
        <v>#DIV/0!</v>
      </c>
      <c r="BQ44" s="66" t="e">
        <f t="shared" si="60"/>
        <v>#DIV/0!</v>
      </c>
      <c r="BR44" s="66" t="e">
        <f t="shared" si="60"/>
        <v>#DIV/0!</v>
      </c>
      <c r="BS44" s="66" t="e">
        <f t="shared" si="60"/>
        <v>#DIV/0!</v>
      </c>
      <c r="BT44" s="66" t="e">
        <f t="shared" si="60"/>
        <v>#DIV/0!</v>
      </c>
      <c r="BU44" s="66" t="e">
        <f t="shared" si="60"/>
        <v>#DIV/0!</v>
      </c>
      <c r="BV44" s="66" t="e">
        <f t="shared" si="60"/>
        <v>#DIV/0!</v>
      </c>
      <c r="BW44" s="66" t="e">
        <f t="shared" si="60"/>
        <v>#DIV/0!</v>
      </c>
      <c r="BX44" s="66" t="e">
        <f t="shared" si="60"/>
        <v>#DIV/0!</v>
      </c>
      <c r="BY44" s="66" t="e">
        <f t="shared" si="60"/>
        <v>#DIV/0!</v>
      </c>
      <c r="BZ44" s="66" t="e">
        <f t="shared" si="60"/>
        <v>#DIV/0!</v>
      </c>
      <c r="CA44" s="66" t="e">
        <f t="shared" si="60"/>
        <v>#DIV/0!</v>
      </c>
      <c r="CB44" s="66" t="e">
        <f t="shared" si="60"/>
        <v>#DIV/0!</v>
      </c>
      <c r="CC44" s="66" t="e">
        <f t="shared" si="60"/>
        <v>#DIV/0!</v>
      </c>
      <c r="CD44" s="66" t="e">
        <f t="shared" si="60"/>
        <v>#DIV/0!</v>
      </c>
      <c r="CE44" s="66" t="e">
        <f t="shared" si="60"/>
        <v>#DIV/0!</v>
      </c>
      <c r="CF44" s="66" t="e">
        <f t="shared" si="60"/>
        <v>#DIV/0!</v>
      </c>
      <c r="CG44" s="66" t="e">
        <f t="shared" si="60"/>
        <v>#DIV/0!</v>
      </c>
      <c r="CH44" s="66" t="e">
        <f t="shared" si="60"/>
        <v>#DIV/0!</v>
      </c>
      <c r="CI44" s="66" t="e">
        <f t="shared" si="60"/>
        <v>#DIV/0!</v>
      </c>
      <c r="CJ44" s="66" t="e">
        <f t="shared" si="60"/>
        <v>#DIV/0!</v>
      </c>
      <c r="CK44" s="66" t="e">
        <f t="shared" si="60"/>
        <v>#DIV/0!</v>
      </c>
      <c r="CL44" s="66" t="e">
        <f t="shared" si="60"/>
        <v>#DIV/0!</v>
      </c>
      <c r="CM44" s="66" t="e">
        <f t="shared" si="60"/>
        <v>#DIV/0!</v>
      </c>
      <c r="CN44" s="66" t="e">
        <f t="shared" si="60"/>
        <v>#DIV/0!</v>
      </c>
      <c r="CO44" s="66" t="e">
        <f t="shared" si="60"/>
        <v>#DIV/0!</v>
      </c>
      <c r="CP44" s="66" t="e">
        <f t="shared" si="60"/>
        <v>#DIV/0!</v>
      </c>
      <c r="CQ44" s="66" t="e">
        <f t="shared" si="60"/>
        <v>#DIV/0!</v>
      </c>
      <c r="CR44" s="66" t="e">
        <f t="shared" si="60"/>
        <v>#DIV/0!</v>
      </c>
      <c r="CS44" s="66" t="e">
        <f t="shared" si="60"/>
        <v>#DIV/0!</v>
      </c>
      <c r="CT44" s="66" t="e">
        <f t="shared" si="60"/>
        <v>#DIV/0!</v>
      </c>
      <c r="CU44" s="66" t="e">
        <f t="shared" si="60"/>
        <v>#DIV/0!</v>
      </c>
      <c r="CV44" s="66" t="e">
        <f t="shared" si="60"/>
        <v>#DIV/0!</v>
      </c>
      <c r="CW44" s="69"/>
    </row>
    <row r="45" spans="1:101" ht="14.25" customHeight="1">
      <c r="A45" s="103"/>
      <c r="E45" s="108"/>
      <c r="I45" s="83"/>
      <c r="J45" s="213" t="e">
        <f t="array" ref="J45">_xlfn.STDEV.P(IF($E$5:$E$27=$E44,J$5:J$27))</f>
        <v>#DIV/0!</v>
      </c>
      <c r="K45" s="65" t="s">
        <v>11</v>
      </c>
      <c r="L45" s="74" t="e">
        <f t="array" ref="L45">_xlfn.STDEV.P(IF($E$5:$E$27=$E44,L$5:L$27))</f>
        <v>#DIV/0!</v>
      </c>
      <c r="M45" s="74" t="e">
        <f t="array" ref="M45">_xlfn.STDEV.P(IF($E$5:$E$27=$E44,M$5:M$27))</f>
        <v>#DIV/0!</v>
      </c>
      <c r="N45" s="74" t="e">
        <f t="array" ref="N45">_xlfn.STDEV.P(IF($E$5:$E$27=$E44,N$5:N$27))</f>
        <v>#DIV/0!</v>
      </c>
      <c r="O45" s="74" t="e">
        <f t="array" ref="O45">_xlfn.STDEV.P(IF($E$5:$E$27=$E44,O$5:O$27))</f>
        <v>#DIV/0!</v>
      </c>
      <c r="P45" s="74" t="e">
        <f t="array" ref="P45">_xlfn.STDEV.P(IF($E$5:$E$27=$E44,P$5:P$27))</f>
        <v>#DIV/0!</v>
      </c>
      <c r="Q45" s="74" t="e">
        <f t="array" ref="Q45">_xlfn.STDEV.P(IF($E$5:$E$27=$E44,Q$5:Q$27))</f>
        <v>#DIV/0!</v>
      </c>
      <c r="R45" s="74" t="e">
        <f t="array" ref="R45">_xlfn.STDEV.P(IF($E$5:$E$27=$E44,R$5:R$27))</f>
        <v>#DIV/0!</v>
      </c>
      <c r="S45" s="74" t="e">
        <f t="array" ref="S45">_xlfn.STDEV.P(IF($E$5:$E$27=$E44,S$5:S$27))</f>
        <v>#DIV/0!</v>
      </c>
      <c r="T45" s="74" t="e">
        <f t="array" ref="T45">_xlfn.STDEV.P(IF($E$5:$E$27=$E44,T$5:T$27))</f>
        <v>#DIV/0!</v>
      </c>
      <c r="U45" s="74" t="e">
        <f t="array" ref="U45">_xlfn.STDEV.P(IF($E$5:$E$27=$E44,U$5:U$27))</f>
        <v>#DIV/0!</v>
      </c>
      <c r="V45" s="74" t="e">
        <f t="array" ref="V45">_xlfn.STDEV.P(IF($E$5:$E$27=$E44,V$5:V$27))</f>
        <v>#DIV/0!</v>
      </c>
      <c r="W45" s="74" t="e">
        <f t="array" ref="W45">_xlfn.STDEV.P(IF($E$5:$E$27=$E44,W$5:W$27))</f>
        <v>#DIV/0!</v>
      </c>
      <c r="X45" s="74" t="e">
        <f t="array" ref="X45">_xlfn.STDEV.P(IF($E$5:$E$27=$E44,X$5:X$27))</f>
        <v>#DIV/0!</v>
      </c>
      <c r="Y45" s="74" t="e">
        <f t="array" ref="Y45">_xlfn.STDEV.P(IF($E$5:$E$27=$E44,Y$5:Y$27))</f>
        <v>#DIV/0!</v>
      </c>
      <c r="Z45" s="74" t="e">
        <f t="array" ref="Z45">_xlfn.STDEV.P(IF($E$5:$E$27=$E44,Z$5:Z$27))</f>
        <v>#DIV/0!</v>
      </c>
      <c r="AA45" s="74" t="e">
        <f t="array" ref="AA45">_xlfn.STDEV.P(IF($E$5:$E$27=$E44,AA$5:AA$27))</f>
        <v>#DIV/0!</v>
      </c>
      <c r="AB45" s="74" t="e">
        <f t="array" ref="AB45">_xlfn.STDEV.P(IF($E$5:$E$27=$E44,AB$5:AB$27))</f>
        <v>#DIV/0!</v>
      </c>
      <c r="AC45" s="74" t="e">
        <f t="array" ref="AC45">_xlfn.STDEV.P(IF($E$5:$E$27=$E44,AC$5:AC$27))</f>
        <v>#DIV/0!</v>
      </c>
      <c r="AD45" s="74" t="e">
        <f t="array" ref="AD45">_xlfn.STDEV.P(IF($E$5:$E$27=$E44,AD$5:AD$27))</f>
        <v>#DIV/0!</v>
      </c>
      <c r="AE45" s="74" t="e">
        <f t="array" ref="AE45">_xlfn.STDEV.P(IF($E$5:$E$27=$E44,AE$5:AE$27))</f>
        <v>#DIV/0!</v>
      </c>
      <c r="AF45" s="74" t="e">
        <f t="array" ref="AF45">_xlfn.STDEV.P(IF($E$5:$E$27=$E44,AF$5:AF$27))</f>
        <v>#DIV/0!</v>
      </c>
      <c r="AG45" s="74" t="e">
        <f t="array" ref="AG45">_xlfn.STDEV.P(IF($E$5:$E$27=$E44,AG$5:AG$27))</f>
        <v>#DIV/0!</v>
      </c>
      <c r="AH45" s="74" t="e">
        <f t="array" ref="AH45">_xlfn.STDEV.P(IF($E$5:$E$27=$E44,AH$5:AH$27))</f>
        <v>#DIV/0!</v>
      </c>
      <c r="AI45" s="74" t="e">
        <f t="array" ref="AI45">_xlfn.STDEV.P(IF($E$5:$E$27=$E44,AI$5:AI$27))</f>
        <v>#DIV/0!</v>
      </c>
      <c r="AJ45" s="74" t="e">
        <f t="array" ref="AJ45">_xlfn.STDEV.P(IF($E$5:$E$27=$E44,AJ$5:AJ$27))</f>
        <v>#DIV/0!</v>
      </c>
      <c r="AK45" s="74" t="e">
        <f t="array" ref="AK45">_xlfn.STDEV.P(IF($E$5:$E$27=$E44,AK$5:AK$27))</f>
        <v>#DIV/0!</v>
      </c>
      <c r="AL45" s="74" t="e">
        <f t="array" ref="AL45">_xlfn.STDEV.P(IF($E$5:$E$27=$E44,AL$5:AL$27))</f>
        <v>#DIV/0!</v>
      </c>
      <c r="AM45" s="74" t="e">
        <f t="array" ref="AM45">_xlfn.STDEV.P(IF($E$5:$E$27=$E44,AM$5:AM$27))</f>
        <v>#DIV/0!</v>
      </c>
      <c r="AN45" s="74" t="e">
        <f t="array" ref="AN45">_xlfn.STDEV.P(IF($E$5:$E$27=$E44,AN$5:AN$27))</f>
        <v>#DIV/0!</v>
      </c>
      <c r="AO45" s="74" t="e">
        <f t="array" ref="AO45">_xlfn.STDEV.P(IF($E$5:$E$27=$E44,AO$5:AO$27))</f>
        <v>#DIV/0!</v>
      </c>
      <c r="AP45" s="74" t="e">
        <f t="array" ref="AP45">_xlfn.STDEV.P(IF($E$5:$E$27=$E44,AP$5:AP$27))</f>
        <v>#DIV/0!</v>
      </c>
      <c r="AQ45" s="74" t="e">
        <f t="array" ref="AQ45">_xlfn.STDEV.P(IF($E$5:$E$27=$E44,AQ$5:AQ$27))</f>
        <v>#DIV/0!</v>
      </c>
      <c r="AR45" s="74" t="e">
        <f t="array" ref="AR45">_xlfn.STDEV.P(IF($E$5:$E$27=$E44,AR$5:AR$27))</f>
        <v>#DIV/0!</v>
      </c>
      <c r="AS45" s="74" t="e">
        <f t="array" ref="AS45">_xlfn.STDEV.P(IF($E$5:$E$27=$E44,AS$5:AS$27))</f>
        <v>#DIV/0!</v>
      </c>
      <c r="AT45" s="74" t="e">
        <f t="array" ref="AT45">_xlfn.STDEV.P(IF($E$5:$E$27=$E44,AT$5:AT$27))</f>
        <v>#DIV/0!</v>
      </c>
      <c r="AU45" s="74" t="e">
        <f t="array" ref="AU45">_xlfn.STDEV.P(IF($E$5:$E$27=$E44,AU$5:AU$27))</f>
        <v>#DIV/0!</v>
      </c>
      <c r="AV45" s="74" t="e">
        <f t="array" ref="AV45">_xlfn.STDEV.P(IF($E$5:$E$27=$E44,AV$5:AV$27))</f>
        <v>#DIV/0!</v>
      </c>
      <c r="AW45" s="74" t="e">
        <f t="array" ref="AW45">_xlfn.STDEV.P(IF($E$5:$E$27=$E44,AW$5:AW$27))</f>
        <v>#DIV/0!</v>
      </c>
      <c r="AX45" s="74" t="e">
        <f t="array" ref="AX45">_xlfn.STDEV.P(IF($E$5:$E$27=$E44,AX$5:AX$27))</f>
        <v>#DIV/0!</v>
      </c>
      <c r="AY45" s="74" t="e">
        <f t="array" ref="AY45">_xlfn.STDEV.P(IF($E$5:$E$27=$E44,AY$5:AY$27))</f>
        <v>#DIV/0!</v>
      </c>
      <c r="AZ45" s="74" t="e">
        <f t="array" ref="AZ45">_xlfn.STDEV.P(IF($E$5:$E$27=$E44,AZ$5:AZ$27))</f>
        <v>#DIV/0!</v>
      </c>
      <c r="BA45" s="74" t="e">
        <f t="array" ref="BA45">_xlfn.STDEV.P(IF($E$5:$E$27=$E44,BA$5:BA$27))</f>
        <v>#DIV/0!</v>
      </c>
      <c r="BB45" s="74" t="e">
        <f t="array" ref="BB45">_xlfn.STDEV.P(IF($E$5:$E$27=$E44,BB$5:BB$27))</f>
        <v>#DIV/0!</v>
      </c>
      <c r="BC45" s="74" t="e">
        <f t="array" ref="BC45">_xlfn.STDEV.P(IF($E$5:$E$27=$E44,BC$5:BC$27))</f>
        <v>#DIV/0!</v>
      </c>
      <c r="BD45" s="94" t="s">
        <v>11</v>
      </c>
      <c r="BE45" s="67" t="e">
        <f t="array" ref="BE45">_xlfn.STDEV.P(IF($E$5:$E$27=$E44,BE$5:BE$27))</f>
        <v>#DIV/0!</v>
      </c>
      <c r="BF45" s="67" t="e">
        <f t="array" ref="BF45">_xlfn.STDEV.P(IF($E$5:$E$27=$E44,BF$5:BF$27))</f>
        <v>#DIV/0!</v>
      </c>
      <c r="BG45" s="67" t="e">
        <f t="array" ref="BG45">_xlfn.STDEV.P(IF($E$5:$E$27=$E44,BG$5:BG$27))</f>
        <v>#DIV/0!</v>
      </c>
      <c r="BH45" s="67" t="e">
        <f t="array" ref="BH45">_xlfn.STDEV.P(IF($E$5:$E$27=$E44,BH$5:BH$27))</f>
        <v>#DIV/0!</v>
      </c>
      <c r="BI45" s="67" t="e">
        <f t="array" ref="BI45">_xlfn.STDEV.P(IF($E$5:$E$27=$E44,BI$5:BI$27))</f>
        <v>#DIV/0!</v>
      </c>
      <c r="BJ45" s="67" t="e">
        <f t="array" ref="BJ45">_xlfn.STDEV.P(IF($E$5:$E$27=$E44,BJ$5:BJ$27))</f>
        <v>#DIV/0!</v>
      </c>
      <c r="BK45" s="67" t="e">
        <f t="array" ref="BK45">_xlfn.STDEV.P(IF($E$5:$E$27=$E44,BK$5:BK$27))</f>
        <v>#DIV/0!</v>
      </c>
      <c r="BL45" s="67" t="e">
        <f t="array" ref="BL45">_xlfn.STDEV.P(IF($E$5:$E$27=$E44,BL$5:BL$27))</f>
        <v>#DIV/0!</v>
      </c>
      <c r="BM45" s="67" t="e">
        <f t="array" ref="BM45">_xlfn.STDEV.P(IF($E$5:$E$27=$E44,BM$5:BM$27))</f>
        <v>#DIV/0!</v>
      </c>
      <c r="BN45" s="67" t="e">
        <f t="array" ref="BN45">_xlfn.STDEV.P(IF($E$5:$E$27=$E44,BN$5:BN$27))</f>
        <v>#DIV/0!</v>
      </c>
      <c r="BO45" s="67" t="e">
        <f t="array" ref="BO45">_xlfn.STDEV.P(IF($E$5:$E$27=$E44,BO$5:BO$27))</f>
        <v>#DIV/0!</v>
      </c>
      <c r="BP45" s="67" t="e">
        <f t="array" ref="BP45">_xlfn.STDEV.P(IF($E$5:$E$27=$E44,BP$5:BP$27))</f>
        <v>#DIV/0!</v>
      </c>
      <c r="BQ45" s="67" t="e">
        <f t="array" ref="BQ45">_xlfn.STDEV.P(IF($E$5:$E$27=$E44,BQ$5:BQ$27))</f>
        <v>#DIV/0!</v>
      </c>
      <c r="BR45" s="67" t="e">
        <f t="array" ref="BR45">_xlfn.STDEV.P(IF($E$5:$E$27=$E44,BR$5:BR$27))</f>
        <v>#DIV/0!</v>
      </c>
      <c r="BS45" s="67" t="e">
        <f t="array" ref="BS45">_xlfn.STDEV.P(IF($E$5:$E$27=$E44,BS$5:BS$27))</f>
        <v>#DIV/0!</v>
      </c>
      <c r="BT45" s="67" t="e">
        <f t="array" ref="BT45">_xlfn.STDEV.P(IF($E$5:$E$27=$E44,BT$5:BT$27))</f>
        <v>#DIV/0!</v>
      </c>
      <c r="BU45" s="67" t="e">
        <f t="array" ref="BU45">_xlfn.STDEV.P(IF($E$5:$E$27=$E44,BU$5:BU$27))</f>
        <v>#DIV/0!</v>
      </c>
      <c r="BV45" s="67" t="e">
        <f t="array" ref="BV45">_xlfn.STDEV.P(IF($E$5:$E$27=$E44,BV$5:BV$27))</f>
        <v>#DIV/0!</v>
      </c>
      <c r="BW45" s="67" t="e">
        <f t="array" ref="BW45">_xlfn.STDEV.P(IF($E$5:$E$27=$E44,BW$5:BW$27))</f>
        <v>#DIV/0!</v>
      </c>
      <c r="BX45" s="67" t="e">
        <f t="array" ref="BX45">_xlfn.STDEV.P(IF($E$5:$E$27=$E44,BX$5:BX$27))</f>
        <v>#DIV/0!</v>
      </c>
      <c r="BY45" s="67" t="e">
        <f t="array" ref="BY45">_xlfn.STDEV.P(IF($E$5:$E$27=$E44,BY$5:BY$27))</f>
        <v>#DIV/0!</v>
      </c>
      <c r="BZ45" s="67" t="e">
        <f t="array" ref="BZ45">_xlfn.STDEV.P(IF($E$5:$E$27=$E44,BZ$5:BZ$27))</f>
        <v>#DIV/0!</v>
      </c>
      <c r="CA45" s="67" t="e">
        <f t="array" ref="CA45">_xlfn.STDEV.P(IF($E$5:$E$27=$E44,CA$5:CA$27))</f>
        <v>#DIV/0!</v>
      </c>
      <c r="CB45" s="67" t="e">
        <f t="array" ref="CB45">_xlfn.STDEV.P(IF($E$5:$E$27=$E44,CB$5:CB$27))</f>
        <v>#DIV/0!</v>
      </c>
      <c r="CC45" s="67" t="e">
        <f t="array" ref="CC45">_xlfn.STDEV.P(IF($E$5:$E$27=$E44,CC$5:CC$27))</f>
        <v>#DIV/0!</v>
      </c>
      <c r="CD45" s="67" t="e">
        <f t="array" ref="CD45">_xlfn.STDEV.P(IF($E$5:$E$27=$E44,CD$5:CD$27))</f>
        <v>#DIV/0!</v>
      </c>
      <c r="CE45" s="67" t="e">
        <f t="array" ref="CE45">_xlfn.STDEV.P(IF($E$5:$E$27=$E44,CE$5:CE$27))</f>
        <v>#DIV/0!</v>
      </c>
      <c r="CF45" s="67" t="e">
        <f t="array" ref="CF45">_xlfn.STDEV.P(IF($E$5:$E$27=$E44,CF$5:CF$27))</f>
        <v>#DIV/0!</v>
      </c>
      <c r="CG45" s="67" t="e">
        <f t="array" ref="CG45">_xlfn.STDEV.P(IF($E$5:$E$27=$E44,CG$5:CG$27))</f>
        <v>#DIV/0!</v>
      </c>
      <c r="CH45" s="67" t="e">
        <f t="array" ref="CH45">_xlfn.STDEV.P(IF($E$5:$E$27=$E44,CH$5:CH$27))</f>
        <v>#DIV/0!</v>
      </c>
      <c r="CI45" s="67" t="e">
        <f t="array" ref="CI45">_xlfn.STDEV.P(IF($E$5:$E$27=$E44,CI$5:CI$27))</f>
        <v>#DIV/0!</v>
      </c>
      <c r="CJ45" s="67" t="e">
        <f t="array" ref="CJ45">_xlfn.STDEV.P(IF($E$5:$E$27=$E44,CJ$5:CJ$27))</f>
        <v>#DIV/0!</v>
      </c>
      <c r="CK45" s="67" t="e">
        <f t="array" ref="CK45">_xlfn.STDEV.P(IF($E$5:$E$27=$E44,CK$5:CK$27))</f>
        <v>#DIV/0!</v>
      </c>
      <c r="CL45" s="67" t="e">
        <f t="array" ref="CL45">_xlfn.STDEV.P(IF($E$5:$E$27=$E44,CL$5:CL$27))</f>
        <v>#DIV/0!</v>
      </c>
      <c r="CM45" s="67" t="e">
        <f t="array" ref="CM45">_xlfn.STDEV.P(IF($E$5:$E$27=$E44,CM$5:CM$27))</f>
        <v>#DIV/0!</v>
      </c>
      <c r="CN45" s="67" t="e">
        <f t="array" ref="CN45">_xlfn.STDEV.P(IF($E$5:$E$27=$E44,CN$5:CN$27))</f>
        <v>#DIV/0!</v>
      </c>
      <c r="CO45" s="67" t="e">
        <f t="array" ref="CO45">_xlfn.STDEV.P(IF($E$5:$E$27=$E44,CO$5:CO$27))</f>
        <v>#DIV/0!</v>
      </c>
      <c r="CP45" s="67" t="e">
        <f t="array" ref="CP45">_xlfn.STDEV.P(IF($E$5:$E$27=$E44,CP$5:CP$27))</f>
        <v>#DIV/0!</v>
      </c>
      <c r="CQ45" s="67" t="e">
        <f t="array" ref="CQ45">_xlfn.STDEV.P(IF($E$5:$E$27=$E44,CQ$5:CQ$27))</f>
        <v>#DIV/0!</v>
      </c>
      <c r="CR45" s="67" t="e">
        <f t="array" ref="CR45">_xlfn.STDEV.P(IF($E$5:$E$27=$E44,CR$5:CR$27))</f>
        <v>#DIV/0!</v>
      </c>
      <c r="CS45" s="67" t="e">
        <f t="array" ref="CS45">_xlfn.STDEV.P(IF($E$5:$E$27=$E44,CS$5:CS$27))</f>
        <v>#DIV/0!</v>
      </c>
      <c r="CT45" s="67" t="e">
        <f t="array" ref="CT45">_xlfn.STDEV.P(IF($E$5:$E$27=$E44,CT$5:CT$27))</f>
        <v>#DIV/0!</v>
      </c>
      <c r="CU45" s="67" t="e">
        <f t="array" ref="CU45">_xlfn.STDEV.P(IF($E$5:$E$27=$E44,CU$5:CU$27))</f>
        <v>#DIV/0!</v>
      </c>
      <c r="CV45" s="67" t="e">
        <f t="array" ref="CV45">_xlfn.STDEV.P(IF($E$5:$E$27=$E44,CV$5:CV$27))</f>
        <v>#DIV/0!</v>
      </c>
      <c r="CW45" s="69"/>
    </row>
    <row r="46" spans="1:101" ht="15">
      <c r="A46" s="103"/>
      <c r="E46" s="108"/>
      <c r="I46" s="45"/>
    </row>
    <row r="47" spans="1:101" ht="14.25" customHeight="1">
      <c r="A47" s="103"/>
      <c r="E47" s="108" t="str">
        <f>'NAB_PTX Groups'!C11</f>
        <v>Group 6</v>
      </c>
      <c r="I47" s="108" t="str">
        <f>E47</f>
        <v>Group 6</v>
      </c>
      <c r="J47" s="213" t="e">
        <f>AVERAGEIF($E$5:$E$27,$E47,J$5:J$27)</f>
        <v>#DIV/0!</v>
      </c>
      <c r="K47" s="65" t="s">
        <v>9</v>
      </c>
      <c r="L47" s="71" t="e">
        <f t="shared" ref="L47:BC47" si="61">AVERAGEIF($E$5:$E$27,$E47,L$5:L$27)</f>
        <v>#DIV/0!</v>
      </c>
      <c r="M47" s="71" t="e">
        <f t="shared" si="61"/>
        <v>#DIV/0!</v>
      </c>
      <c r="N47" s="71" t="e">
        <f t="shared" si="61"/>
        <v>#DIV/0!</v>
      </c>
      <c r="O47" s="71" t="e">
        <f t="shared" si="61"/>
        <v>#DIV/0!</v>
      </c>
      <c r="P47" s="71" t="e">
        <f t="shared" si="61"/>
        <v>#DIV/0!</v>
      </c>
      <c r="Q47" s="71" t="e">
        <f t="shared" si="61"/>
        <v>#DIV/0!</v>
      </c>
      <c r="R47" s="71" t="e">
        <f t="shared" si="61"/>
        <v>#DIV/0!</v>
      </c>
      <c r="S47" s="71" t="e">
        <f t="shared" si="61"/>
        <v>#DIV/0!</v>
      </c>
      <c r="T47" s="71" t="e">
        <f t="shared" si="61"/>
        <v>#DIV/0!</v>
      </c>
      <c r="U47" s="71" t="e">
        <f t="shared" si="61"/>
        <v>#DIV/0!</v>
      </c>
      <c r="V47" s="71" t="e">
        <f t="shared" si="61"/>
        <v>#DIV/0!</v>
      </c>
      <c r="W47" s="71" t="e">
        <f t="shared" si="61"/>
        <v>#DIV/0!</v>
      </c>
      <c r="X47" s="71" t="e">
        <f t="shared" si="61"/>
        <v>#DIV/0!</v>
      </c>
      <c r="Y47" s="71" t="e">
        <f t="shared" si="61"/>
        <v>#DIV/0!</v>
      </c>
      <c r="Z47" s="71" t="e">
        <f t="shared" si="61"/>
        <v>#DIV/0!</v>
      </c>
      <c r="AA47" s="71" t="e">
        <f t="shared" si="61"/>
        <v>#DIV/0!</v>
      </c>
      <c r="AB47" s="71" t="e">
        <f t="shared" si="61"/>
        <v>#DIV/0!</v>
      </c>
      <c r="AC47" s="71" t="e">
        <f t="shared" si="61"/>
        <v>#DIV/0!</v>
      </c>
      <c r="AD47" s="71" t="e">
        <f t="shared" si="61"/>
        <v>#DIV/0!</v>
      </c>
      <c r="AE47" s="71" t="e">
        <f t="shared" si="61"/>
        <v>#DIV/0!</v>
      </c>
      <c r="AF47" s="71" t="e">
        <f t="shared" si="61"/>
        <v>#DIV/0!</v>
      </c>
      <c r="AG47" s="71" t="e">
        <f t="shared" si="61"/>
        <v>#DIV/0!</v>
      </c>
      <c r="AH47" s="71" t="e">
        <f t="shared" si="61"/>
        <v>#DIV/0!</v>
      </c>
      <c r="AI47" s="71" t="e">
        <f t="shared" si="61"/>
        <v>#DIV/0!</v>
      </c>
      <c r="AJ47" s="71" t="e">
        <f t="shared" si="61"/>
        <v>#DIV/0!</v>
      </c>
      <c r="AK47" s="71" t="e">
        <f t="shared" si="61"/>
        <v>#DIV/0!</v>
      </c>
      <c r="AL47" s="71" t="e">
        <f t="shared" si="61"/>
        <v>#DIV/0!</v>
      </c>
      <c r="AM47" s="71" t="e">
        <f t="shared" si="61"/>
        <v>#DIV/0!</v>
      </c>
      <c r="AN47" s="71" t="e">
        <f t="shared" si="61"/>
        <v>#DIV/0!</v>
      </c>
      <c r="AO47" s="71" t="e">
        <f t="shared" si="61"/>
        <v>#DIV/0!</v>
      </c>
      <c r="AP47" s="71" t="e">
        <f t="shared" si="61"/>
        <v>#DIV/0!</v>
      </c>
      <c r="AQ47" s="71" t="e">
        <f t="shared" si="61"/>
        <v>#DIV/0!</v>
      </c>
      <c r="AR47" s="71" t="e">
        <f t="shared" si="61"/>
        <v>#DIV/0!</v>
      </c>
      <c r="AS47" s="71" t="e">
        <f t="shared" si="61"/>
        <v>#DIV/0!</v>
      </c>
      <c r="AT47" s="71" t="e">
        <f t="shared" si="61"/>
        <v>#DIV/0!</v>
      </c>
      <c r="AU47" s="71" t="e">
        <f t="shared" si="61"/>
        <v>#DIV/0!</v>
      </c>
      <c r="AV47" s="71" t="e">
        <f t="shared" si="61"/>
        <v>#DIV/0!</v>
      </c>
      <c r="AW47" s="71" t="e">
        <f t="shared" si="61"/>
        <v>#DIV/0!</v>
      </c>
      <c r="AX47" s="71" t="e">
        <f t="shared" si="61"/>
        <v>#DIV/0!</v>
      </c>
      <c r="AY47" s="71" t="e">
        <f t="shared" si="61"/>
        <v>#DIV/0!</v>
      </c>
      <c r="AZ47" s="71" t="e">
        <f t="shared" si="61"/>
        <v>#DIV/0!</v>
      </c>
      <c r="BA47" s="71" t="e">
        <f t="shared" si="61"/>
        <v>#DIV/0!</v>
      </c>
      <c r="BB47" s="71" t="e">
        <f t="shared" si="61"/>
        <v>#DIV/0!</v>
      </c>
      <c r="BC47" s="71" t="e">
        <f t="shared" si="61"/>
        <v>#DIV/0!</v>
      </c>
      <c r="BD47" s="93" t="s">
        <v>9</v>
      </c>
      <c r="BE47" s="66" t="e">
        <f t="shared" ref="BE47:CV47" si="62">AVERAGEIF($E$5:$E$27,$E47,BE$5:BE$27)</f>
        <v>#DIV/0!</v>
      </c>
      <c r="BF47" s="66" t="e">
        <f t="shared" si="62"/>
        <v>#DIV/0!</v>
      </c>
      <c r="BG47" s="66" t="e">
        <f t="shared" si="62"/>
        <v>#DIV/0!</v>
      </c>
      <c r="BH47" s="66" t="e">
        <f t="shared" si="62"/>
        <v>#DIV/0!</v>
      </c>
      <c r="BI47" s="66" t="e">
        <f t="shared" si="62"/>
        <v>#DIV/0!</v>
      </c>
      <c r="BJ47" s="66" t="e">
        <f t="shared" si="62"/>
        <v>#DIV/0!</v>
      </c>
      <c r="BK47" s="66" t="e">
        <f t="shared" si="62"/>
        <v>#DIV/0!</v>
      </c>
      <c r="BL47" s="66" t="e">
        <f t="shared" si="62"/>
        <v>#DIV/0!</v>
      </c>
      <c r="BM47" s="66" t="e">
        <f t="shared" si="62"/>
        <v>#DIV/0!</v>
      </c>
      <c r="BN47" s="66" t="e">
        <f t="shared" si="62"/>
        <v>#DIV/0!</v>
      </c>
      <c r="BO47" s="66" t="e">
        <f t="shared" si="62"/>
        <v>#DIV/0!</v>
      </c>
      <c r="BP47" s="66" t="e">
        <f t="shared" si="62"/>
        <v>#DIV/0!</v>
      </c>
      <c r="BQ47" s="66" t="e">
        <f t="shared" si="62"/>
        <v>#DIV/0!</v>
      </c>
      <c r="BR47" s="66" t="e">
        <f t="shared" si="62"/>
        <v>#DIV/0!</v>
      </c>
      <c r="BS47" s="66" t="e">
        <f t="shared" si="62"/>
        <v>#DIV/0!</v>
      </c>
      <c r="BT47" s="66" t="e">
        <f t="shared" si="62"/>
        <v>#DIV/0!</v>
      </c>
      <c r="BU47" s="66" t="e">
        <f t="shared" si="62"/>
        <v>#DIV/0!</v>
      </c>
      <c r="BV47" s="66" t="e">
        <f t="shared" si="62"/>
        <v>#DIV/0!</v>
      </c>
      <c r="BW47" s="66" t="e">
        <f t="shared" si="62"/>
        <v>#DIV/0!</v>
      </c>
      <c r="BX47" s="66" t="e">
        <f t="shared" si="62"/>
        <v>#DIV/0!</v>
      </c>
      <c r="BY47" s="66" t="e">
        <f t="shared" si="62"/>
        <v>#DIV/0!</v>
      </c>
      <c r="BZ47" s="66" t="e">
        <f t="shared" si="62"/>
        <v>#DIV/0!</v>
      </c>
      <c r="CA47" s="66" t="e">
        <f t="shared" si="62"/>
        <v>#DIV/0!</v>
      </c>
      <c r="CB47" s="66" t="e">
        <f t="shared" si="62"/>
        <v>#DIV/0!</v>
      </c>
      <c r="CC47" s="66" t="e">
        <f t="shared" si="62"/>
        <v>#DIV/0!</v>
      </c>
      <c r="CD47" s="66" t="e">
        <f t="shared" si="62"/>
        <v>#DIV/0!</v>
      </c>
      <c r="CE47" s="66" t="e">
        <f t="shared" si="62"/>
        <v>#DIV/0!</v>
      </c>
      <c r="CF47" s="66" t="e">
        <f t="shared" si="62"/>
        <v>#DIV/0!</v>
      </c>
      <c r="CG47" s="66" t="e">
        <f t="shared" si="62"/>
        <v>#DIV/0!</v>
      </c>
      <c r="CH47" s="66" t="e">
        <f t="shared" si="62"/>
        <v>#DIV/0!</v>
      </c>
      <c r="CI47" s="66" t="e">
        <f t="shared" si="62"/>
        <v>#DIV/0!</v>
      </c>
      <c r="CJ47" s="66" t="e">
        <f t="shared" si="62"/>
        <v>#DIV/0!</v>
      </c>
      <c r="CK47" s="66" t="e">
        <f t="shared" si="62"/>
        <v>#DIV/0!</v>
      </c>
      <c r="CL47" s="66" t="e">
        <f t="shared" si="62"/>
        <v>#DIV/0!</v>
      </c>
      <c r="CM47" s="66" t="e">
        <f t="shared" si="62"/>
        <v>#DIV/0!</v>
      </c>
      <c r="CN47" s="66" t="e">
        <f t="shared" si="62"/>
        <v>#DIV/0!</v>
      </c>
      <c r="CO47" s="66" t="e">
        <f t="shared" si="62"/>
        <v>#DIV/0!</v>
      </c>
      <c r="CP47" s="66" t="e">
        <f t="shared" si="62"/>
        <v>#DIV/0!</v>
      </c>
      <c r="CQ47" s="66" t="e">
        <f t="shared" si="62"/>
        <v>#DIV/0!</v>
      </c>
      <c r="CR47" s="66" t="e">
        <f t="shared" si="62"/>
        <v>#DIV/0!</v>
      </c>
      <c r="CS47" s="66" t="e">
        <f t="shared" si="62"/>
        <v>#DIV/0!</v>
      </c>
      <c r="CT47" s="66" t="e">
        <f t="shared" si="62"/>
        <v>#DIV/0!</v>
      </c>
      <c r="CU47" s="66" t="e">
        <f t="shared" si="62"/>
        <v>#DIV/0!</v>
      </c>
      <c r="CV47" s="66" t="e">
        <f t="shared" si="62"/>
        <v>#DIV/0!</v>
      </c>
      <c r="CW47" s="69"/>
    </row>
    <row r="48" spans="1:101" ht="14.25" customHeight="1">
      <c r="A48" s="103"/>
      <c r="E48" s="108"/>
      <c r="I48" s="83"/>
      <c r="J48" s="213" t="e">
        <f t="array" ref="J48">_xlfn.STDEV.P(IF($E$5:$E$27=$E47,J$5:J$27))</f>
        <v>#DIV/0!</v>
      </c>
      <c r="K48" s="65" t="s">
        <v>11</v>
      </c>
      <c r="L48" s="74" t="e">
        <f t="array" ref="L48">_xlfn.STDEV.P(IF($E$5:$E$27=$E47,L$5:L$27))</f>
        <v>#DIV/0!</v>
      </c>
      <c r="M48" s="74" t="e">
        <f t="array" ref="M48">_xlfn.STDEV.P(IF($E$5:$E$27=$E47,M$5:M$27))</f>
        <v>#DIV/0!</v>
      </c>
      <c r="N48" s="74" t="e">
        <f t="array" ref="N48">_xlfn.STDEV.P(IF($E$5:$E$27=$E47,N$5:N$27))</f>
        <v>#DIV/0!</v>
      </c>
      <c r="O48" s="74" t="e">
        <f t="array" ref="O48">_xlfn.STDEV.P(IF($E$5:$E$27=$E47,O$5:O$27))</f>
        <v>#DIV/0!</v>
      </c>
      <c r="P48" s="74" t="e">
        <f t="array" ref="P48">_xlfn.STDEV.P(IF($E$5:$E$27=$E47,P$5:P$27))</f>
        <v>#DIV/0!</v>
      </c>
      <c r="Q48" s="74" t="e">
        <f t="array" ref="Q48">_xlfn.STDEV.P(IF($E$5:$E$27=$E47,Q$5:Q$27))</f>
        <v>#DIV/0!</v>
      </c>
      <c r="R48" s="74" t="e">
        <f t="array" ref="R48">_xlfn.STDEV.P(IF($E$5:$E$27=$E47,R$5:R$27))</f>
        <v>#DIV/0!</v>
      </c>
      <c r="S48" s="74" t="e">
        <f t="array" ref="S48">_xlfn.STDEV.P(IF($E$5:$E$27=$E47,S$5:S$27))</f>
        <v>#DIV/0!</v>
      </c>
      <c r="T48" s="74" t="e">
        <f t="array" ref="T48">_xlfn.STDEV.P(IF($E$5:$E$27=$E47,T$5:T$27))</f>
        <v>#DIV/0!</v>
      </c>
      <c r="U48" s="74" t="e">
        <f t="array" ref="U48">_xlfn.STDEV.P(IF($E$5:$E$27=$E47,U$5:U$27))</f>
        <v>#DIV/0!</v>
      </c>
      <c r="V48" s="74" t="e">
        <f t="array" ref="V48">_xlfn.STDEV.P(IF($E$5:$E$27=$E47,V$5:V$27))</f>
        <v>#DIV/0!</v>
      </c>
      <c r="W48" s="74" t="e">
        <f t="array" ref="W48">_xlfn.STDEV.P(IF($E$5:$E$27=$E47,W$5:W$27))</f>
        <v>#DIV/0!</v>
      </c>
      <c r="X48" s="74" t="e">
        <f t="array" ref="X48">_xlfn.STDEV.P(IF($E$5:$E$27=$E47,X$5:X$27))</f>
        <v>#DIV/0!</v>
      </c>
      <c r="Y48" s="74" t="e">
        <f t="array" ref="Y48">_xlfn.STDEV.P(IF($E$5:$E$27=$E47,Y$5:Y$27))</f>
        <v>#DIV/0!</v>
      </c>
      <c r="Z48" s="74" t="e">
        <f t="array" ref="Z48">_xlfn.STDEV.P(IF($E$5:$E$27=$E47,Z$5:Z$27))</f>
        <v>#DIV/0!</v>
      </c>
      <c r="AA48" s="74" t="e">
        <f t="array" ref="AA48">_xlfn.STDEV.P(IF($E$5:$E$27=$E47,AA$5:AA$27))</f>
        <v>#DIV/0!</v>
      </c>
      <c r="AB48" s="74" t="e">
        <f t="array" ref="AB48">_xlfn.STDEV.P(IF($E$5:$E$27=$E47,AB$5:AB$27))</f>
        <v>#DIV/0!</v>
      </c>
      <c r="AC48" s="74" t="e">
        <f t="array" ref="AC48">_xlfn.STDEV.P(IF($E$5:$E$27=$E47,AC$5:AC$27))</f>
        <v>#DIV/0!</v>
      </c>
      <c r="AD48" s="74" t="e">
        <f t="array" ref="AD48">_xlfn.STDEV.P(IF($E$5:$E$27=$E47,AD$5:AD$27))</f>
        <v>#DIV/0!</v>
      </c>
      <c r="AE48" s="74" t="e">
        <f t="array" ref="AE48">_xlfn.STDEV.P(IF($E$5:$E$27=$E47,AE$5:AE$27))</f>
        <v>#DIV/0!</v>
      </c>
      <c r="AF48" s="74" t="e">
        <f t="array" ref="AF48">_xlfn.STDEV.P(IF($E$5:$E$27=$E47,AF$5:AF$27))</f>
        <v>#DIV/0!</v>
      </c>
      <c r="AG48" s="74" t="e">
        <f t="array" ref="AG48">_xlfn.STDEV.P(IF($E$5:$E$27=$E47,AG$5:AG$27))</f>
        <v>#DIV/0!</v>
      </c>
      <c r="AH48" s="74" t="e">
        <f t="array" ref="AH48">_xlfn.STDEV.P(IF($E$5:$E$27=$E47,AH$5:AH$27))</f>
        <v>#DIV/0!</v>
      </c>
      <c r="AI48" s="74" t="e">
        <f t="array" ref="AI48">_xlfn.STDEV.P(IF($E$5:$E$27=$E47,AI$5:AI$27))</f>
        <v>#DIV/0!</v>
      </c>
      <c r="AJ48" s="74" t="e">
        <f t="array" ref="AJ48">_xlfn.STDEV.P(IF($E$5:$E$27=$E47,AJ$5:AJ$27))</f>
        <v>#DIV/0!</v>
      </c>
      <c r="AK48" s="74" t="e">
        <f t="array" ref="AK48">_xlfn.STDEV.P(IF($E$5:$E$27=$E47,AK$5:AK$27))</f>
        <v>#DIV/0!</v>
      </c>
      <c r="AL48" s="74" t="e">
        <f t="array" ref="AL48">_xlfn.STDEV.P(IF($E$5:$E$27=$E47,AL$5:AL$27))</f>
        <v>#DIV/0!</v>
      </c>
      <c r="AM48" s="74" t="e">
        <f t="array" ref="AM48">_xlfn.STDEV.P(IF($E$5:$E$27=$E47,AM$5:AM$27))</f>
        <v>#DIV/0!</v>
      </c>
      <c r="AN48" s="74" t="e">
        <f t="array" ref="AN48">_xlfn.STDEV.P(IF($E$5:$E$27=$E47,AN$5:AN$27))</f>
        <v>#DIV/0!</v>
      </c>
      <c r="AO48" s="74" t="e">
        <f t="array" ref="AO48">_xlfn.STDEV.P(IF($E$5:$E$27=$E47,AO$5:AO$27))</f>
        <v>#DIV/0!</v>
      </c>
      <c r="AP48" s="74" t="e">
        <f t="array" ref="AP48">_xlfn.STDEV.P(IF($E$5:$E$27=$E47,AP$5:AP$27))</f>
        <v>#DIV/0!</v>
      </c>
      <c r="AQ48" s="74" t="e">
        <f t="array" ref="AQ48">_xlfn.STDEV.P(IF($E$5:$E$27=$E47,AQ$5:AQ$27))</f>
        <v>#DIV/0!</v>
      </c>
      <c r="AR48" s="74" t="e">
        <f t="array" ref="AR48">_xlfn.STDEV.P(IF($E$5:$E$27=$E47,AR$5:AR$27))</f>
        <v>#DIV/0!</v>
      </c>
      <c r="AS48" s="74" t="e">
        <f t="array" ref="AS48">_xlfn.STDEV.P(IF($E$5:$E$27=$E47,AS$5:AS$27))</f>
        <v>#DIV/0!</v>
      </c>
      <c r="AT48" s="74" t="e">
        <f t="array" ref="AT48">_xlfn.STDEV.P(IF($E$5:$E$27=$E47,AT$5:AT$27))</f>
        <v>#DIV/0!</v>
      </c>
      <c r="AU48" s="74" t="e">
        <f t="array" ref="AU48">_xlfn.STDEV.P(IF($E$5:$E$27=$E47,AU$5:AU$27))</f>
        <v>#DIV/0!</v>
      </c>
      <c r="AV48" s="74" t="e">
        <f t="array" ref="AV48">_xlfn.STDEV.P(IF($E$5:$E$27=$E47,AV$5:AV$27))</f>
        <v>#DIV/0!</v>
      </c>
      <c r="AW48" s="74" t="e">
        <f t="array" ref="AW48">_xlfn.STDEV.P(IF($E$5:$E$27=$E47,AW$5:AW$27))</f>
        <v>#DIV/0!</v>
      </c>
      <c r="AX48" s="74" t="e">
        <f t="array" ref="AX48">_xlfn.STDEV.P(IF($E$5:$E$27=$E47,AX$5:AX$27))</f>
        <v>#DIV/0!</v>
      </c>
      <c r="AY48" s="74" t="e">
        <f t="array" ref="AY48">_xlfn.STDEV.P(IF($E$5:$E$27=$E47,AY$5:AY$27))</f>
        <v>#DIV/0!</v>
      </c>
      <c r="AZ48" s="74" t="e">
        <f t="array" ref="AZ48">_xlfn.STDEV.P(IF($E$5:$E$27=$E47,AZ$5:AZ$27))</f>
        <v>#DIV/0!</v>
      </c>
      <c r="BA48" s="74" t="e">
        <f t="array" ref="BA48">_xlfn.STDEV.P(IF($E$5:$E$27=$E47,BA$5:BA$27))</f>
        <v>#DIV/0!</v>
      </c>
      <c r="BB48" s="74" t="e">
        <f t="array" ref="BB48">_xlfn.STDEV.P(IF($E$5:$E$27=$E47,BB$5:BB$27))</f>
        <v>#DIV/0!</v>
      </c>
      <c r="BC48" s="74" t="e">
        <f t="array" ref="BC48">_xlfn.STDEV.P(IF($E$5:$E$27=$E47,BC$5:BC$27))</f>
        <v>#DIV/0!</v>
      </c>
      <c r="BD48" s="94" t="s">
        <v>11</v>
      </c>
      <c r="BE48" s="67" t="e">
        <f t="array" ref="BE48">_xlfn.STDEV.P(IF($E$5:$E$27=$E47,BE$5:BE$27))</f>
        <v>#DIV/0!</v>
      </c>
      <c r="BF48" s="67" t="e">
        <f t="array" ref="BF48">_xlfn.STDEV.P(IF($E$5:$E$27=$E47,BF$5:BF$27))</f>
        <v>#DIV/0!</v>
      </c>
      <c r="BG48" s="67" t="e">
        <f t="array" ref="BG48">_xlfn.STDEV.P(IF($E$5:$E$27=$E47,BG$5:BG$27))</f>
        <v>#DIV/0!</v>
      </c>
      <c r="BH48" s="67" t="e">
        <f t="array" ref="BH48">_xlfn.STDEV.P(IF($E$5:$E$27=$E47,BH$5:BH$27))</f>
        <v>#DIV/0!</v>
      </c>
      <c r="BI48" s="67" t="e">
        <f t="array" ref="BI48">_xlfn.STDEV.P(IF($E$5:$E$27=$E47,BI$5:BI$27))</f>
        <v>#DIV/0!</v>
      </c>
      <c r="BJ48" s="67" t="e">
        <f t="array" ref="BJ48">_xlfn.STDEV.P(IF($E$5:$E$27=$E47,BJ$5:BJ$27))</f>
        <v>#DIV/0!</v>
      </c>
      <c r="BK48" s="67" t="e">
        <f t="array" ref="BK48">_xlfn.STDEV.P(IF($E$5:$E$27=$E47,BK$5:BK$27))</f>
        <v>#DIV/0!</v>
      </c>
      <c r="BL48" s="67" t="e">
        <f t="array" ref="BL48">_xlfn.STDEV.P(IF($E$5:$E$27=$E47,BL$5:BL$27))</f>
        <v>#DIV/0!</v>
      </c>
      <c r="BM48" s="67" t="e">
        <f t="array" ref="BM48">_xlfn.STDEV.P(IF($E$5:$E$27=$E47,BM$5:BM$27))</f>
        <v>#DIV/0!</v>
      </c>
      <c r="BN48" s="67" t="e">
        <f t="array" ref="BN48">_xlfn.STDEV.P(IF($E$5:$E$27=$E47,BN$5:BN$27))</f>
        <v>#DIV/0!</v>
      </c>
      <c r="BO48" s="67" t="e">
        <f t="array" ref="BO48">_xlfn.STDEV.P(IF($E$5:$E$27=$E47,BO$5:BO$27))</f>
        <v>#DIV/0!</v>
      </c>
      <c r="BP48" s="67" t="e">
        <f t="array" ref="BP48">_xlfn.STDEV.P(IF($E$5:$E$27=$E47,BP$5:BP$27))</f>
        <v>#DIV/0!</v>
      </c>
      <c r="BQ48" s="67" t="e">
        <f t="array" ref="BQ48">_xlfn.STDEV.P(IF($E$5:$E$27=$E47,BQ$5:BQ$27))</f>
        <v>#DIV/0!</v>
      </c>
      <c r="BR48" s="67" t="e">
        <f t="array" ref="BR48">_xlfn.STDEV.P(IF($E$5:$E$27=$E47,BR$5:BR$27))</f>
        <v>#DIV/0!</v>
      </c>
      <c r="BS48" s="67" t="e">
        <f t="array" ref="BS48">_xlfn.STDEV.P(IF($E$5:$E$27=$E47,BS$5:BS$27))</f>
        <v>#DIV/0!</v>
      </c>
      <c r="BT48" s="67" t="e">
        <f t="array" ref="BT48">_xlfn.STDEV.P(IF($E$5:$E$27=$E47,BT$5:BT$27))</f>
        <v>#DIV/0!</v>
      </c>
      <c r="BU48" s="67" t="e">
        <f t="array" ref="BU48">_xlfn.STDEV.P(IF($E$5:$E$27=$E47,BU$5:BU$27))</f>
        <v>#DIV/0!</v>
      </c>
      <c r="BV48" s="67" t="e">
        <f t="array" ref="BV48">_xlfn.STDEV.P(IF($E$5:$E$27=$E47,BV$5:BV$27))</f>
        <v>#DIV/0!</v>
      </c>
      <c r="BW48" s="67" t="e">
        <f t="array" ref="BW48">_xlfn.STDEV.P(IF($E$5:$E$27=$E47,BW$5:BW$27))</f>
        <v>#DIV/0!</v>
      </c>
      <c r="BX48" s="67" t="e">
        <f t="array" ref="BX48">_xlfn.STDEV.P(IF($E$5:$E$27=$E47,BX$5:BX$27))</f>
        <v>#DIV/0!</v>
      </c>
      <c r="BY48" s="67" t="e">
        <f t="array" ref="BY48">_xlfn.STDEV.P(IF($E$5:$E$27=$E47,BY$5:BY$27))</f>
        <v>#DIV/0!</v>
      </c>
      <c r="BZ48" s="67" t="e">
        <f t="array" ref="BZ48">_xlfn.STDEV.P(IF($E$5:$E$27=$E47,BZ$5:BZ$27))</f>
        <v>#DIV/0!</v>
      </c>
      <c r="CA48" s="67" t="e">
        <f t="array" ref="CA48">_xlfn.STDEV.P(IF($E$5:$E$27=$E47,CA$5:CA$27))</f>
        <v>#DIV/0!</v>
      </c>
      <c r="CB48" s="67" t="e">
        <f t="array" ref="CB48">_xlfn.STDEV.P(IF($E$5:$E$27=$E47,CB$5:CB$27))</f>
        <v>#DIV/0!</v>
      </c>
      <c r="CC48" s="67" t="e">
        <f t="array" ref="CC48">_xlfn.STDEV.P(IF($E$5:$E$27=$E47,CC$5:CC$27))</f>
        <v>#DIV/0!</v>
      </c>
      <c r="CD48" s="67" t="e">
        <f t="array" ref="CD48">_xlfn.STDEV.P(IF($E$5:$E$27=$E47,CD$5:CD$27))</f>
        <v>#DIV/0!</v>
      </c>
      <c r="CE48" s="67" t="e">
        <f t="array" ref="CE48">_xlfn.STDEV.P(IF($E$5:$E$27=$E47,CE$5:CE$27))</f>
        <v>#DIV/0!</v>
      </c>
      <c r="CF48" s="67" t="e">
        <f t="array" ref="CF48">_xlfn.STDEV.P(IF($E$5:$E$27=$E47,CF$5:CF$27))</f>
        <v>#DIV/0!</v>
      </c>
      <c r="CG48" s="67" t="e">
        <f t="array" ref="CG48">_xlfn.STDEV.P(IF($E$5:$E$27=$E47,CG$5:CG$27))</f>
        <v>#DIV/0!</v>
      </c>
      <c r="CH48" s="67" t="e">
        <f t="array" ref="CH48">_xlfn.STDEV.P(IF($E$5:$E$27=$E47,CH$5:CH$27))</f>
        <v>#DIV/0!</v>
      </c>
      <c r="CI48" s="67" t="e">
        <f t="array" ref="CI48">_xlfn.STDEV.P(IF($E$5:$E$27=$E47,CI$5:CI$27))</f>
        <v>#DIV/0!</v>
      </c>
      <c r="CJ48" s="67" t="e">
        <f t="array" ref="CJ48">_xlfn.STDEV.P(IF($E$5:$E$27=$E47,CJ$5:CJ$27))</f>
        <v>#DIV/0!</v>
      </c>
      <c r="CK48" s="67" t="e">
        <f t="array" ref="CK48">_xlfn.STDEV.P(IF($E$5:$E$27=$E47,CK$5:CK$27))</f>
        <v>#DIV/0!</v>
      </c>
      <c r="CL48" s="67" t="e">
        <f t="array" ref="CL48">_xlfn.STDEV.P(IF($E$5:$E$27=$E47,CL$5:CL$27))</f>
        <v>#DIV/0!</v>
      </c>
      <c r="CM48" s="67" t="e">
        <f t="array" ref="CM48">_xlfn.STDEV.P(IF($E$5:$E$27=$E47,CM$5:CM$27))</f>
        <v>#DIV/0!</v>
      </c>
      <c r="CN48" s="67" t="e">
        <f t="array" ref="CN48">_xlfn.STDEV.P(IF($E$5:$E$27=$E47,CN$5:CN$27))</f>
        <v>#DIV/0!</v>
      </c>
      <c r="CO48" s="67" t="e">
        <f t="array" ref="CO48">_xlfn.STDEV.P(IF($E$5:$E$27=$E47,CO$5:CO$27))</f>
        <v>#DIV/0!</v>
      </c>
      <c r="CP48" s="67" t="e">
        <f t="array" ref="CP48">_xlfn.STDEV.P(IF($E$5:$E$27=$E47,CP$5:CP$27))</f>
        <v>#DIV/0!</v>
      </c>
      <c r="CQ48" s="67" t="e">
        <f t="array" ref="CQ48">_xlfn.STDEV.P(IF($E$5:$E$27=$E47,CQ$5:CQ$27))</f>
        <v>#DIV/0!</v>
      </c>
      <c r="CR48" s="67" t="e">
        <f t="array" ref="CR48">_xlfn.STDEV.P(IF($E$5:$E$27=$E47,CR$5:CR$27))</f>
        <v>#DIV/0!</v>
      </c>
      <c r="CS48" s="67" t="e">
        <f t="array" ref="CS48">_xlfn.STDEV.P(IF($E$5:$E$27=$E47,CS$5:CS$27))</f>
        <v>#DIV/0!</v>
      </c>
      <c r="CT48" s="67" t="e">
        <f t="array" ref="CT48">_xlfn.STDEV.P(IF($E$5:$E$27=$E47,CT$5:CT$27))</f>
        <v>#DIV/0!</v>
      </c>
      <c r="CU48" s="67" t="e">
        <f t="array" ref="CU48">_xlfn.STDEV.P(IF($E$5:$E$27=$E47,CU$5:CU$27))</f>
        <v>#DIV/0!</v>
      </c>
      <c r="CV48" s="67" t="e">
        <f t="array" ref="CV48">_xlfn.STDEV.P(IF($E$5:$E$27=$E47,CV$5:CV$27))</f>
        <v>#DIV/0!</v>
      </c>
      <c r="CW48" s="69"/>
    </row>
    <row r="49" spans="1:101" ht="15">
      <c r="A49" s="103"/>
      <c r="E49" s="108"/>
      <c r="I49" s="45"/>
    </row>
    <row r="50" spans="1:101" ht="14.25" customHeight="1">
      <c r="A50" s="103"/>
      <c r="E50" s="108" t="str">
        <f>'NAB_PTX Groups'!C12</f>
        <v>Group 7</v>
      </c>
      <c r="I50" s="108" t="str">
        <f>E50</f>
        <v>Group 7</v>
      </c>
      <c r="J50" s="213" t="e">
        <f>AVERAGEIF($E$5:$E$27,$E50,J$5:J$27)</f>
        <v>#DIV/0!</v>
      </c>
      <c r="K50" s="65" t="s">
        <v>9</v>
      </c>
      <c r="L50" s="71" t="e">
        <f t="shared" ref="L50:BC50" si="63">AVERAGEIF($E$5:$E$27,$E50,L$5:L$27)</f>
        <v>#DIV/0!</v>
      </c>
      <c r="M50" s="71" t="e">
        <f t="shared" si="63"/>
        <v>#DIV/0!</v>
      </c>
      <c r="N50" s="71" t="e">
        <f t="shared" si="63"/>
        <v>#DIV/0!</v>
      </c>
      <c r="O50" s="71" t="e">
        <f t="shared" si="63"/>
        <v>#DIV/0!</v>
      </c>
      <c r="P50" s="71" t="e">
        <f t="shared" si="63"/>
        <v>#DIV/0!</v>
      </c>
      <c r="Q50" s="71" t="e">
        <f t="shared" si="63"/>
        <v>#DIV/0!</v>
      </c>
      <c r="R50" s="71" t="e">
        <f t="shared" si="63"/>
        <v>#DIV/0!</v>
      </c>
      <c r="S50" s="71" t="e">
        <f t="shared" si="63"/>
        <v>#DIV/0!</v>
      </c>
      <c r="T50" s="71" t="e">
        <f t="shared" si="63"/>
        <v>#DIV/0!</v>
      </c>
      <c r="U50" s="71" t="e">
        <f t="shared" si="63"/>
        <v>#DIV/0!</v>
      </c>
      <c r="V50" s="71" t="e">
        <f t="shared" si="63"/>
        <v>#DIV/0!</v>
      </c>
      <c r="W50" s="71" t="e">
        <f t="shared" si="63"/>
        <v>#DIV/0!</v>
      </c>
      <c r="X50" s="71" t="e">
        <f t="shared" si="63"/>
        <v>#DIV/0!</v>
      </c>
      <c r="Y50" s="71" t="e">
        <f t="shared" si="63"/>
        <v>#DIV/0!</v>
      </c>
      <c r="Z50" s="71" t="e">
        <f t="shared" si="63"/>
        <v>#DIV/0!</v>
      </c>
      <c r="AA50" s="71" t="e">
        <f t="shared" si="63"/>
        <v>#DIV/0!</v>
      </c>
      <c r="AB50" s="71" t="e">
        <f t="shared" si="63"/>
        <v>#DIV/0!</v>
      </c>
      <c r="AC50" s="71" t="e">
        <f t="shared" si="63"/>
        <v>#DIV/0!</v>
      </c>
      <c r="AD50" s="71" t="e">
        <f t="shared" si="63"/>
        <v>#DIV/0!</v>
      </c>
      <c r="AE50" s="71" t="e">
        <f t="shared" si="63"/>
        <v>#DIV/0!</v>
      </c>
      <c r="AF50" s="71" t="e">
        <f t="shared" si="63"/>
        <v>#DIV/0!</v>
      </c>
      <c r="AG50" s="71" t="e">
        <f t="shared" si="63"/>
        <v>#DIV/0!</v>
      </c>
      <c r="AH50" s="71" t="e">
        <f t="shared" si="63"/>
        <v>#DIV/0!</v>
      </c>
      <c r="AI50" s="71" t="e">
        <f t="shared" si="63"/>
        <v>#DIV/0!</v>
      </c>
      <c r="AJ50" s="71" t="e">
        <f t="shared" si="63"/>
        <v>#DIV/0!</v>
      </c>
      <c r="AK50" s="71" t="e">
        <f t="shared" si="63"/>
        <v>#DIV/0!</v>
      </c>
      <c r="AL50" s="71" t="e">
        <f t="shared" si="63"/>
        <v>#DIV/0!</v>
      </c>
      <c r="AM50" s="71" t="e">
        <f t="shared" si="63"/>
        <v>#DIV/0!</v>
      </c>
      <c r="AN50" s="71" t="e">
        <f t="shared" si="63"/>
        <v>#DIV/0!</v>
      </c>
      <c r="AO50" s="71" t="e">
        <f t="shared" si="63"/>
        <v>#DIV/0!</v>
      </c>
      <c r="AP50" s="71" t="e">
        <f t="shared" si="63"/>
        <v>#DIV/0!</v>
      </c>
      <c r="AQ50" s="71" t="e">
        <f t="shared" si="63"/>
        <v>#DIV/0!</v>
      </c>
      <c r="AR50" s="71" t="e">
        <f t="shared" si="63"/>
        <v>#DIV/0!</v>
      </c>
      <c r="AS50" s="71" t="e">
        <f t="shared" si="63"/>
        <v>#DIV/0!</v>
      </c>
      <c r="AT50" s="71" t="e">
        <f t="shared" si="63"/>
        <v>#DIV/0!</v>
      </c>
      <c r="AU50" s="71" t="e">
        <f t="shared" si="63"/>
        <v>#DIV/0!</v>
      </c>
      <c r="AV50" s="71" t="e">
        <f t="shared" si="63"/>
        <v>#DIV/0!</v>
      </c>
      <c r="AW50" s="71" t="e">
        <f t="shared" si="63"/>
        <v>#DIV/0!</v>
      </c>
      <c r="AX50" s="71" t="e">
        <f t="shared" si="63"/>
        <v>#DIV/0!</v>
      </c>
      <c r="AY50" s="71" t="e">
        <f t="shared" si="63"/>
        <v>#DIV/0!</v>
      </c>
      <c r="AZ50" s="71" t="e">
        <f t="shared" si="63"/>
        <v>#DIV/0!</v>
      </c>
      <c r="BA50" s="71" t="e">
        <f t="shared" si="63"/>
        <v>#DIV/0!</v>
      </c>
      <c r="BB50" s="71" t="e">
        <f t="shared" si="63"/>
        <v>#DIV/0!</v>
      </c>
      <c r="BC50" s="71" t="e">
        <f t="shared" si="63"/>
        <v>#DIV/0!</v>
      </c>
      <c r="BD50" s="93" t="s">
        <v>9</v>
      </c>
      <c r="BE50" s="66" t="e">
        <f t="shared" ref="BE50:CV50" si="64">AVERAGEIF($E$5:$E$27,$E50,BE$5:BE$27)</f>
        <v>#DIV/0!</v>
      </c>
      <c r="BF50" s="66" t="e">
        <f t="shared" si="64"/>
        <v>#DIV/0!</v>
      </c>
      <c r="BG50" s="66" t="e">
        <f t="shared" si="64"/>
        <v>#DIV/0!</v>
      </c>
      <c r="BH50" s="66" t="e">
        <f t="shared" si="64"/>
        <v>#DIV/0!</v>
      </c>
      <c r="BI50" s="66" t="e">
        <f t="shared" si="64"/>
        <v>#DIV/0!</v>
      </c>
      <c r="BJ50" s="66" t="e">
        <f t="shared" si="64"/>
        <v>#DIV/0!</v>
      </c>
      <c r="BK50" s="66" t="e">
        <f t="shared" si="64"/>
        <v>#DIV/0!</v>
      </c>
      <c r="BL50" s="66" t="e">
        <f t="shared" si="64"/>
        <v>#DIV/0!</v>
      </c>
      <c r="BM50" s="66" t="e">
        <f t="shared" si="64"/>
        <v>#DIV/0!</v>
      </c>
      <c r="BN50" s="66" t="e">
        <f t="shared" si="64"/>
        <v>#DIV/0!</v>
      </c>
      <c r="BO50" s="66" t="e">
        <f t="shared" si="64"/>
        <v>#DIV/0!</v>
      </c>
      <c r="BP50" s="66" t="e">
        <f t="shared" si="64"/>
        <v>#DIV/0!</v>
      </c>
      <c r="BQ50" s="66" t="e">
        <f t="shared" si="64"/>
        <v>#DIV/0!</v>
      </c>
      <c r="BR50" s="66" t="e">
        <f t="shared" si="64"/>
        <v>#DIV/0!</v>
      </c>
      <c r="BS50" s="66" t="e">
        <f t="shared" si="64"/>
        <v>#DIV/0!</v>
      </c>
      <c r="BT50" s="66" t="e">
        <f t="shared" si="64"/>
        <v>#DIV/0!</v>
      </c>
      <c r="BU50" s="66" t="e">
        <f t="shared" si="64"/>
        <v>#DIV/0!</v>
      </c>
      <c r="BV50" s="66" t="e">
        <f t="shared" si="64"/>
        <v>#DIV/0!</v>
      </c>
      <c r="BW50" s="66" t="e">
        <f t="shared" si="64"/>
        <v>#DIV/0!</v>
      </c>
      <c r="BX50" s="66" t="e">
        <f t="shared" si="64"/>
        <v>#DIV/0!</v>
      </c>
      <c r="BY50" s="66" t="e">
        <f t="shared" si="64"/>
        <v>#DIV/0!</v>
      </c>
      <c r="BZ50" s="66" t="e">
        <f t="shared" si="64"/>
        <v>#DIV/0!</v>
      </c>
      <c r="CA50" s="66" t="e">
        <f t="shared" si="64"/>
        <v>#DIV/0!</v>
      </c>
      <c r="CB50" s="66" t="e">
        <f t="shared" si="64"/>
        <v>#DIV/0!</v>
      </c>
      <c r="CC50" s="66" t="e">
        <f t="shared" si="64"/>
        <v>#DIV/0!</v>
      </c>
      <c r="CD50" s="66" t="e">
        <f t="shared" si="64"/>
        <v>#DIV/0!</v>
      </c>
      <c r="CE50" s="66" t="e">
        <f t="shared" si="64"/>
        <v>#DIV/0!</v>
      </c>
      <c r="CF50" s="66" t="e">
        <f t="shared" si="64"/>
        <v>#DIV/0!</v>
      </c>
      <c r="CG50" s="66" t="e">
        <f t="shared" si="64"/>
        <v>#DIV/0!</v>
      </c>
      <c r="CH50" s="66" t="e">
        <f t="shared" si="64"/>
        <v>#DIV/0!</v>
      </c>
      <c r="CI50" s="66" t="e">
        <f t="shared" si="64"/>
        <v>#DIV/0!</v>
      </c>
      <c r="CJ50" s="66" t="e">
        <f t="shared" si="64"/>
        <v>#DIV/0!</v>
      </c>
      <c r="CK50" s="66" t="e">
        <f t="shared" si="64"/>
        <v>#DIV/0!</v>
      </c>
      <c r="CL50" s="66" t="e">
        <f t="shared" si="64"/>
        <v>#DIV/0!</v>
      </c>
      <c r="CM50" s="66" t="e">
        <f t="shared" si="64"/>
        <v>#DIV/0!</v>
      </c>
      <c r="CN50" s="66" t="e">
        <f t="shared" si="64"/>
        <v>#DIV/0!</v>
      </c>
      <c r="CO50" s="66" t="e">
        <f t="shared" si="64"/>
        <v>#DIV/0!</v>
      </c>
      <c r="CP50" s="66" t="e">
        <f t="shared" si="64"/>
        <v>#DIV/0!</v>
      </c>
      <c r="CQ50" s="66" t="e">
        <f t="shared" si="64"/>
        <v>#DIV/0!</v>
      </c>
      <c r="CR50" s="66" t="e">
        <f t="shared" si="64"/>
        <v>#DIV/0!</v>
      </c>
      <c r="CS50" s="66" t="e">
        <f t="shared" si="64"/>
        <v>#DIV/0!</v>
      </c>
      <c r="CT50" s="66" t="e">
        <f t="shared" si="64"/>
        <v>#DIV/0!</v>
      </c>
      <c r="CU50" s="66" t="e">
        <f t="shared" si="64"/>
        <v>#DIV/0!</v>
      </c>
      <c r="CV50" s="66" t="e">
        <f t="shared" si="64"/>
        <v>#DIV/0!</v>
      </c>
      <c r="CW50" s="69"/>
    </row>
    <row r="51" spans="1:101" ht="14.25" customHeight="1">
      <c r="A51" s="103"/>
      <c r="E51" s="108"/>
      <c r="I51" s="83"/>
      <c r="J51" s="213" t="e">
        <f t="array" ref="J51">_xlfn.STDEV.P(IF($E$5:$E$27=$E50,J$5:J$27))</f>
        <v>#DIV/0!</v>
      </c>
      <c r="K51" s="65" t="s">
        <v>11</v>
      </c>
      <c r="L51" s="74" t="e">
        <f t="array" ref="L51">_xlfn.STDEV.P(IF($E$5:$E$27=$E50,L$5:L$27))</f>
        <v>#DIV/0!</v>
      </c>
      <c r="M51" s="74" t="e">
        <f t="array" ref="M51">_xlfn.STDEV.P(IF($E$5:$E$27=$E50,M$5:M$27))</f>
        <v>#DIV/0!</v>
      </c>
      <c r="N51" s="74" t="e">
        <f t="array" ref="N51">_xlfn.STDEV.P(IF($E$5:$E$27=$E50,N$5:N$27))</f>
        <v>#DIV/0!</v>
      </c>
      <c r="O51" s="74" t="e">
        <f t="array" ref="O51">_xlfn.STDEV.P(IF($E$5:$E$27=$E50,O$5:O$27))</f>
        <v>#DIV/0!</v>
      </c>
      <c r="P51" s="74" t="e">
        <f t="array" ref="P51">_xlfn.STDEV.P(IF($E$5:$E$27=$E50,P$5:P$27))</f>
        <v>#DIV/0!</v>
      </c>
      <c r="Q51" s="74" t="e">
        <f t="array" ref="Q51">_xlfn.STDEV.P(IF($E$5:$E$27=$E50,Q$5:Q$27))</f>
        <v>#DIV/0!</v>
      </c>
      <c r="R51" s="74" t="e">
        <f t="array" ref="R51">_xlfn.STDEV.P(IF($E$5:$E$27=$E50,R$5:R$27))</f>
        <v>#DIV/0!</v>
      </c>
      <c r="S51" s="74" t="e">
        <f t="array" ref="S51">_xlfn.STDEV.P(IF($E$5:$E$27=$E50,S$5:S$27))</f>
        <v>#DIV/0!</v>
      </c>
      <c r="T51" s="74" t="e">
        <f t="array" ref="T51">_xlfn.STDEV.P(IF($E$5:$E$27=$E50,T$5:T$27))</f>
        <v>#DIV/0!</v>
      </c>
      <c r="U51" s="74" t="e">
        <f t="array" ref="U51">_xlfn.STDEV.P(IF($E$5:$E$27=$E50,U$5:U$27))</f>
        <v>#DIV/0!</v>
      </c>
      <c r="V51" s="74" t="e">
        <f t="array" ref="V51">_xlfn.STDEV.P(IF($E$5:$E$27=$E50,V$5:V$27))</f>
        <v>#DIV/0!</v>
      </c>
      <c r="W51" s="74" t="e">
        <f t="array" ref="W51">_xlfn.STDEV.P(IF($E$5:$E$27=$E50,W$5:W$27))</f>
        <v>#DIV/0!</v>
      </c>
      <c r="X51" s="74" t="e">
        <f t="array" ref="X51">_xlfn.STDEV.P(IF($E$5:$E$27=$E50,X$5:X$27))</f>
        <v>#DIV/0!</v>
      </c>
      <c r="Y51" s="74" t="e">
        <f t="array" ref="Y51">_xlfn.STDEV.P(IF($E$5:$E$27=$E50,Y$5:Y$27))</f>
        <v>#DIV/0!</v>
      </c>
      <c r="Z51" s="74" t="e">
        <f t="array" ref="Z51">_xlfn.STDEV.P(IF($E$5:$E$27=$E50,Z$5:Z$27))</f>
        <v>#DIV/0!</v>
      </c>
      <c r="AA51" s="74" t="e">
        <f t="array" ref="AA51">_xlfn.STDEV.P(IF($E$5:$E$27=$E50,AA$5:AA$27))</f>
        <v>#DIV/0!</v>
      </c>
      <c r="AB51" s="74" t="e">
        <f t="array" ref="AB51">_xlfn.STDEV.P(IF($E$5:$E$27=$E50,AB$5:AB$27))</f>
        <v>#DIV/0!</v>
      </c>
      <c r="AC51" s="74" t="e">
        <f t="array" ref="AC51">_xlfn.STDEV.P(IF($E$5:$E$27=$E50,AC$5:AC$27))</f>
        <v>#DIV/0!</v>
      </c>
      <c r="AD51" s="74" t="e">
        <f t="array" ref="AD51">_xlfn.STDEV.P(IF($E$5:$E$27=$E50,AD$5:AD$27))</f>
        <v>#DIV/0!</v>
      </c>
      <c r="AE51" s="74" t="e">
        <f t="array" ref="AE51">_xlfn.STDEV.P(IF($E$5:$E$27=$E50,AE$5:AE$27))</f>
        <v>#DIV/0!</v>
      </c>
      <c r="AF51" s="74" t="e">
        <f t="array" ref="AF51">_xlfn.STDEV.P(IF($E$5:$E$27=$E50,AF$5:AF$27))</f>
        <v>#DIV/0!</v>
      </c>
      <c r="AG51" s="74" t="e">
        <f t="array" ref="AG51">_xlfn.STDEV.P(IF($E$5:$E$27=$E50,AG$5:AG$27))</f>
        <v>#DIV/0!</v>
      </c>
      <c r="AH51" s="74" t="e">
        <f t="array" ref="AH51">_xlfn.STDEV.P(IF($E$5:$E$27=$E50,AH$5:AH$27))</f>
        <v>#DIV/0!</v>
      </c>
      <c r="AI51" s="74" t="e">
        <f t="array" ref="AI51">_xlfn.STDEV.P(IF($E$5:$E$27=$E50,AI$5:AI$27))</f>
        <v>#DIV/0!</v>
      </c>
      <c r="AJ51" s="74" t="e">
        <f t="array" ref="AJ51">_xlfn.STDEV.P(IF($E$5:$E$27=$E50,AJ$5:AJ$27))</f>
        <v>#DIV/0!</v>
      </c>
      <c r="AK51" s="74" t="e">
        <f t="array" ref="AK51">_xlfn.STDEV.P(IF($E$5:$E$27=$E50,AK$5:AK$27))</f>
        <v>#DIV/0!</v>
      </c>
      <c r="AL51" s="74" t="e">
        <f t="array" ref="AL51">_xlfn.STDEV.P(IF($E$5:$E$27=$E50,AL$5:AL$27))</f>
        <v>#DIV/0!</v>
      </c>
      <c r="AM51" s="74" t="e">
        <f t="array" ref="AM51">_xlfn.STDEV.P(IF($E$5:$E$27=$E50,AM$5:AM$27))</f>
        <v>#DIV/0!</v>
      </c>
      <c r="AN51" s="74" t="e">
        <f t="array" ref="AN51">_xlfn.STDEV.P(IF($E$5:$E$27=$E50,AN$5:AN$27))</f>
        <v>#DIV/0!</v>
      </c>
      <c r="AO51" s="74" t="e">
        <f t="array" ref="AO51">_xlfn.STDEV.P(IF($E$5:$E$27=$E50,AO$5:AO$27))</f>
        <v>#DIV/0!</v>
      </c>
      <c r="AP51" s="74" t="e">
        <f t="array" ref="AP51">_xlfn.STDEV.P(IF($E$5:$E$27=$E50,AP$5:AP$27))</f>
        <v>#DIV/0!</v>
      </c>
      <c r="AQ51" s="74" t="e">
        <f t="array" ref="AQ51">_xlfn.STDEV.P(IF($E$5:$E$27=$E50,AQ$5:AQ$27))</f>
        <v>#DIV/0!</v>
      </c>
      <c r="AR51" s="74" t="e">
        <f t="array" ref="AR51">_xlfn.STDEV.P(IF($E$5:$E$27=$E50,AR$5:AR$27))</f>
        <v>#DIV/0!</v>
      </c>
      <c r="AS51" s="74" t="e">
        <f t="array" ref="AS51">_xlfn.STDEV.P(IF($E$5:$E$27=$E50,AS$5:AS$27))</f>
        <v>#DIV/0!</v>
      </c>
      <c r="AT51" s="74" t="e">
        <f t="array" ref="AT51">_xlfn.STDEV.P(IF($E$5:$E$27=$E50,AT$5:AT$27))</f>
        <v>#DIV/0!</v>
      </c>
      <c r="AU51" s="74" t="e">
        <f t="array" ref="AU51">_xlfn.STDEV.P(IF($E$5:$E$27=$E50,AU$5:AU$27))</f>
        <v>#DIV/0!</v>
      </c>
      <c r="AV51" s="74" t="e">
        <f t="array" ref="AV51">_xlfn.STDEV.P(IF($E$5:$E$27=$E50,AV$5:AV$27))</f>
        <v>#DIV/0!</v>
      </c>
      <c r="AW51" s="74" t="e">
        <f t="array" ref="AW51">_xlfn.STDEV.P(IF($E$5:$E$27=$E50,AW$5:AW$27))</f>
        <v>#DIV/0!</v>
      </c>
      <c r="AX51" s="74" t="e">
        <f t="array" ref="AX51">_xlfn.STDEV.P(IF($E$5:$E$27=$E50,AX$5:AX$27))</f>
        <v>#DIV/0!</v>
      </c>
      <c r="AY51" s="74" t="e">
        <f t="array" ref="AY51">_xlfn.STDEV.P(IF($E$5:$E$27=$E50,AY$5:AY$27))</f>
        <v>#DIV/0!</v>
      </c>
      <c r="AZ51" s="74" t="e">
        <f t="array" ref="AZ51">_xlfn.STDEV.P(IF($E$5:$E$27=$E50,AZ$5:AZ$27))</f>
        <v>#DIV/0!</v>
      </c>
      <c r="BA51" s="74" t="e">
        <f t="array" ref="BA51">_xlfn.STDEV.P(IF($E$5:$E$27=$E50,BA$5:BA$27))</f>
        <v>#DIV/0!</v>
      </c>
      <c r="BB51" s="74" t="e">
        <f t="array" ref="BB51">_xlfn.STDEV.P(IF($E$5:$E$27=$E50,BB$5:BB$27))</f>
        <v>#DIV/0!</v>
      </c>
      <c r="BC51" s="74" t="e">
        <f t="array" ref="BC51">_xlfn.STDEV.P(IF($E$5:$E$27=$E50,BC$5:BC$27))</f>
        <v>#DIV/0!</v>
      </c>
      <c r="BD51" s="94" t="s">
        <v>11</v>
      </c>
      <c r="BE51" s="67" t="e">
        <f t="array" ref="BE51">_xlfn.STDEV.P(IF($E$5:$E$27=$E50,BE$5:BE$27))</f>
        <v>#DIV/0!</v>
      </c>
      <c r="BF51" s="67" t="e">
        <f t="array" ref="BF51">_xlfn.STDEV.P(IF($E$5:$E$27=$E50,BF$5:BF$27))</f>
        <v>#DIV/0!</v>
      </c>
      <c r="BG51" s="67" t="e">
        <f t="array" ref="BG51">_xlfn.STDEV.P(IF($E$5:$E$27=$E50,BG$5:BG$27))</f>
        <v>#DIV/0!</v>
      </c>
      <c r="BH51" s="67" t="e">
        <f t="array" ref="BH51">_xlfn.STDEV.P(IF($E$5:$E$27=$E50,BH$5:BH$27))</f>
        <v>#DIV/0!</v>
      </c>
      <c r="BI51" s="67" t="e">
        <f t="array" ref="BI51">_xlfn.STDEV.P(IF($E$5:$E$27=$E50,BI$5:BI$27))</f>
        <v>#DIV/0!</v>
      </c>
      <c r="BJ51" s="67" t="e">
        <f t="array" ref="BJ51">_xlfn.STDEV.P(IF($E$5:$E$27=$E50,BJ$5:BJ$27))</f>
        <v>#DIV/0!</v>
      </c>
      <c r="BK51" s="67" t="e">
        <f t="array" ref="BK51">_xlfn.STDEV.P(IF($E$5:$E$27=$E50,BK$5:BK$27))</f>
        <v>#DIV/0!</v>
      </c>
      <c r="BL51" s="67" t="e">
        <f t="array" ref="BL51">_xlfn.STDEV.P(IF($E$5:$E$27=$E50,BL$5:BL$27))</f>
        <v>#DIV/0!</v>
      </c>
      <c r="BM51" s="67" t="e">
        <f t="array" ref="BM51">_xlfn.STDEV.P(IF($E$5:$E$27=$E50,BM$5:BM$27))</f>
        <v>#DIV/0!</v>
      </c>
      <c r="BN51" s="67" t="e">
        <f t="array" ref="BN51">_xlfn.STDEV.P(IF($E$5:$E$27=$E50,BN$5:BN$27))</f>
        <v>#DIV/0!</v>
      </c>
      <c r="BO51" s="67" t="e">
        <f t="array" ref="BO51">_xlfn.STDEV.P(IF($E$5:$E$27=$E50,BO$5:BO$27))</f>
        <v>#DIV/0!</v>
      </c>
      <c r="BP51" s="67" t="e">
        <f t="array" ref="BP51">_xlfn.STDEV.P(IF($E$5:$E$27=$E50,BP$5:BP$27))</f>
        <v>#DIV/0!</v>
      </c>
      <c r="BQ51" s="67" t="e">
        <f t="array" ref="BQ51">_xlfn.STDEV.P(IF($E$5:$E$27=$E50,BQ$5:BQ$27))</f>
        <v>#DIV/0!</v>
      </c>
      <c r="BR51" s="67" t="e">
        <f t="array" ref="BR51">_xlfn.STDEV.P(IF($E$5:$E$27=$E50,BR$5:BR$27))</f>
        <v>#DIV/0!</v>
      </c>
      <c r="BS51" s="67" t="e">
        <f t="array" ref="BS51">_xlfn.STDEV.P(IF($E$5:$E$27=$E50,BS$5:BS$27))</f>
        <v>#DIV/0!</v>
      </c>
      <c r="BT51" s="67" t="e">
        <f t="array" ref="BT51">_xlfn.STDEV.P(IF($E$5:$E$27=$E50,BT$5:BT$27))</f>
        <v>#DIV/0!</v>
      </c>
      <c r="BU51" s="67" t="e">
        <f t="array" ref="BU51">_xlfn.STDEV.P(IF($E$5:$E$27=$E50,BU$5:BU$27))</f>
        <v>#DIV/0!</v>
      </c>
      <c r="BV51" s="67" t="e">
        <f t="array" ref="BV51">_xlfn.STDEV.P(IF($E$5:$E$27=$E50,BV$5:BV$27))</f>
        <v>#DIV/0!</v>
      </c>
      <c r="BW51" s="67" t="e">
        <f t="array" ref="BW51">_xlfn.STDEV.P(IF($E$5:$E$27=$E50,BW$5:BW$27))</f>
        <v>#DIV/0!</v>
      </c>
      <c r="BX51" s="67" t="e">
        <f t="array" ref="BX51">_xlfn.STDEV.P(IF($E$5:$E$27=$E50,BX$5:BX$27))</f>
        <v>#DIV/0!</v>
      </c>
      <c r="BY51" s="67" t="e">
        <f t="array" ref="BY51">_xlfn.STDEV.P(IF($E$5:$E$27=$E50,BY$5:BY$27))</f>
        <v>#DIV/0!</v>
      </c>
      <c r="BZ51" s="67" t="e">
        <f t="array" ref="BZ51">_xlfn.STDEV.P(IF($E$5:$E$27=$E50,BZ$5:BZ$27))</f>
        <v>#DIV/0!</v>
      </c>
      <c r="CA51" s="67" t="e">
        <f t="array" ref="CA51">_xlfn.STDEV.P(IF($E$5:$E$27=$E50,CA$5:CA$27))</f>
        <v>#DIV/0!</v>
      </c>
      <c r="CB51" s="67" t="e">
        <f t="array" ref="CB51">_xlfn.STDEV.P(IF($E$5:$E$27=$E50,CB$5:CB$27))</f>
        <v>#DIV/0!</v>
      </c>
      <c r="CC51" s="67" t="e">
        <f t="array" ref="CC51">_xlfn.STDEV.P(IF($E$5:$E$27=$E50,CC$5:CC$27))</f>
        <v>#DIV/0!</v>
      </c>
      <c r="CD51" s="67" t="e">
        <f t="array" ref="CD51">_xlfn.STDEV.P(IF($E$5:$E$27=$E50,CD$5:CD$27))</f>
        <v>#DIV/0!</v>
      </c>
      <c r="CE51" s="67" t="e">
        <f t="array" ref="CE51">_xlfn.STDEV.P(IF($E$5:$E$27=$E50,CE$5:CE$27))</f>
        <v>#DIV/0!</v>
      </c>
      <c r="CF51" s="67" t="e">
        <f t="array" ref="CF51">_xlfn.STDEV.P(IF($E$5:$E$27=$E50,CF$5:CF$27))</f>
        <v>#DIV/0!</v>
      </c>
      <c r="CG51" s="67" t="e">
        <f t="array" ref="CG51">_xlfn.STDEV.P(IF($E$5:$E$27=$E50,CG$5:CG$27))</f>
        <v>#DIV/0!</v>
      </c>
      <c r="CH51" s="67" t="e">
        <f t="array" ref="CH51">_xlfn.STDEV.P(IF($E$5:$E$27=$E50,CH$5:CH$27))</f>
        <v>#DIV/0!</v>
      </c>
      <c r="CI51" s="67" t="e">
        <f t="array" ref="CI51">_xlfn.STDEV.P(IF($E$5:$E$27=$E50,CI$5:CI$27))</f>
        <v>#DIV/0!</v>
      </c>
      <c r="CJ51" s="67" t="e">
        <f t="array" ref="CJ51">_xlfn.STDEV.P(IF($E$5:$E$27=$E50,CJ$5:CJ$27))</f>
        <v>#DIV/0!</v>
      </c>
      <c r="CK51" s="67" t="e">
        <f t="array" ref="CK51">_xlfn.STDEV.P(IF($E$5:$E$27=$E50,CK$5:CK$27))</f>
        <v>#DIV/0!</v>
      </c>
      <c r="CL51" s="67" t="e">
        <f t="array" ref="CL51">_xlfn.STDEV.P(IF($E$5:$E$27=$E50,CL$5:CL$27))</f>
        <v>#DIV/0!</v>
      </c>
      <c r="CM51" s="67" t="e">
        <f t="array" ref="CM51">_xlfn.STDEV.P(IF($E$5:$E$27=$E50,CM$5:CM$27))</f>
        <v>#DIV/0!</v>
      </c>
      <c r="CN51" s="67" t="e">
        <f t="array" ref="CN51">_xlfn.STDEV.P(IF($E$5:$E$27=$E50,CN$5:CN$27))</f>
        <v>#DIV/0!</v>
      </c>
      <c r="CO51" s="67" t="e">
        <f t="array" ref="CO51">_xlfn.STDEV.P(IF($E$5:$E$27=$E50,CO$5:CO$27))</f>
        <v>#DIV/0!</v>
      </c>
      <c r="CP51" s="67" t="e">
        <f t="array" ref="CP51">_xlfn.STDEV.P(IF($E$5:$E$27=$E50,CP$5:CP$27))</f>
        <v>#DIV/0!</v>
      </c>
      <c r="CQ51" s="67" t="e">
        <f t="array" ref="CQ51">_xlfn.STDEV.P(IF($E$5:$E$27=$E50,CQ$5:CQ$27))</f>
        <v>#DIV/0!</v>
      </c>
      <c r="CR51" s="67" t="e">
        <f t="array" ref="CR51">_xlfn.STDEV.P(IF($E$5:$E$27=$E50,CR$5:CR$27))</f>
        <v>#DIV/0!</v>
      </c>
      <c r="CS51" s="67" t="e">
        <f t="array" ref="CS51">_xlfn.STDEV.P(IF($E$5:$E$27=$E50,CS$5:CS$27))</f>
        <v>#DIV/0!</v>
      </c>
      <c r="CT51" s="67" t="e">
        <f t="array" ref="CT51">_xlfn.STDEV.P(IF($E$5:$E$27=$E50,CT$5:CT$27))</f>
        <v>#DIV/0!</v>
      </c>
      <c r="CU51" s="67" t="e">
        <f t="array" ref="CU51">_xlfn.STDEV.P(IF($E$5:$E$27=$E50,CU$5:CU$27))</f>
        <v>#DIV/0!</v>
      </c>
      <c r="CV51" s="67" t="e">
        <f t="array" ref="CV51">_xlfn.STDEV.P(IF($E$5:$E$27=$E50,CV$5:CV$27))</f>
        <v>#DIV/0!</v>
      </c>
      <c r="CW51" s="69"/>
    </row>
    <row r="52" spans="1:101" ht="15">
      <c r="A52" s="103"/>
      <c r="E52" s="108"/>
      <c r="I52" s="45"/>
    </row>
    <row r="53" spans="1:101" ht="14.25" customHeight="1">
      <c r="A53" s="103"/>
      <c r="E53" s="108" t="str">
        <f>'NAB_PTX Groups'!C13</f>
        <v>Group 8</v>
      </c>
      <c r="I53" s="108" t="str">
        <f>E53</f>
        <v>Group 8</v>
      </c>
      <c r="J53" s="213" t="e">
        <f>AVERAGEIF($E$5:$E$27,$E53,J$5:J$27)</f>
        <v>#DIV/0!</v>
      </c>
      <c r="K53" s="65" t="s">
        <v>9</v>
      </c>
      <c r="L53" s="71" t="e">
        <f t="shared" ref="L53:BC53" si="65">AVERAGEIF($E$5:$E$27,$E53,L$5:L$27)</f>
        <v>#DIV/0!</v>
      </c>
      <c r="M53" s="71" t="e">
        <f t="shared" si="65"/>
        <v>#DIV/0!</v>
      </c>
      <c r="N53" s="71" t="e">
        <f t="shared" si="65"/>
        <v>#DIV/0!</v>
      </c>
      <c r="O53" s="71" t="e">
        <f t="shared" si="65"/>
        <v>#DIV/0!</v>
      </c>
      <c r="P53" s="71" t="e">
        <f t="shared" si="65"/>
        <v>#DIV/0!</v>
      </c>
      <c r="Q53" s="71" t="e">
        <f t="shared" si="65"/>
        <v>#DIV/0!</v>
      </c>
      <c r="R53" s="71" t="e">
        <f t="shared" si="65"/>
        <v>#DIV/0!</v>
      </c>
      <c r="S53" s="71" t="e">
        <f t="shared" si="65"/>
        <v>#DIV/0!</v>
      </c>
      <c r="T53" s="71" t="e">
        <f t="shared" si="65"/>
        <v>#DIV/0!</v>
      </c>
      <c r="U53" s="71" t="e">
        <f t="shared" si="65"/>
        <v>#DIV/0!</v>
      </c>
      <c r="V53" s="71" t="e">
        <f t="shared" si="65"/>
        <v>#DIV/0!</v>
      </c>
      <c r="W53" s="71" t="e">
        <f t="shared" si="65"/>
        <v>#DIV/0!</v>
      </c>
      <c r="X53" s="71" t="e">
        <f t="shared" si="65"/>
        <v>#DIV/0!</v>
      </c>
      <c r="Y53" s="71" t="e">
        <f t="shared" si="65"/>
        <v>#DIV/0!</v>
      </c>
      <c r="Z53" s="71" t="e">
        <f t="shared" si="65"/>
        <v>#DIV/0!</v>
      </c>
      <c r="AA53" s="71" t="e">
        <f t="shared" si="65"/>
        <v>#DIV/0!</v>
      </c>
      <c r="AB53" s="71" t="e">
        <f t="shared" si="65"/>
        <v>#DIV/0!</v>
      </c>
      <c r="AC53" s="71" t="e">
        <f t="shared" si="65"/>
        <v>#DIV/0!</v>
      </c>
      <c r="AD53" s="71" t="e">
        <f t="shared" si="65"/>
        <v>#DIV/0!</v>
      </c>
      <c r="AE53" s="71" t="e">
        <f t="shared" si="65"/>
        <v>#DIV/0!</v>
      </c>
      <c r="AF53" s="71" t="e">
        <f t="shared" si="65"/>
        <v>#DIV/0!</v>
      </c>
      <c r="AG53" s="71" t="e">
        <f t="shared" si="65"/>
        <v>#DIV/0!</v>
      </c>
      <c r="AH53" s="71" t="e">
        <f t="shared" si="65"/>
        <v>#DIV/0!</v>
      </c>
      <c r="AI53" s="71" t="e">
        <f t="shared" si="65"/>
        <v>#DIV/0!</v>
      </c>
      <c r="AJ53" s="71" t="e">
        <f t="shared" si="65"/>
        <v>#DIV/0!</v>
      </c>
      <c r="AK53" s="71" t="e">
        <f t="shared" si="65"/>
        <v>#DIV/0!</v>
      </c>
      <c r="AL53" s="71" t="e">
        <f t="shared" si="65"/>
        <v>#DIV/0!</v>
      </c>
      <c r="AM53" s="71" t="e">
        <f t="shared" si="65"/>
        <v>#DIV/0!</v>
      </c>
      <c r="AN53" s="71" t="e">
        <f t="shared" si="65"/>
        <v>#DIV/0!</v>
      </c>
      <c r="AO53" s="71" t="e">
        <f t="shared" si="65"/>
        <v>#DIV/0!</v>
      </c>
      <c r="AP53" s="71" t="e">
        <f t="shared" si="65"/>
        <v>#DIV/0!</v>
      </c>
      <c r="AQ53" s="71" t="e">
        <f t="shared" si="65"/>
        <v>#DIV/0!</v>
      </c>
      <c r="AR53" s="71" t="e">
        <f t="shared" si="65"/>
        <v>#DIV/0!</v>
      </c>
      <c r="AS53" s="71" t="e">
        <f t="shared" si="65"/>
        <v>#DIV/0!</v>
      </c>
      <c r="AT53" s="71" t="e">
        <f t="shared" si="65"/>
        <v>#DIV/0!</v>
      </c>
      <c r="AU53" s="71" t="e">
        <f t="shared" si="65"/>
        <v>#DIV/0!</v>
      </c>
      <c r="AV53" s="71" t="e">
        <f t="shared" si="65"/>
        <v>#DIV/0!</v>
      </c>
      <c r="AW53" s="71" t="e">
        <f t="shared" si="65"/>
        <v>#DIV/0!</v>
      </c>
      <c r="AX53" s="71" t="e">
        <f t="shared" si="65"/>
        <v>#DIV/0!</v>
      </c>
      <c r="AY53" s="71" t="e">
        <f t="shared" si="65"/>
        <v>#DIV/0!</v>
      </c>
      <c r="AZ53" s="71" t="e">
        <f t="shared" si="65"/>
        <v>#DIV/0!</v>
      </c>
      <c r="BA53" s="71" t="e">
        <f t="shared" si="65"/>
        <v>#DIV/0!</v>
      </c>
      <c r="BB53" s="71" t="e">
        <f t="shared" si="65"/>
        <v>#DIV/0!</v>
      </c>
      <c r="BC53" s="71" t="e">
        <f t="shared" si="65"/>
        <v>#DIV/0!</v>
      </c>
      <c r="BD53" s="93" t="s">
        <v>9</v>
      </c>
      <c r="BE53" s="66" t="e">
        <f t="shared" ref="BE53:CV53" si="66">AVERAGEIF($E$5:$E$27,$E53,BE$5:BE$27)</f>
        <v>#DIV/0!</v>
      </c>
      <c r="BF53" s="66" t="e">
        <f t="shared" si="66"/>
        <v>#DIV/0!</v>
      </c>
      <c r="BG53" s="66" t="e">
        <f t="shared" si="66"/>
        <v>#DIV/0!</v>
      </c>
      <c r="BH53" s="66" t="e">
        <f t="shared" si="66"/>
        <v>#DIV/0!</v>
      </c>
      <c r="BI53" s="66" t="e">
        <f t="shared" si="66"/>
        <v>#DIV/0!</v>
      </c>
      <c r="BJ53" s="66" t="e">
        <f t="shared" si="66"/>
        <v>#DIV/0!</v>
      </c>
      <c r="BK53" s="66" t="e">
        <f t="shared" si="66"/>
        <v>#DIV/0!</v>
      </c>
      <c r="BL53" s="66" t="e">
        <f t="shared" si="66"/>
        <v>#DIV/0!</v>
      </c>
      <c r="BM53" s="66" t="e">
        <f t="shared" si="66"/>
        <v>#DIV/0!</v>
      </c>
      <c r="BN53" s="66" t="e">
        <f t="shared" si="66"/>
        <v>#DIV/0!</v>
      </c>
      <c r="BO53" s="66" t="e">
        <f t="shared" si="66"/>
        <v>#DIV/0!</v>
      </c>
      <c r="BP53" s="66" t="e">
        <f t="shared" si="66"/>
        <v>#DIV/0!</v>
      </c>
      <c r="BQ53" s="66" t="e">
        <f t="shared" si="66"/>
        <v>#DIV/0!</v>
      </c>
      <c r="BR53" s="66" t="e">
        <f t="shared" si="66"/>
        <v>#DIV/0!</v>
      </c>
      <c r="BS53" s="66" t="e">
        <f t="shared" si="66"/>
        <v>#DIV/0!</v>
      </c>
      <c r="BT53" s="66" t="e">
        <f t="shared" si="66"/>
        <v>#DIV/0!</v>
      </c>
      <c r="BU53" s="66" t="e">
        <f t="shared" si="66"/>
        <v>#DIV/0!</v>
      </c>
      <c r="BV53" s="66" t="e">
        <f t="shared" si="66"/>
        <v>#DIV/0!</v>
      </c>
      <c r="BW53" s="66" t="e">
        <f t="shared" si="66"/>
        <v>#DIV/0!</v>
      </c>
      <c r="BX53" s="66" t="e">
        <f t="shared" si="66"/>
        <v>#DIV/0!</v>
      </c>
      <c r="BY53" s="66" t="e">
        <f t="shared" si="66"/>
        <v>#DIV/0!</v>
      </c>
      <c r="BZ53" s="66" t="e">
        <f t="shared" si="66"/>
        <v>#DIV/0!</v>
      </c>
      <c r="CA53" s="66" t="e">
        <f t="shared" si="66"/>
        <v>#DIV/0!</v>
      </c>
      <c r="CB53" s="66" t="e">
        <f t="shared" si="66"/>
        <v>#DIV/0!</v>
      </c>
      <c r="CC53" s="66" t="e">
        <f t="shared" si="66"/>
        <v>#DIV/0!</v>
      </c>
      <c r="CD53" s="66" t="e">
        <f t="shared" si="66"/>
        <v>#DIV/0!</v>
      </c>
      <c r="CE53" s="66" t="e">
        <f t="shared" si="66"/>
        <v>#DIV/0!</v>
      </c>
      <c r="CF53" s="66" t="e">
        <f t="shared" si="66"/>
        <v>#DIV/0!</v>
      </c>
      <c r="CG53" s="66" t="e">
        <f t="shared" si="66"/>
        <v>#DIV/0!</v>
      </c>
      <c r="CH53" s="66" t="e">
        <f t="shared" si="66"/>
        <v>#DIV/0!</v>
      </c>
      <c r="CI53" s="66" t="e">
        <f t="shared" si="66"/>
        <v>#DIV/0!</v>
      </c>
      <c r="CJ53" s="66" t="e">
        <f t="shared" si="66"/>
        <v>#DIV/0!</v>
      </c>
      <c r="CK53" s="66" t="e">
        <f t="shared" si="66"/>
        <v>#DIV/0!</v>
      </c>
      <c r="CL53" s="66" t="e">
        <f t="shared" si="66"/>
        <v>#DIV/0!</v>
      </c>
      <c r="CM53" s="66" t="e">
        <f t="shared" si="66"/>
        <v>#DIV/0!</v>
      </c>
      <c r="CN53" s="66" t="e">
        <f t="shared" si="66"/>
        <v>#DIV/0!</v>
      </c>
      <c r="CO53" s="66" t="e">
        <f t="shared" si="66"/>
        <v>#DIV/0!</v>
      </c>
      <c r="CP53" s="66" t="e">
        <f t="shared" si="66"/>
        <v>#DIV/0!</v>
      </c>
      <c r="CQ53" s="66" t="e">
        <f t="shared" si="66"/>
        <v>#DIV/0!</v>
      </c>
      <c r="CR53" s="66" t="e">
        <f t="shared" si="66"/>
        <v>#DIV/0!</v>
      </c>
      <c r="CS53" s="66" t="e">
        <f t="shared" si="66"/>
        <v>#DIV/0!</v>
      </c>
      <c r="CT53" s="66" t="e">
        <f t="shared" si="66"/>
        <v>#DIV/0!</v>
      </c>
      <c r="CU53" s="66" t="e">
        <f t="shared" si="66"/>
        <v>#DIV/0!</v>
      </c>
      <c r="CV53" s="66" t="e">
        <f t="shared" si="66"/>
        <v>#DIV/0!</v>
      </c>
      <c r="CW53" s="69"/>
    </row>
    <row r="54" spans="1:101" ht="14.25" customHeight="1">
      <c r="A54" s="103"/>
      <c r="E54" s="83"/>
      <c r="I54" s="83"/>
      <c r="J54" s="213" t="e">
        <f t="array" ref="J54">_xlfn.STDEV.P(IF($E$5:$E$27=$E53,J$5:J$27))</f>
        <v>#DIV/0!</v>
      </c>
      <c r="K54" s="65" t="s">
        <v>11</v>
      </c>
      <c r="L54" s="74" t="e">
        <f t="array" ref="L54">_xlfn.STDEV.P(IF($E$5:$E$27=$E53,L$5:L$27))</f>
        <v>#DIV/0!</v>
      </c>
      <c r="M54" s="74" t="e">
        <f t="array" ref="M54">_xlfn.STDEV.P(IF($E$5:$E$27=$E53,M$5:M$27))</f>
        <v>#DIV/0!</v>
      </c>
      <c r="N54" s="74" t="e">
        <f t="array" ref="N54">_xlfn.STDEV.P(IF($E$5:$E$27=$E53,N$5:N$27))</f>
        <v>#DIV/0!</v>
      </c>
      <c r="O54" s="74" t="e">
        <f t="array" ref="O54">_xlfn.STDEV.P(IF($E$5:$E$27=$E53,O$5:O$27))</f>
        <v>#DIV/0!</v>
      </c>
      <c r="P54" s="74" t="e">
        <f t="array" ref="P54">_xlfn.STDEV.P(IF($E$5:$E$27=$E53,P$5:P$27))</f>
        <v>#DIV/0!</v>
      </c>
      <c r="Q54" s="74" t="e">
        <f t="array" ref="Q54">_xlfn.STDEV.P(IF($E$5:$E$27=$E53,Q$5:Q$27))</f>
        <v>#DIV/0!</v>
      </c>
      <c r="R54" s="74" t="e">
        <f t="array" ref="R54">_xlfn.STDEV.P(IF($E$5:$E$27=$E53,R$5:R$27))</f>
        <v>#DIV/0!</v>
      </c>
      <c r="S54" s="74" t="e">
        <f t="array" ref="S54">_xlfn.STDEV.P(IF($E$5:$E$27=$E53,S$5:S$27))</f>
        <v>#DIV/0!</v>
      </c>
      <c r="T54" s="74" t="e">
        <f t="array" ref="T54">_xlfn.STDEV.P(IF($E$5:$E$27=$E53,T$5:T$27))</f>
        <v>#DIV/0!</v>
      </c>
      <c r="U54" s="74" t="e">
        <f t="array" ref="U54">_xlfn.STDEV.P(IF($E$5:$E$27=$E53,U$5:U$27))</f>
        <v>#DIV/0!</v>
      </c>
      <c r="V54" s="74" t="e">
        <f t="array" ref="V54">_xlfn.STDEV.P(IF($E$5:$E$27=$E53,V$5:V$27))</f>
        <v>#DIV/0!</v>
      </c>
      <c r="W54" s="74" t="e">
        <f t="array" ref="W54">_xlfn.STDEV.P(IF($E$5:$E$27=$E53,W$5:W$27))</f>
        <v>#DIV/0!</v>
      </c>
      <c r="X54" s="74" t="e">
        <f t="array" ref="X54">_xlfn.STDEV.P(IF($E$5:$E$27=$E53,X$5:X$27))</f>
        <v>#DIV/0!</v>
      </c>
      <c r="Y54" s="74" t="e">
        <f t="array" ref="Y54">_xlfn.STDEV.P(IF($E$5:$E$27=$E53,Y$5:Y$27))</f>
        <v>#DIV/0!</v>
      </c>
      <c r="Z54" s="74" t="e">
        <f t="array" ref="Z54">_xlfn.STDEV.P(IF($E$5:$E$27=$E53,Z$5:Z$27))</f>
        <v>#DIV/0!</v>
      </c>
      <c r="AA54" s="74" t="e">
        <f t="array" ref="AA54">_xlfn.STDEV.P(IF($E$5:$E$27=$E53,AA$5:AA$27))</f>
        <v>#DIV/0!</v>
      </c>
      <c r="AB54" s="74" t="e">
        <f t="array" ref="AB54">_xlfn.STDEV.P(IF($E$5:$E$27=$E53,AB$5:AB$27))</f>
        <v>#DIV/0!</v>
      </c>
      <c r="AC54" s="74" t="e">
        <f t="array" ref="AC54">_xlfn.STDEV.P(IF($E$5:$E$27=$E53,AC$5:AC$27))</f>
        <v>#DIV/0!</v>
      </c>
      <c r="AD54" s="74" t="e">
        <f t="array" ref="AD54">_xlfn.STDEV.P(IF($E$5:$E$27=$E53,AD$5:AD$27))</f>
        <v>#DIV/0!</v>
      </c>
      <c r="AE54" s="74" t="e">
        <f t="array" ref="AE54">_xlfn.STDEV.P(IF($E$5:$E$27=$E53,AE$5:AE$27))</f>
        <v>#DIV/0!</v>
      </c>
      <c r="AF54" s="74" t="e">
        <f t="array" ref="AF54">_xlfn.STDEV.P(IF($E$5:$E$27=$E53,AF$5:AF$27))</f>
        <v>#DIV/0!</v>
      </c>
      <c r="AG54" s="74" t="e">
        <f t="array" ref="AG54">_xlfn.STDEV.P(IF($E$5:$E$27=$E53,AG$5:AG$27))</f>
        <v>#DIV/0!</v>
      </c>
      <c r="AH54" s="74" t="e">
        <f t="array" ref="AH54">_xlfn.STDEV.P(IF($E$5:$E$27=$E53,AH$5:AH$27))</f>
        <v>#DIV/0!</v>
      </c>
      <c r="AI54" s="74" t="e">
        <f t="array" ref="AI54">_xlfn.STDEV.P(IF($E$5:$E$27=$E53,AI$5:AI$27))</f>
        <v>#DIV/0!</v>
      </c>
      <c r="AJ54" s="74" t="e">
        <f t="array" ref="AJ54">_xlfn.STDEV.P(IF($E$5:$E$27=$E53,AJ$5:AJ$27))</f>
        <v>#DIV/0!</v>
      </c>
      <c r="AK54" s="74" t="e">
        <f t="array" ref="AK54">_xlfn.STDEV.P(IF($E$5:$E$27=$E53,AK$5:AK$27))</f>
        <v>#DIV/0!</v>
      </c>
      <c r="AL54" s="74" t="e">
        <f t="array" ref="AL54">_xlfn.STDEV.P(IF($E$5:$E$27=$E53,AL$5:AL$27))</f>
        <v>#DIV/0!</v>
      </c>
      <c r="AM54" s="74" t="e">
        <f t="array" ref="AM54">_xlfn.STDEV.P(IF($E$5:$E$27=$E53,AM$5:AM$27))</f>
        <v>#DIV/0!</v>
      </c>
      <c r="AN54" s="74" t="e">
        <f t="array" ref="AN54">_xlfn.STDEV.P(IF($E$5:$E$27=$E53,AN$5:AN$27))</f>
        <v>#DIV/0!</v>
      </c>
      <c r="AO54" s="74" t="e">
        <f t="array" ref="AO54">_xlfn.STDEV.P(IF($E$5:$E$27=$E53,AO$5:AO$27))</f>
        <v>#DIV/0!</v>
      </c>
      <c r="AP54" s="74" t="e">
        <f t="array" ref="AP54">_xlfn.STDEV.P(IF($E$5:$E$27=$E53,AP$5:AP$27))</f>
        <v>#DIV/0!</v>
      </c>
      <c r="AQ54" s="74" t="e">
        <f t="array" ref="AQ54">_xlfn.STDEV.P(IF($E$5:$E$27=$E53,AQ$5:AQ$27))</f>
        <v>#DIV/0!</v>
      </c>
      <c r="AR54" s="74" t="e">
        <f t="array" ref="AR54">_xlfn.STDEV.P(IF($E$5:$E$27=$E53,AR$5:AR$27))</f>
        <v>#DIV/0!</v>
      </c>
      <c r="AS54" s="74" t="e">
        <f t="array" ref="AS54">_xlfn.STDEV.P(IF($E$5:$E$27=$E53,AS$5:AS$27))</f>
        <v>#DIV/0!</v>
      </c>
      <c r="AT54" s="74" t="e">
        <f t="array" ref="AT54">_xlfn.STDEV.P(IF($E$5:$E$27=$E53,AT$5:AT$27))</f>
        <v>#DIV/0!</v>
      </c>
      <c r="AU54" s="74" t="e">
        <f t="array" ref="AU54">_xlfn.STDEV.P(IF($E$5:$E$27=$E53,AU$5:AU$27))</f>
        <v>#DIV/0!</v>
      </c>
      <c r="AV54" s="74" t="e">
        <f t="array" ref="AV54">_xlfn.STDEV.P(IF($E$5:$E$27=$E53,AV$5:AV$27))</f>
        <v>#DIV/0!</v>
      </c>
      <c r="AW54" s="74" t="e">
        <f t="array" ref="AW54">_xlfn.STDEV.P(IF($E$5:$E$27=$E53,AW$5:AW$27))</f>
        <v>#DIV/0!</v>
      </c>
      <c r="AX54" s="74" t="e">
        <f t="array" ref="AX54">_xlfn.STDEV.P(IF($E$5:$E$27=$E53,AX$5:AX$27))</f>
        <v>#DIV/0!</v>
      </c>
      <c r="AY54" s="74" t="e">
        <f t="array" ref="AY54">_xlfn.STDEV.P(IF($E$5:$E$27=$E53,AY$5:AY$27))</f>
        <v>#DIV/0!</v>
      </c>
      <c r="AZ54" s="74" t="e">
        <f t="array" ref="AZ54">_xlfn.STDEV.P(IF($E$5:$E$27=$E53,AZ$5:AZ$27))</f>
        <v>#DIV/0!</v>
      </c>
      <c r="BA54" s="74" t="e">
        <f t="array" ref="BA54">_xlfn.STDEV.P(IF($E$5:$E$27=$E53,BA$5:BA$27))</f>
        <v>#DIV/0!</v>
      </c>
      <c r="BB54" s="74" t="e">
        <f t="array" ref="BB54">_xlfn.STDEV.P(IF($E$5:$E$27=$E53,BB$5:BB$27))</f>
        <v>#DIV/0!</v>
      </c>
      <c r="BC54" s="74" t="e">
        <f t="array" ref="BC54">_xlfn.STDEV.P(IF($E$5:$E$27=$E53,BC$5:BC$27))</f>
        <v>#DIV/0!</v>
      </c>
      <c r="BD54" s="94" t="s">
        <v>11</v>
      </c>
      <c r="BE54" s="67" t="e">
        <f t="array" ref="BE54">_xlfn.STDEV.P(IF($E$5:$E$27=$E53,BE$5:BE$27))</f>
        <v>#DIV/0!</v>
      </c>
      <c r="BF54" s="67" t="e">
        <f t="array" ref="BF54">_xlfn.STDEV.P(IF($E$5:$E$27=$E53,BF$5:BF$27))</f>
        <v>#DIV/0!</v>
      </c>
      <c r="BG54" s="67" t="e">
        <f t="array" ref="BG54">_xlfn.STDEV.P(IF($E$5:$E$27=$E53,BG$5:BG$27))</f>
        <v>#DIV/0!</v>
      </c>
      <c r="BH54" s="67" t="e">
        <f t="array" ref="BH54">_xlfn.STDEV.P(IF($E$5:$E$27=$E53,BH$5:BH$27))</f>
        <v>#DIV/0!</v>
      </c>
      <c r="BI54" s="67" t="e">
        <f t="array" ref="BI54">_xlfn.STDEV.P(IF($E$5:$E$27=$E53,BI$5:BI$27))</f>
        <v>#DIV/0!</v>
      </c>
      <c r="BJ54" s="67" t="e">
        <f t="array" ref="BJ54">_xlfn.STDEV.P(IF($E$5:$E$27=$E53,BJ$5:BJ$27))</f>
        <v>#DIV/0!</v>
      </c>
      <c r="BK54" s="67" t="e">
        <f t="array" ref="BK54">_xlfn.STDEV.P(IF($E$5:$E$27=$E53,BK$5:BK$27))</f>
        <v>#DIV/0!</v>
      </c>
      <c r="BL54" s="67" t="e">
        <f t="array" ref="BL54">_xlfn.STDEV.P(IF($E$5:$E$27=$E53,BL$5:BL$27))</f>
        <v>#DIV/0!</v>
      </c>
      <c r="BM54" s="67" t="e">
        <f t="array" ref="BM54">_xlfn.STDEV.P(IF($E$5:$E$27=$E53,BM$5:BM$27))</f>
        <v>#DIV/0!</v>
      </c>
      <c r="BN54" s="67" t="e">
        <f t="array" ref="BN54">_xlfn.STDEV.P(IF($E$5:$E$27=$E53,BN$5:BN$27))</f>
        <v>#DIV/0!</v>
      </c>
      <c r="BO54" s="67" t="e">
        <f t="array" ref="BO54">_xlfn.STDEV.P(IF($E$5:$E$27=$E53,BO$5:BO$27))</f>
        <v>#DIV/0!</v>
      </c>
      <c r="BP54" s="67" t="e">
        <f t="array" ref="BP54">_xlfn.STDEV.P(IF($E$5:$E$27=$E53,BP$5:BP$27))</f>
        <v>#DIV/0!</v>
      </c>
      <c r="BQ54" s="67" t="e">
        <f t="array" ref="BQ54">_xlfn.STDEV.P(IF($E$5:$E$27=$E53,BQ$5:BQ$27))</f>
        <v>#DIV/0!</v>
      </c>
      <c r="BR54" s="67" t="e">
        <f t="array" ref="BR54">_xlfn.STDEV.P(IF($E$5:$E$27=$E53,BR$5:BR$27))</f>
        <v>#DIV/0!</v>
      </c>
      <c r="BS54" s="67" t="e">
        <f t="array" ref="BS54">_xlfn.STDEV.P(IF($E$5:$E$27=$E53,BS$5:BS$27))</f>
        <v>#DIV/0!</v>
      </c>
      <c r="BT54" s="67" t="e">
        <f t="array" ref="BT54">_xlfn.STDEV.P(IF($E$5:$E$27=$E53,BT$5:BT$27))</f>
        <v>#DIV/0!</v>
      </c>
      <c r="BU54" s="67" t="e">
        <f t="array" ref="BU54">_xlfn.STDEV.P(IF($E$5:$E$27=$E53,BU$5:BU$27))</f>
        <v>#DIV/0!</v>
      </c>
      <c r="BV54" s="67" t="e">
        <f t="array" ref="BV54">_xlfn.STDEV.P(IF($E$5:$E$27=$E53,BV$5:BV$27))</f>
        <v>#DIV/0!</v>
      </c>
      <c r="BW54" s="67" t="e">
        <f t="array" ref="BW54">_xlfn.STDEV.P(IF($E$5:$E$27=$E53,BW$5:BW$27))</f>
        <v>#DIV/0!</v>
      </c>
      <c r="BX54" s="67" t="e">
        <f t="array" ref="BX54">_xlfn.STDEV.P(IF($E$5:$E$27=$E53,BX$5:BX$27))</f>
        <v>#DIV/0!</v>
      </c>
      <c r="BY54" s="67" t="e">
        <f t="array" ref="BY54">_xlfn.STDEV.P(IF($E$5:$E$27=$E53,BY$5:BY$27))</f>
        <v>#DIV/0!</v>
      </c>
      <c r="BZ54" s="67" t="e">
        <f t="array" ref="BZ54">_xlfn.STDEV.P(IF($E$5:$E$27=$E53,BZ$5:BZ$27))</f>
        <v>#DIV/0!</v>
      </c>
      <c r="CA54" s="67" t="e">
        <f t="array" ref="CA54">_xlfn.STDEV.P(IF($E$5:$E$27=$E53,CA$5:CA$27))</f>
        <v>#DIV/0!</v>
      </c>
      <c r="CB54" s="67" t="e">
        <f t="array" ref="CB54">_xlfn.STDEV.P(IF($E$5:$E$27=$E53,CB$5:CB$27))</f>
        <v>#DIV/0!</v>
      </c>
      <c r="CC54" s="67" t="e">
        <f t="array" ref="CC54">_xlfn.STDEV.P(IF($E$5:$E$27=$E53,CC$5:CC$27))</f>
        <v>#DIV/0!</v>
      </c>
      <c r="CD54" s="67" t="e">
        <f t="array" ref="CD54">_xlfn.STDEV.P(IF($E$5:$E$27=$E53,CD$5:CD$27))</f>
        <v>#DIV/0!</v>
      </c>
      <c r="CE54" s="67" t="e">
        <f t="array" ref="CE54">_xlfn.STDEV.P(IF($E$5:$E$27=$E53,CE$5:CE$27))</f>
        <v>#DIV/0!</v>
      </c>
      <c r="CF54" s="67" t="e">
        <f t="array" ref="CF54">_xlfn.STDEV.P(IF($E$5:$E$27=$E53,CF$5:CF$27))</f>
        <v>#DIV/0!</v>
      </c>
      <c r="CG54" s="67" t="e">
        <f t="array" ref="CG54">_xlfn.STDEV.P(IF($E$5:$E$27=$E53,CG$5:CG$27))</f>
        <v>#DIV/0!</v>
      </c>
      <c r="CH54" s="67" t="e">
        <f t="array" ref="CH54">_xlfn.STDEV.P(IF($E$5:$E$27=$E53,CH$5:CH$27))</f>
        <v>#DIV/0!</v>
      </c>
      <c r="CI54" s="67" t="e">
        <f t="array" ref="CI54">_xlfn.STDEV.P(IF($E$5:$E$27=$E53,CI$5:CI$27))</f>
        <v>#DIV/0!</v>
      </c>
      <c r="CJ54" s="67" t="e">
        <f t="array" ref="CJ54">_xlfn.STDEV.P(IF($E$5:$E$27=$E53,CJ$5:CJ$27))</f>
        <v>#DIV/0!</v>
      </c>
      <c r="CK54" s="67" t="e">
        <f t="array" ref="CK54">_xlfn.STDEV.P(IF($E$5:$E$27=$E53,CK$5:CK$27))</f>
        <v>#DIV/0!</v>
      </c>
      <c r="CL54" s="67" t="e">
        <f t="array" ref="CL54">_xlfn.STDEV.P(IF($E$5:$E$27=$E53,CL$5:CL$27))</f>
        <v>#DIV/0!</v>
      </c>
      <c r="CM54" s="67" t="e">
        <f t="array" ref="CM54">_xlfn.STDEV.P(IF($E$5:$E$27=$E53,CM$5:CM$27))</f>
        <v>#DIV/0!</v>
      </c>
      <c r="CN54" s="67" t="e">
        <f t="array" ref="CN54">_xlfn.STDEV.P(IF($E$5:$E$27=$E53,CN$5:CN$27))</f>
        <v>#DIV/0!</v>
      </c>
      <c r="CO54" s="67" t="e">
        <f t="array" ref="CO54">_xlfn.STDEV.P(IF($E$5:$E$27=$E53,CO$5:CO$27))</f>
        <v>#DIV/0!</v>
      </c>
      <c r="CP54" s="67" t="e">
        <f t="array" ref="CP54">_xlfn.STDEV.P(IF($E$5:$E$27=$E53,CP$5:CP$27))</f>
        <v>#DIV/0!</v>
      </c>
      <c r="CQ54" s="67" t="e">
        <f t="array" ref="CQ54">_xlfn.STDEV.P(IF($E$5:$E$27=$E53,CQ$5:CQ$27))</f>
        <v>#DIV/0!</v>
      </c>
      <c r="CR54" s="67" t="e">
        <f t="array" ref="CR54">_xlfn.STDEV.P(IF($E$5:$E$27=$E53,CR$5:CR$27))</f>
        <v>#DIV/0!</v>
      </c>
      <c r="CS54" s="67" t="e">
        <f t="array" ref="CS54">_xlfn.STDEV.P(IF($E$5:$E$27=$E53,CS$5:CS$27))</f>
        <v>#DIV/0!</v>
      </c>
      <c r="CT54" s="67" t="e">
        <f t="array" ref="CT54">_xlfn.STDEV.P(IF($E$5:$E$27=$E53,CT$5:CT$27))</f>
        <v>#DIV/0!</v>
      </c>
      <c r="CU54" s="67" t="e">
        <f t="array" ref="CU54">_xlfn.STDEV.P(IF($E$5:$E$27=$E53,CU$5:CU$27))</f>
        <v>#DIV/0!</v>
      </c>
      <c r="CV54" s="67" t="e">
        <f t="array" ref="CV54">_xlfn.STDEV.P(IF($E$5:$E$27=$E53,CV$5:CV$27))</f>
        <v>#DIV/0!</v>
      </c>
      <c r="CW54" s="69"/>
    </row>
    <row r="55" spans="1:101" ht="15">
      <c r="A55" s="103"/>
      <c r="E55" s="45"/>
      <c r="I55" s="45"/>
    </row>
    <row r="56" spans="1:101" ht="14.25" customHeight="1">
      <c r="A56" s="103"/>
      <c r="E56" s="108" t="str">
        <f>'NAB_PTX Groups'!C14</f>
        <v>Group 9</v>
      </c>
      <c r="I56" s="108" t="str">
        <f>E56</f>
        <v>Group 9</v>
      </c>
      <c r="J56" s="213" t="e">
        <f>AVERAGEIF($E$5:$E$27,$E56,J$5:J$27)</f>
        <v>#DIV/0!</v>
      </c>
      <c r="K56" s="65" t="s">
        <v>9</v>
      </c>
      <c r="L56" s="71" t="e">
        <f t="shared" ref="L56:BC56" si="67">AVERAGEIF($E$5:$E$27,$E56,L$5:L$27)</f>
        <v>#DIV/0!</v>
      </c>
      <c r="M56" s="71" t="e">
        <f t="shared" si="67"/>
        <v>#DIV/0!</v>
      </c>
      <c r="N56" s="71" t="e">
        <f t="shared" si="67"/>
        <v>#DIV/0!</v>
      </c>
      <c r="O56" s="71" t="e">
        <f t="shared" si="67"/>
        <v>#DIV/0!</v>
      </c>
      <c r="P56" s="71" t="e">
        <f t="shared" si="67"/>
        <v>#DIV/0!</v>
      </c>
      <c r="Q56" s="71" t="e">
        <f t="shared" si="67"/>
        <v>#DIV/0!</v>
      </c>
      <c r="R56" s="71" t="e">
        <f t="shared" si="67"/>
        <v>#DIV/0!</v>
      </c>
      <c r="S56" s="71" t="e">
        <f t="shared" si="67"/>
        <v>#DIV/0!</v>
      </c>
      <c r="T56" s="71" t="e">
        <f t="shared" si="67"/>
        <v>#DIV/0!</v>
      </c>
      <c r="U56" s="71" t="e">
        <f t="shared" si="67"/>
        <v>#DIV/0!</v>
      </c>
      <c r="V56" s="71" t="e">
        <f t="shared" si="67"/>
        <v>#DIV/0!</v>
      </c>
      <c r="W56" s="71" t="e">
        <f t="shared" si="67"/>
        <v>#DIV/0!</v>
      </c>
      <c r="X56" s="71" t="e">
        <f t="shared" si="67"/>
        <v>#DIV/0!</v>
      </c>
      <c r="Y56" s="71" t="e">
        <f t="shared" si="67"/>
        <v>#DIV/0!</v>
      </c>
      <c r="Z56" s="71" t="e">
        <f t="shared" si="67"/>
        <v>#DIV/0!</v>
      </c>
      <c r="AA56" s="71" t="e">
        <f t="shared" si="67"/>
        <v>#DIV/0!</v>
      </c>
      <c r="AB56" s="71" t="e">
        <f t="shared" si="67"/>
        <v>#DIV/0!</v>
      </c>
      <c r="AC56" s="71" t="e">
        <f t="shared" si="67"/>
        <v>#DIV/0!</v>
      </c>
      <c r="AD56" s="71" t="e">
        <f t="shared" si="67"/>
        <v>#DIV/0!</v>
      </c>
      <c r="AE56" s="71" t="e">
        <f t="shared" si="67"/>
        <v>#DIV/0!</v>
      </c>
      <c r="AF56" s="71" t="e">
        <f t="shared" si="67"/>
        <v>#DIV/0!</v>
      </c>
      <c r="AG56" s="71" t="e">
        <f t="shared" si="67"/>
        <v>#DIV/0!</v>
      </c>
      <c r="AH56" s="71" t="e">
        <f t="shared" si="67"/>
        <v>#DIV/0!</v>
      </c>
      <c r="AI56" s="71" t="e">
        <f t="shared" si="67"/>
        <v>#DIV/0!</v>
      </c>
      <c r="AJ56" s="71" t="e">
        <f t="shared" si="67"/>
        <v>#DIV/0!</v>
      </c>
      <c r="AK56" s="71" t="e">
        <f t="shared" si="67"/>
        <v>#DIV/0!</v>
      </c>
      <c r="AL56" s="71" t="e">
        <f t="shared" si="67"/>
        <v>#DIV/0!</v>
      </c>
      <c r="AM56" s="71" t="e">
        <f t="shared" si="67"/>
        <v>#DIV/0!</v>
      </c>
      <c r="AN56" s="71" t="e">
        <f t="shared" si="67"/>
        <v>#DIV/0!</v>
      </c>
      <c r="AO56" s="71" t="e">
        <f t="shared" si="67"/>
        <v>#DIV/0!</v>
      </c>
      <c r="AP56" s="71" t="e">
        <f t="shared" si="67"/>
        <v>#DIV/0!</v>
      </c>
      <c r="AQ56" s="71" t="e">
        <f t="shared" si="67"/>
        <v>#DIV/0!</v>
      </c>
      <c r="AR56" s="71" t="e">
        <f t="shared" si="67"/>
        <v>#DIV/0!</v>
      </c>
      <c r="AS56" s="71" t="e">
        <f t="shared" si="67"/>
        <v>#DIV/0!</v>
      </c>
      <c r="AT56" s="71" t="e">
        <f t="shared" si="67"/>
        <v>#DIV/0!</v>
      </c>
      <c r="AU56" s="71" t="e">
        <f t="shared" si="67"/>
        <v>#DIV/0!</v>
      </c>
      <c r="AV56" s="71" t="e">
        <f t="shared" si="67"/>
        <v>#DIV/0!</v>
      </c>
      <c r="AW56" s="71" t="e">
        <f t="shared" si="67"/>
        <v>#DIV/0!</v>
      </c>
      <c r="AX56" s="71" t="e">
        <f t="shared" si="67"/>
        <v>#DIV/0!</v>
      </c>
      <c r="AY56" s="71" t="e">
        <f t="shared" si="67"/>
        <v>#DIV/0!</v>
      </c>
      <c r="AZ56" s="71" t="e">
        <f t="shared" si="67"/>
        <v>#DIV/0!</v>
      </c>
      <c r="BA56" s="71" t="e">
        <f t="shared" si="67"/>
        <v>#DIV/0!</v>
      </c>
      <c r="BB56" s="71" t="e">
        <f t="shared" si="67"/>
        <v>#DIV/0!</v>
      </c>
      <c r="BC56" s="71" t="e">
        <f t="shared" si="67"/>
        <v>#DIV/0!</v>
      </c>
      <c r="BD56" s="93" t="s">
        <v>9</v>
      </c>
      <c r="BE56" s="66" t="e">
        <f t="shared" ref="BE56:CV56" si="68">AVERAGEIF($E$5:$E$27,$E56,BE$5:BE$27)</f>
        <v>#DIV/0!</v>
      </c>
      <c r="BF56" s="66" t="e">
        <f t="shared" si="68"/>
        <v>#DIV/0!</v>
      </c>
      <c r="BG56" s="66" t="e">
        <f t="shared" si="68"/>
        <v>#DIV/0!</v>
      </c>
      <c r="BH56" s="66" t="e">
        <f t="shared" si="68"/>
        <v>#DIV/0!</v>
      </c>
      <c r="BI56" s="66" t="e">
        <f t="shared" si="68"/>
        <v>#DIV/0!</v>
      </c>
      <c r="BJ56" s="66" t="e">
        <f t="shared" si="68"/>
        <v>#DIV/0!</v>
      </c>
      <c r="BK56" s="66" t="e">
        <f t="shared" si="68"/>
        <v>#DIV/0!</v>
      </c>
      <c r="BL56" s="66" t="e">
        <f t="shared" si="68"/>
        <v>#DIV/0!</v>
      </c>
      <c r="BM56" s="66" t="e">
        <f t="shared" si="68"/>
        <v>#DIV/0!</v>
      </c>
      <c r="BN56" s="66" t="e">
        <f t="shared" si="68"/>
        <v>#DIV/0!</v>
      </c>
      <c r="BO56" s="66" t="e">
        <f t="shared" si="68"/>
        <v>#DIV/0!</v>
      </c>
      <c r="BP56" s="66" t="e">
        <f t="shared" si="68"/>
        <v>#DIV/0!</v>
      </c>
      <c r="BQ56" s="66" t="e">
        <f t="shared" si="68"/>
        <v>#DIV/0!</v>
      </c>
      <c r="BR56" s="66" t="e">
        <f t="shared" si="68"/>
        <v>#DIV/0!</v>
      </c>
      <c r="BS56" s="66" t="e">
        <f t="shared" si="68"/>
        <v>#DIV/0!</v>
      </c>
      <c r="BT56" s="66" t="e">
        <f t="shared" si="68"/>
        <v>#DIV/0!</v>
      </c>
      <c r="BU56" s="66" t="e">
        <f t="shared" si="68"/>
        <v>#DIV/0!</v>
      </c>
      <c r="BV56" s="66" t="e">
        <f t="shared" si="68"/>
        <v>#DIV/0!</v>
      </c>
      <c r="BW56" s="66" t="e">
        <f t="shared" si="68"/>
        <v>#DIV/0!</v>
      </c>
      <c r="BX56" s="66" t="e">
        <f t="shared" si="68"/>
        <v>#DIV/0!</v>
      </c>
      <c r="BY56" s="66" t="e">
        <f t="shared" si="68"/>
        <v>#DIV/0!</v>
      </c>
      <c r="BZ56" s="66" t="e">
        <f t="shared" si="68"/>
        <v>#DIV/0!</v>
      </c>
      <c r="CA56" s="66" t="e">
        <f t="shared" si="68"/>
        <v>#DIV/0!</v>
      </c>
      <c r="CB56" s="66" t="e">
        <f t="shared" si="68"/>
        <v>#DIV/0!</v>
      </c>
      <c r="CC56" s="66" t="e">
        <f t="shared" si="68"/>
        <v>#DIV/0!</v>
      </c>
      <c r="CD56" s="66" t="e">
        <f t="shared" si="68"/>
        <v>#DIV/0!</v>
      </c>
      <c r="CE56" s="66" t="e">
        <f t="shared" si="68"/>
        <v>#DIV/0!</v>
      </c>
      <c r="CF56" s="66" t="e">
        <f t="shared" si="68"/>
        <v>#DIV/0!</v>
      </c>
      <c r="CG56" s="66" t="e">
        <f t="shared" si="68"/>
        <v>#DIV/0!</v>
      </c>
      <c r="CH56" s="66" t="e">
        <f t="shared" si="68"/>
        <v>#DIV/0!</v>
      </c>
      <c r="CI56" s="66" t="e">
        <f t="shared" si="68"/>
        <v>#DIV/0!</v>
      </c>
      <c r="CJ56" s="66" t="e">
        <f t="shared" si="68"/>
        <v>#DIV/0!</v>
      </c>
      <c r="CK56" s="66" t="e">
        <f t="shared" si="68"/>
        <v>#DIV/0!</v>
      </c>
      <c r="CL56" s="66" t="e">
        <f t="shared" si="68"/>
        <v>#DIV/0!</v>
      </c>
      <c r="CM56" s="66" t="e">
        <f t="shared" si="68"/>
        <v>#DIV/0!</v>
      </c>
      <c r="CN56" s="66" t="e">
        <f t="shared" si="68"/>
        <v>#DIV/0!</v>
      </c>
      <c r="CO56" s="66" t="e">
        <f t="shared" si="68"/>
        <v>#DIV/0!</v>
      </c>
      <c r="CP56" s="66" t="e">
        <f t="shared" si="68"/>
        <v>#DIV/0!</v>
      </c>
      <c r="CQ56" s="66" t="e">
        <f t="shared" si="68"/>
        <v>#DIV/0!</v>
      </c>
      <c r="CR56" s="66" t="e">
        <f t="shared" si="68"/>
        <v>#DIV/0!</v>
      </c>
      <c r="CS56" s="66" t="e">
        <f t="shared" si="68"/>
        <v>#DIV/0!</v>
      </c>
      <c r="CT56" s="66" t="e">
        <f t="shared" si="68"/>
        <v>#DIV/0!</v>
      </c>
      <c r="CU56" s="66" t="e">
        <f t="shared" si="68"/>
        <v>#DIV/0!</v>
      </c>
      <c r="CV56" s="66" t="e">
        <f t="shared" si="68"/>
        <v>#DIV/0!</v>
      </c>
      <c r="CW56" s="69"/>
    </row>
    <row r="57" spans="1:101" ht="14.25" customHeight="1">
      <c r="A57" s="103"/>
      <c r="E57" s="108"/>
      <c r="I57" s="83"/>
      <c r="J57" s="213" t="e">
        <f t="array" ref="J57">_xlfn.STDEV.P(IF($E$5:$E$27=$E56,J$5:J$27))</f>
        <v>#DIV/0!</v>
      </c>
      <c r="K57" s="65" t="s">
        <v>11</v>
      </c>
      <c r="L57" s="74" t="e">
        <f t="array" ref="L57">_xlfn.STDEV.P(IF($E$5:$E$27=$E56,L$5:L$27))</f>
        <v>#DIV/0!</v>
      </c>
      <c r="M57" s="74" t="e">
        <f t="array" ref="M57">_xlfn.STDEV.P(IF($E$5:$E$27=$E56,M$5:M$27))</f>
        <v>#DIV/0!</v>
      </c>
      <c r="N57" s="74" t="e">
        <f t="array" ref="N57">_xlfn.STDEV.P(IF($E$5:$E$27=$E56,N$5:N$27))</f>
        <v>#DIV/0!</v>
      </c>
      <c r="O57" s="74" t="e">
        <f t="array" ref="O57">_xlfn.STDEV.P(IF($E$5:$E$27=$E56,O$5:O$27))</f>
        <v>#DIV/0!</v>
      </c>
      <c r="P57" s="74" t="e">
        <f t="array" ref="P57">_xlfn.STDEV.P(IF($E$5:$E$27=$E56,P$5:P$27))</f>
        <v>#DIV/0!</v>
      </c>
      <c r="Q57" s="74" t="e">
        <f t="array" ref="Q57">_xlfn.STDEV.P(IF($E$5:$E$27=$E56,Q$5:Q$27))</f>
        <v>#DIV/0!</v>
      </c>
      <c r="R57" s="74" t="e">
        <f t="array" ref="R57">_xlfn.STDEV.P(IF($E$5:$E$27=$E56,R$5:R$27))</f>
        <v>#DIV/0!</v>
      </c>
      <c r="S57" s="74" t="e">
        <f t="array" ref="S57">_xlfn.STDEV.P(IF($E$5:$E$27=$E56,S$5:S$27))</f>
        <v>#DIV/0!</v>
      </c>
      <c r="T57" s="74" t="e">
        <f t="array" ref="T57">_xlfn.STDEV.P(IF($E$5:$E$27=$E56,T$5:T$27))</f>
        <v>#DIV/0!</v>
      </c>
      <c r="U57" s="74" t="e">
        <f t="array" ref="U57">_xlfn.STDEV.P(IF($E$5:$E$27=$E56,U$5:U$27))</f>
        <v>#DIV/0!</v>
      </c>
      <c r="V57" s="74" t="e">
        <f t="array" ref="V57">_xlfn.STDEV.P(IF($E$5:$E$27=$E56,V$5:V$27))</f>
        <v>#DIV/0!</v>
      </c>
      <c r="W57" s="74" t="e">
        <f t="array" ref="W57">_xlfn.STDEV.P(IF($E$5:$E$27=$E56,W$5:W$27))</f>
        <v>#DIV/0!</v>
      </c>
      <c r="X57" s="74" t="e">
        <f t="array" ref="X57">_xlfn.STDEV.P(IF($E$5:$E$27=$E56,X$5:X$27))</f>
        <v>#DIV/0!</v>
      </c>
      <c r="Y57" s="74" t="e">
        <f t="array" ref="Y57">_xlfn.STDEV.P(IF($E$5:$E$27=$E56,Y$5:Y$27))</f>
        <v>#DIV/0!</v>
      </c>
      <c r="Z57" s="74" t="e">
        <f t="array" ref="Z57">_xlfn.STDEV.P(IF($E$5:$E$27=$E56,Z$5:Z$27))</f>
        <v>#DIV/0!</v>
      </c>
      <c r="AA57" s="74" t="e">
        <f t="array" ref="AA57">_xlfn.STDEV.P(IF($E$5:$E$27=$E56,AA$5:AA$27))</f>
        <v>#DIV/0!</v>
      </c>
      <c r="AB57" s="74" t="e">
        <f t="array" ref="AB57">_xlfn.STDEV.P(IF($E$5:$E$27=$E56,AB$5:AB$27))</f>
        <v>#DIV/0!</v>
      </c>
      <c r="AC57" s="74" t="e">
        <f t="array" ref="AC57">_xlfn.STDEV.P(IF($E$5:$E$27=$E56,AC$5:AC$27))</f>
        <v>#DIV/0!</v>
      </c>
      <c r="AD57" s="74" t="e">
        <f t="array" ref="AD57">_xlfn.STDEV.P(IF($E$5:$E$27=$E56,AD$5:AD$27))</f>
        <v>#DIV/0!</v>
      </c>
      <c r="AE57" s="74" t="e">
        <f t="array" ref="AE57">_xlfn.STDEV.P(IF($E$5:$E$27=$E56,AE$5:AE$27))</f>
        <v>#DIV/0!</v>
      </c>
      <c r="AF57" s="74" t="e">
        <f t="array" ref="AF57">_xlfn.STDEV.P(IF($E$5:$E$27=$E56,AF$5:AF$27))</f>
        <v>#DIV/0!</v>
      </c>
      <c r="AG57" s="74" t="e">
        <f t="array" ref="AG57">_xlfn.STDEV.P(IF($E$5:$E$27=$E56,AG$5:AG$27))</f>
        <v>#DIV/0!</v>
      </c>
      <c r="AH57" s="74" t="e">
        <f t="array" ref="AH57">_xlfn.STDEV.P(IF($E$5:$E$27=$E56,AH$5:AH$27))</f>
        <v>#DIV/0!</v>
      </c>
      <c r="AI57" s="74" t="e">
        <f t="array" ref="AI57">_xlfn.STDEV.P(IF($E$5:$E$27=$E56,AI$5:AI$27))</f>
        <v>#DIV/0!</v>
      </c>
      <c r="AJ57" s="74" t="e">
        <f t="array" ref="AJ57">_xlfn.STDEV.P(IF($E$5:$E$27=$E56,AJ$5:AJ$27))</f>
        <v>#DIV/0!</v>
      </c>
      <c r="AK57" s="74" t="e">
        <f t="array" ref="AK57">_xlfn.STDEV.P(IF($E$5:$E$27=$E56,AK$5:AK$27))</f>
        <v>#DIV/0!</v>
      </c>
      <c r="AL57" s="74" t="e">
        <f t="array" ref="AL57">_xlfn.STDEV.P(IF($E$5:$E$27=$E56,AL$5:AL$27))</f>
        <v>#DIV/0!</v>
      </c>
      <c r="AM57" s="74" t="e">
        <f t="array" ref="AM57">_xlfn.STDEV.P(IF($E$5:$E$27=$E56,AM$5:AM$27))</f>
        <v>#DIV/0!</v>
      </c>
      <c r="AN57" s="74" t="e">
        <f t="array" ref="AN57">_xlfn.STDEV.P(IF($E$5:$E$27=$E56,AN$5:AN$27))</f>
        <v>#DIV/0!</v>
      </c>
      <c r="AO57" s="74" t="e">
        <f t="array" ref="AO57">_xlfn.STDEV.P(IF($E$5:$E$27=$E56,AO$5:AO$27))</f>
        <v>#DIV/0!</v>
      </c>
      <c r="AP57" s="74" t="e">
        <f t="array" ref="AP57">_xlfn.STDEV.P(IF($E$5:$E$27=$E56,AP$5:AP$27))</f>
        <v>#DIV/0!</v>
      </c>
      <c r="AQ57" s="74" t="e">
        <f t="array" ref="AQ57">_xlfn.STDEV.P(IF($E$5:$E$27=$E56,AQ$5:AQ$27))</f>
        <v>#DIV/0!</v>
      </c>
      <c r="AR57" s="74" t="e">
        <f t="array" ref="AR57">_xlfn.STDEV.P(IF($E$5:$E$27=$E56,AR$5:AR$27))</f>
        <v>#DIV/0!</v>
      </c>
      <c r="AS57" s="74" t="e">
        <f t="array" ref="AS57">_xlfn.STDEV.P(IF($E$5:$E$27=$E56,AS$5:AS$27))</f>
        <v>#DIV/0!</v>
      </c>
      <c r="AT57" s="74" t="e">
        <f t="array" ref="AT57">_xlfn.STDEV.P(IF($E$5:$E$27=$E56,AT$5:AT$27))</f>
        <v>#DIV/0!</v>
      </c>
      <c r="AU57" s="74" t="e">
        <f t="array" ref="AU57">_xlfn.STDEV.P(IF($E$5:$E$27=$E56,AU$5:AU$27))</f>
        <v>#DIV/0!</v>
      </c>
      <c r="AV57" s="74" t="e">
        <f t="array" ref="AV57">_xlfn.STDEV.P(IF($E$5:$E$27=$E56,AV$5:AV$27))</f>
        <v>#DIV/0!</v>
      </c>
      <c r="AW57" s="74" t="e">
        <f t="array" ref="AW57">_xlfn.STDEV.P(IF($E$5:$E$27=$E56,AW$5:AW$27))</f>
        <v>#DIV/0!</v>
      </c>
      <c r="AX57" s="74" t="e">
        <f t="array" ref="AX57">_xlfn.STDEV.P(IF($E$5:$E$27=$E56,AX$5:AX$27))</f>
        <v>#DIV/0!</v>
      </c>
      <c r="AY57" s="74" t="e">
        <f t="array" ref="AY57">_xlfn.STDEV.P(IF($E$5:$E$27=$E56,AY$5:AY$27))</f>
        <v>#DIV/0!</v>
      </c>
      <c r="AZ57" s="74" t="e">
        <f t="array" ref="AZ57">_xlfn.STDEV.P(IF($E$5:$E$27=$E56,AZ$5:AZ$27))</f>
        <v>#DIV/0!</v>
      </c>
      <c r="BA57" s="74" t="e">
        <f t="array" ref="BA57">_xlfn.STDEV.P(IF($E$5:$E$27=$E56,BA$5:BA$27))</f>
        <v>#DIV/0!</v>
      </c>
      <c r="BB57" s="74" t="e">
        <f t="array" ref="BB57">_xlfn.STDEV.P(IF($E$5:$E$27=$E56,BB$5:BB$27))</f>
        <v>#DIV/0!</v>
      </c>
      <c r="BC57" s="74" t="e">
        <f t="array" ref="BC57">_xlfn.STDEV.P(IF($E$5:$E$27=$E56,BC$5:BC$27))</f>
        <v>#DIV/0!</v>
      </c>
      <c r="BD57" s="94" t="s">
        <v>11</v>
      </c>
      <c r="BE57" s="67" t="e">
        <f t="array" ref="BE57">_xlfn.STDEV.P(IF($E$5:$E$27=$E56,BE$5:BE$27))</f>
        <v>#DIV/0!</v>
      </c>
      <c r="BF57" s="67" t="e">
        <f t="array" ref="BF57">_xlfn.STDEV.P(IF($E$5:$E$27=$E56,BF$5:BF$27))</f>
        <v>#DIV/0!</v>
      </c>
      <c r="BG57" s="67" t="e">
        <f t="array" ref="BG57">_xlfn.STDEV.P(IF($E$5:$E$27=$E56,BG$5:BG$27))</f>
        <v>#DIV/0!</v>
      </c>
      <c r="BH57" s="67" t="e">
        <f t="array" ref="BH57">_xlfn.STDEV.P(IF($E$5:$E$27=$E56,BH$5:BH$27))</f>
        <v>#DIV/0!</v>
      </c>
      <c r="BI57" s="67" t="e">
        <f t="array" ref="BI57">_xlfn.STDEV.P(IF($E$5:$E$27=$E56,BI$5:BI$27))</f>
        <v>#DIV/0!</v>
      </c>
      <c r="BJ57" s="67" t="e">
        <f t="array" ref="BJ57">_xlfn.STDEV.P(IF($E$5:$E$27=$E56,BJ$5:BJ$27))</f>
        <v>#DIV/0!</v>
      </c>
      <c r="BK57" s="67" t="e">
        <f t="array" ref="BK57">_xlfn.STDEV.P(IF($E$5:$E$27=$E56,BK$5:BK$27))</f>
        <v>#DIV/0!</v>
      </c>
      <c r="BL57" s="67" t="e">
        <f t="array" ref="BL57">_xlfn.STDEV.P(IF($E$5:$E$27=$E56,BL$5:BL$27))</f>
        <v>#DIV/0!</v>
      </c>
      <c r="BM57" s="67" t="e">
        <f t="array" ref="BM57">_xlfn.STDEV.P(IF($E$5:$E$27=$E56,BM$5:BM$27))</f>
        <v>#DIV/0!</v>
      </c>
      <c r="BN57" s="67" t="e">
        <f t="array" ref="BN57">_xlfn.STDEV.P(IF($E$5:$E$27=$E56,BN$5:BN$27))</f>
        <v>#DIV/0!</v>
      </c>
      <c r="BO57" s="67" t="e">
        <f t="array" ref="BO57">_xlfn.STDEV.P(IF($E$5:$E$27=$E56,BO$5:BO$27))</f>
        <v>#DIV/0!</v>
      </c>
      <c r="BP57" s="67" t="e">
        <f t="array" ref="BP57">_xlfn.STDEV.P(IF($E$5:$E$27=$E56,BP$5:BP$27))</f>
        <v>#DIV/0!</v>
      </c>
      <c r="BQ57" s="67" t="e">
        <f t="array" ref="BQ57">_xlfn.STDEV.P(IF($E$5:$E$27=$E56,BQ$5:BQ$27))</f>
        <v>#DIV/0!</v>
      </c>
      <c r="BR57" s="67" t="e">
        <f t="array" ref="BR57">_xlfn.STDEV.P(IF($E$5:$E$27=$E56,BR$5:BR$27))</f>
        <v>#DIV/0!</v>
      </c>
      <c r="BS57" s="67" t="e">
        <f t="array" ref="BS57">_xlfn.STDEV.P(IF($E$5:$E$27=$E56,BS$5:BS$27))</f>
        <v>#DIV/0!</v>
      </c>
      <c r="BT57" s="67" t="e">
        <f t="array" ref="BT57">_xlfn.STDEV.P(IF($E$5:$E$27=$E56,BT$5:BT$27))</f>
        <v>#DIV/0!</v>
      </c>
      <c r="BU57" s="67" t="e">
        <f t="array" ref="BU57">_xlfn.STDEV.P(IF($E$5:$E$27=$E56,BU$5:BU$27))</f>
        <v>#DIV/0!</v>
      </c>
      <c r="BV57" s="67" t="e">
        <f t="array" ref="BV57">_xlfn.STDEV.P(IF($E$5:$E$27=$E56,BV$5:BV$27))</f>
        <v>#DIV/0!</v>
      </c>
      <c r="BW57" s="67" t="e">
        <f t="array" ref="BW57">_xlfn.STDEV.P(IF($E$5:$E$27=$E56,BW$5:BW$27))</f>
        <v>#DIV/0!</v>
      </c>
      <c r="BX57" s="67" t="e">
        <f t="array" ref="BX57">_xlfn.STDEV.P(IF($E$5:$E$27=$E56,BX$5:BX$27))</f>
        <v>#DIV/0!</v>
      </c>
      <c r="BY57" s="67" t="e">
        <f t="array" ref="BY57">_xlfn.STDEV.P(IF($E$5:$E$27=$E56,BY$5:BY$27))</f>
        <v>#DIV/0!</v>
      </c>
      <c r="BZ57" s="67" t="e">
        <f t="array" ref="BZ57">_xlfn.STDEV.P(IF($E$5:$E$27=$E56,BZ$5:BZ$27))</f>
        <v>#DIV/0!</v>
      </c>
      <c r="CA57" s="67" t="e">
        <f t="array" ref="CA57">_xlfn.STDEV.P(IF($E$5:$E$27=$E56,CA$5:CA$27))</f>
        <v>#DIV/0!</v>
      </c>
      <c r="CB57" s="67" t="e">
        <f t="array" ref="CB57">_xlfn.STDEV.P(IF($E$5:$E$27=$E56,CB$5:CB$27))</f>
        <v>#DIV/0!</v>
      </c>
      <c r="CC57" s="67" t="e">
        <f t="array" ref="CC57">_xlfn.STDEV.P(IF($E$5:$E$27=$E56,CC$5:CC$27))</f>
        <v>#DIV/0!</v>
      </c>
      <c r="CD57" s="67" t="e">
        <f t="array" ref="CD57">_xlfn.STDEV.P(IF($E$5:$E$27=$E56,CD$5:CD$27))</f>
        <v>#DIV/0!</v>
      </c>
      <c r="CE57" s="67" t="e">
        <f t="array" ref="CE57">_xlfn.STDEV.P(IF($E$5:$E$27=$E56,CE$5:CE$27))</f>
        <v>#DIV/0!</v>
      </c>
      <c r="CF57" s="67" t="e">
        <f t="array" ref="CF57">_xlfn.STDEV.P(IF($E$5:$E$27=$E56,CF$5:CF$27))</f>
        <v>#DIV/0!</v>
      </c>
      <c r="CG57" s="67" t="e">
        <f t="array" ref="CG57">_xlfn.STDEV.P(IF($E$5:$E$27=$E56,CG$5:CG$27))</f>
        <v>#DIV/0!</v>
      </c>
      <c r="CH57" s="67" t="e">
        <f t="array" ref="CH57">_xlfn.STDEV.P(IF($E$5:$E$27=$E56,CH$5:CH$27))</f>
        <v>#DIV/0!</v>
      </c>
      <c r="CI57" s="67" t="e">
        <f t="array" ref="CI57">_xlfn.STDEV.P(IF($E$5:$E$27=$E56,CI$5:CI$27))</f>
        <v>#DIV/0!</v>
      </c>
      <c r="CJ57" s="67" t="e">
        <f t="array" ref="CJ57">_xlfn.STDEV.P(IF($E$5:$E$27=$E56,CJ$5:CJ$27))</f>
        <v>#DIV/0!</v>
      </c>
      <c r="CK57" s="67" t="e">
        <f t="array" ref="CK57">_xlfn.STDEV.P(IF($E$5:$E$27=$E56,CK$5:CK$27))</f>
        <v>#DIV/0!</v>
      </c>
      <c r="CL57" s="67" t="e">
        <f t="array" ref="CL57">_xlfn.STDEV.P(IF($E$5:$E$27=$E56,CL$5:CL$27))</f>
        <v>#DIV/0!</v>
      </c>
      <c r="CM57" s="67" t="e">
        <f t="array" ref="CM57">_xlfn.STDEV.P(IF($E$5:$E$27=$E56,CM$5:CM$27))</f>
        <v>#DIV/0!</v>
      </c>
      <c r="CN57" s="67" t="e">
        <f t="array" ref="CN57">_xlfn.STDEV.P(IF($E$5:$E$27=$E56,CN$5:CN$27))</f>
        <v>#DIV/0!</v>
      </c>
      <c r="CO57" s="67" t="e">
        <f t="array" ref="CO57">_xlfn.STDEV.P(IF($E$5:$E$27=$E56,CO$5:CO$27))</f>
        <v>#DIV/0!</v>
      </c>
      <c r="CP57" s="67" t="e">
        <f t="array" ref="CP57">_xlfn.STDEV.P(IF($E$5:$E$27=$E56,CP$5:CP$27))</f>
        <v>#DIV/0!</v>
      </c>
      <c r="CQ57" s="67" t="e">
        <f t="array" ref="CQ57">_xlfn.STDEV.P(IF($E$5:$E$27=$E56,CQ$5:CQ$27))</f>
        <v>#DIV/0!</v>
      </c>
      <c r="CR57" s="67" t="e">
        <f t="array" ref="CR57">_xlfn.STDEV.P(IF($E$5:$E$27=$E56,CR$5:CR$27))</f>
        <v>#DIV/0!</v>
      </c>
      <c r="CS57" s="67" t="e">
        <f t="array" ref="CS57">_xlfn.STDEV.P(IF($E$5:$E$27=$E56,CS$5:CS$27))</f>
        <v>#DIV/0!</v>
      </c>
      <c r="CT57" s="67" t="e">
        <f t="array" ref="CT57">_xlfn.STDEV.P(IF($E$5:$E$27=$E56,CT$5:CT$27))</f>
        <v>#DIV/0!</v>
      </c>
      <c r="CU57" s="67" t="e">
        <f t="array" ref="CU57">_xlfn.STDEV.P(IF($E$5:$E$27=$E56,CU$5:CU$27))</f>
        <v>#DIV/0!</v>
      </c>
      <c r="CV57" s="67" t="e">
        <f t="array" ref="CV57">_xlfn.STDEV.P(IF($E$5:$E$27=$E56,CV$5:CV$27))</f>
        <v>#DIV/0!</v>
      </c>
      <c r="CW57" s="69"/>
    </row>
    <row r="58" spans="1:101" ht="15">
      <c r="A58" s="103"/>
      <c r="E58" s="108"/>
      <c r="I58" s="45"/>
    </row>
    <row r="59" spans="1:101" ht="14.25" customHeight="1">
      <c r="A59" s="103"/>
      <c r="E59" s="108" t="str">
        <f>'NAB_PTX Groups'!C15</f>
        <v>Group 10</v>
      </c>
      <c r="I59" s="108" t="str">
        <f>E59</f>
        <v>Group 10</v>
      </c>
      <c r="J59" s="213" t="e">
        <f>AVERAGEIF($E$5:$E$27,$E59,J$5:J$27)</f>
        <v>#DIV/0!</v>
      </c>
      <c r="K59" s="65" t="s">
        <v>9</v>
      </c>
      <c r="L59" s="71" t="e">
        <f t="shared" ref="L59:BC59" si="69">AVERAGEIF($E$5:$E$27,$E59,L$5:L$27)</f>
        <v>#DIV/0!</v>
      </c>
      <c r="M59" s="71" t="e">
        <f t="shared" si="69"/>
        <v>#DIV/0!</v>
      </c>
      <c r="N59" s="71" t="e">
        <f t="shared" si="69"/>
        <v>#DIV/0!</v>
      </c>
      <c r="O59" s="71" t="e">
        <f t="shared" si="69"/>
        <v>#DIV/0!</v>
      </c>
      <c r="P59" s="71" t="e">
        <f t="shared" si="69"/>
        <v>#DIV/0!</v>
      </c>
      <c r="Q59" s="71" t="e">
        <f t="shared" si="69"/>
        <v>#DIV/0!</v>
      </c>
      <c r="R59" s="71" t="e">
        <f t="shared" si="69"/>
        <v>#DIV/0!</v>
      </c>
      <c r="S59" s="71" t="e">
        <f t="shared" si="69"/>
        <v>#DIV/0!</v>
      </c>
      <c r="T59" s="71" t="e">
        <f t="shared" si="69"/>
        <v>#DIV/0!</v>
      </c>
      <c r="U59" s="71" t="e">
        <f t="shared" si="69"/>
        <v>#DIV/0!</v>
      </c>
      <c r="V59" s="71" t="e">
        <f t="shared" si="69"/>
        <v>#DIV/0!</v>
      </c>
      <c r="W59" s="71" t="e">
        <f t="shared" si="69"/>
        <v>#DIV/0!</v>
      </c>
      <c r="X59" s="71" t="e">
        <f t="shared" si="69"/>
        <v>#DIV/0!</v>
      </c>
      <c r="Y59" s="71" t="e">
        <f t="shared" si="69"/>
        <v>#DIV/0!</v>
      </c>
      <c r="Z59" s="71" t="e">
        <f t="shared" si="69"/>
        <v>#DIV/0!</v>
      </c>
      <c r="AA59" s="71" t="e">
        <f t="shared" si="69"/>
        <v>#DIV/0!</v>
      </c>
      <c r="AB59" s="71" t="e">
        <f t="shared" si="69"/>
        <v>#DIV/0!</v>
      </c>
      <c r="AC59" s="71" t="e">
        <f t="shared" si="69"/>
        <v>#DIV/0!</v>
      </c>
      <c r="AD59" s="71" t="e">
        <f t="shared" si="69"/>
        <v>#DIV/0!</v>
      </c>
      <c r="AE59" s="71" t="e">
        <f t="shared" si="69"/>
        <v>#DIV/0!</v>
      </c>
      <c r="AF59" s="71" t="e">
        <f t="shared" si="69"/>
        <v>#DIV/0!</v>
      </c>
      <c r="AG59" s="71" t="e">
        <f t="shared" si="69"/>
        <v>#DIV/0!</v>
      </c>
      <c r="AH59" s="71" t="e">
        <f t="shared" si="69"/>
        <v>#DIV/0!</v>
      </c>
      <c r="AI59" s="71" t="e">
        <f t="shared" si="69"/>
        <v>#DIV/0!</v>
      </c>
      <c r="AJ59" s="71" t="e">
        <f t="shared" si="69"/>
        <v>#DIV/0!</v>
      </c>
      <c r="AK59" s="71" t="e">
        <f t="shared" si="69"/>
        <v>#DIV/0!</v>
      </c>
      <c r="AL59" s="71" t="e">
        <f t="shared" si="69"/>
        <v>#DIV/0!</v>
      </c>
      <c r="AM59" s="71" t="e">
        <f t="shared" si="69"/>
        <v>#DIV/0!</v>
      </c>
      <c r="AN59" s="71" t="e">
        <f t="shared" si="69"/>
        <v>#DIV/0!</v>
      </c>
      <c r="AO59" s="71" t="e">
        <f t="shared" si="69"/>
        <v>#DIV/0!</v>
      </c>
      <c r="AP59" s="71" t="e">
        <f t="shared" si="69"/>
        <v>#DIV/0!</v>
      </c>
      <c r="AQ59" s="71" t="e">
        <f t="shared" si="69"/>
        <v>#DIV/0!</v>
      </c>
      <c r="AR59" s="71" t="e">
        <f t="shared" si="69"/>
        <v>#DIV/0!</v>
      </c>
      <c r="AS59" s="71" t="e">
        <f t="shared" si="69"/>
        <v>#DIV/0!</v>
      </c>
      <c r="AT59" s="71" t="e">
        <f t="shared" si="69"/>
        <v>#DIV/0!</v>
      </c>
      <c r="AU59" s="71" t="e">
        <f t="shared" si="69"/>
        <v>#DIV/0!</v>
      </c>
      <c r="AV59" s="71" t="e">
        <f t="shared" si="69"/>
        <v>#DIV/0!</v>
      </c>
      <c r="AW59" s="71" t="e">
        <f t="shared" si="69"/>
        <v>#DIV/0!</v>
      </c>
      <c r="AX59" s="71" t="e">
        <f t="shared" si="69"/>
        <v>#DIV/0!</v>
      </c>
      <c r="AY59" s="71" t="e">
        <f t="shared" si="69"/>
        <v>#DIV/0!</v>
      </c>
      <c r="AZ59" s="71" t="e">
        <f t="shared" si="69"/>
        <v>#DIV/0!</v>
      </c>
      <c r="BA59" s="71" t="e">
        <f t="shared" si="69"/>
        <v>#DIV/0!</v>
      </c>
      <c r="BB59" s="71" t="e">
        <f t="shared" si="69"/>
        <v>#DIV/0!</v>
      </c>
      <c r="BC59" s="71" t="e">
        <f t="shared" si="69"/>
        <v>#DIV/0!</v>
      </c>
      <c r="BD59" s="93" t="s">
        <v>9</v>
      </c>
      <c r="BE59" s="66" t="e">
        <f t="shared" ref="BE59:CV59" si="70">AVERAGEIF($E$5:$E$27,$E59,BE$5:BE$27)</f>
        <v>#DIV/0!</v>
      </c>
      <c r="BF59" s="66" t="e">
        <f t="shared" si="70"/>
        <v>#DIV/0!</v>
      </c>
      <c r="BG59" s="66" t="e">
        <f t="shared" si="70"/>
        <v>#DIV/0!</v>
      </c>
      <c r="BH59" s="66" t="e">
        <f t="shared" si="70"/>
        <v>#DIV/0!</v>
      </c>
      <c r="BI59" s="66" t="e">
        <f t="shared" si="70"/>
        <v>#DIV/0!</v>
      </c>
      <c r="BJ59" s="66" t="e">
        <f t="shared" si="70"/>
        <v>#DIV/0!</v>
      </c>
      <c r="BK59" s="66" t="e">
        <f t="shared" si="70"/>
        <v>#DIV/0!</v>
      </c>
      <c r="BL59" s="66" t="e">
        <f t="shared" si="70"/>
        <v>#DIV/0!</v>
      </c>
      <c r="BM59" s="66" t="e">
        <f t="shared" si="70"/>
        <v>#DIV/0!</v>
      </c>
      <c r="BN59" s="66" t="e">
        <f t="shared" si="70"/>
        <v>#DIV/0!</v>
      </c>
      <c r="BO59" s="66" t="e">
        <f t="shared" si="70"/>
        <v>#DIV/0!</v>
      </c>
      <c r="BP59" s="66" t="e">
        <f t="shared" si="70"/>
        <v>#DIV/0!</v>
      </c>
      <c r="BQ59" s="66" t="e">
        <f t="shared" si="70"/>
        <v>#DIV/0!</v>
      </c>
      <c r="BR59" s="66" t="e">
        <f t="shared" si="70"/>
        <v>#DIV/0!</v>
      </c>
      <c r="BS59" s="66" t="e">
        <f t="shared" si="70"/>
        <v>#DIV/0!</v>
      </c>
      <c r="BT59" s="66" t="e">
        <f t="shared" si="70"/>
        <v>#DIV/0!</v>
      </c>
      <c r="BU59" s="66" t="e">
        <f t="shared" si="70"/>
        <v>#DIV/0!</v>
      </c>
      <c r="BV59" s="66" t="e">
        <f t="shared" si="70"/>
        <v>#DIV/0!</v>
      </c>
      <c r="BW59" s="66" t="e">
        <f t="shared" si="70"/>
        <v>#DIV/0!</v>
      </c>
      <c r="BX59" s="66" t="e">
        <f t="shared" si="70"/>
        <v>#DIV/0!</v>
      </c>
      <c r="BY59" s="66" t="e">
        <f t="shared" si="70"/>
        <v>#DIV/0!</v>
      </c>
      <c r="BZ59" s="66" t="e">
        <f t="shared" si="70"/>
        <v>#DIV/0!</v>
      </c>
      <c r="CA59" s="66" t="e">
        <f t="shared" si="70"/>
        <v>#DIV/0!</v>
      </c>
      <c r="CB59" s="66" t="e">
        <f t="shared" si="70"/>
        <v>#DIV/0!</v>
      </c>
      <c r="CC59" s="66" t="e">
        <f t="shared" si="70"/>
        <v>#DIV/0!</v>
      </c>
      <c r="CD59" s="66" t="e">
        <f t="shared" si="70"/>
        <v>#DIV/0!</v>
      </c>
      <c r="CE59" s="66" t="e">
        <f t="shared" si="70"/>
        <v>#DIV/0!</v>
      </c>
      <c r="CF59" s="66" t="e">
        <f t="shared" si="70"/>
        <v>#DIV/0!</v>
      </c>
      <c r="CG59" s="66" t="e">
        <f t="shared" si="70"/>
        <v>#DIV/0!</v>
      </c>
      <c r="CH59" s="66" t="e">
        <f t="shared" si="70"/>
        <v>#DIV/0!</v>
      </c>
      <c r="CI59" s="66" t="e">
        <f t="shared" si="70"/>
        <v>#DIV/0!</v>
      </c>
      <c r="CJ59" s="66" t="e">
        <f t="shared" si="70"/>
        <v>#DIV/0!</v>
      </c>
      <c r="CK59" s="66" t="e">
        <f t="shared" si="70"/>
        <v>#DIV/0!</v>
      </c>
      <c r="CL59" s="66" t="e">
        <f t="shared" si="70"/>
        <v>#DIV/0!</v>
      </c>
      <c r="CM59" s="66" t="e">
        <f t="shared" si="70"/>
        <v>#DIV/0!</v>
      </c>
      <c r="CN59" s="66" t="e">
        <f t="shared" si="70"/>
        <v>#DIV/0!</v>
      </c>
      <c r="CO59" s="66" t="e">
        <f t="shared" si="70"/>
        <v>#DIV/0!</v>
      </c>
      <c r="CP59" s="66" t="e">
        <f t="shared" si="70"/>
        <v>#DIV/0!</v>
      </c>
      <c r="CQ59" s="66" t="e">
        <f t="shared" si="70"/>
        <v>#DIV/0!</v>
      </c>
      <c r="CR59" s="66" t="e">
        <f t="shared" si="70"/>
        <v>#DIV/0!</v>
      </c>
      <c r="CS59" s="66" t="e">
        <f t="shared" si="70"/>
        <v>#DIV/0!</v>
      </c>
      <c r="CT59" s="66" t="e">
        <f t="shared" si="70"/>
        <v>#DIV/0!</v>
      </c>
      <c r="CU59" s="66" t="e">
        <f t="shared" si="70"/>
        <v>#DIV/0!</v>
      </c>
      <c r="CV59" s="66" t="e">
        <f t="shared" si="70"/>
        <v>#DIV/0!</v>
      </c>
      <c r="CW59" s="69"/>
    </row>
    <row r="60" spans="1:101" ht="14.25" customHeight="1">
      <c r="A60" s="103"/>
      <c r="E60" s="83"/>
      <c r="I60" s="83"/>
      <c r="J60" s="213" t="e">
        <f t="array" ref="J60">_xlfn.STDEV.P(IF($E$5:$E$27=$E59,J$5:J$27))</f>
        <v>#DIV/0!</v>
      </c>
      <c r="K60" s="65" t="s">
        <v>11</v>
      </c>
      <c r="L60" s="74" t="e">
        <f t="array" ref="L60">_xlfn.STDEV.P(IF($E$5:$E$27=$E59,L$5:L$27))</f>
        <v>#DIV/0!</v>
      </c>
      <c r="M60" s="74" t="e">
        <f t="array" ref="M60">_xlfn.STDEV.P(IF($E$5:$E$27=$E59,M$5:M$27))</f>
        <v>#DIV/0!</v>
      </c>
      <c r="N60" s="74" t="e">
        <f t="array" ref="N60">_xlfn.STDEV.P(IF($E$5:$E$27=$E59,N$5:N$27))</f>
        <v>#DIV/0!</v>
      </c>
      <c r="O60" s="74" t="e">
        <f t="array" ref="O60">_xlfn.STDEV.P(IF($E$5:$E$27=$E59,O$5:O$27))</f>
        <v>#DIV/0!</v>
      </c>
      <c r="P60" s="74" t="e">
        <f t="array" ref="P60">_xlfn.STDEV.P(IF($E$5:$E$27=$E59,P$5:P$27))</f>
        <v>#DIV/0!</v>
      </c>
      <c r="Q60" s="74" t="e">
        <f t="array" ref="Q60">_xlfn.STDEV.P(IF($E$5:$E$27=$E59,Q$5:Q$27))</f>
        <v>#DIV/0!</v>
      </c>
      <c r="R60" s="74" t="e">
        <f t="array" ref="R60">_xlfn.STDEV.P(IF($E$5:$E$27=$E59,R$5:R$27))</f>
        <v>#DIV/0!</v>
      </c>
      <c r="S60" s="74" t="e">
        <f t="array" ref="S60">_xlfn.STDEV.P(IF($E$5:$E$27=$E59,S$5:S$27))</f>
        <v>#DIV/0!</v>
      </c>
      <c r="T60" s="74" t="e">
        <f t="array" ref="T60">_xlfn.STDEV.P(IF($E$5:$E$27=$E59,T$5:T$27))</f>
        <v>#DIV/0!</v>
      </c>
      <c r="U60" s="74" t="e">
        <f t="array" ref="U60">_xlfn.STDEV.P(IF($E$5:$E$27=$E59,U$5:U$27))</f>
        <v>#DIV/0!</v>
      </c>
      <c r="V60" s="74" t="e">
        <f t="array" ref="V60">_xlfn.STDEV.P(IF($E$5:$E$27=$E59,V$5:V$27))</f>
        <v>#DIV/0!</v>
      </c>
      <c r="W60" s="74" t="e">
        <f t="array" ref="W60">_xlfn.STDEV.P(IF($E$5:$E$27=$E59,W$5:W$27))</f>
        <v>#DIV/0!</v>
      </c>
      <c r="X60" s="74" t="e">
        <f t="array" ref="X60">_xlfn.STDEV.P(IF($E$5:$E$27=$E59,X$5:X$27))</f>
        <v>#DIV/0!</v>
      </c>
      <c r="Y60" s="74" t="e">
        <f t="array" ref="Y60">_xlfn.STDEV.P(IF($E$5:$E$27=$E59,Y$5:Y$27))</f>
        <v>#DIV/0!</v>
      </c>
      <c r="Z60" s="74" t="e">
        <f t="array" ref="Z60">_xlfn.STDEV.P(IF($E$5:$E$27=$E59,Z$5:Z$27))</f>
        <v>#DIV/0!</v>
      </c>
      <c r="AA60" s="74" t="e">
        <f t="array" ref="AA60">_xlfn.STDEV.P(IF($E$5:$E$27=$E59,AA$5:AA$27))</f>
        <v>#DIV/0!</v>
      </c>
      <c r="AB60" s="74" t="e">
        <f t="array" ref="AB60">_xlfn.STDEV.P(IF($E$5:$E$27=$E59,AB$5:AB$27))</f>
        <v>#DIV/0!</v>
      </c>
      <c r="AC60" s="74" t="e">
        <f t="array" ref="AC60">_xlfn.STDEV.P(IF($E$5:$E$27=$E59,AC$5:AC$27))</f>
        <v>#DIV/0!</v>
      </c>
      <c r="AD60" s="74" t="e">
        <f t="array" ref="AD60">_xlfn.STDEV.P(IF($E$5:$E$27=$E59,AD$5:AD$27))</f>
        <v>#DIV/0!</v>
      </c>
      <c r="AE60" s="74" t="e">
        <f t="array" ref="AE60">_xlfn.STDEV.P(IF($E$5:$E$27=$E59,AE$5:AE$27))</f>
        <v>#DIV/0!</v>
      </c>
      <c r="AF60" s="74" t="e">
        <f t="array" ref="AF60">_xlfn.STDEV.P(IF($E$5:$E$27=$E59,AF$5:AF$27))</f>
        <v>#DIV/0!</v>
      </c>
      <c r="AG60" s="74" t="e">
        <f t="array" ref="AG60">_xlfn.STDEV.P(IF($E$5:$E$27=$E59,AG$5:AG$27))</f>
        <v>#DIV/0!</v>
      </c>
      <c r="AH60" s="74" t="e">
        <f t="array" ref="AH60">_xlfn.STDEV.P(IF($E$5:$E$27=$E59,AH$5:AH$27))</f>
        <v>#DIV/0!</v>
      </c>
      <c r="AI60" s="74" t="e">
        <f t="array" ref="AI60">_xlfn.STDEV.P(IF($E$5:$E$27=$E59,AI$5:AI$27))</f>
        <v>#DIV/0!</v>
      </c>
      <c r="AJ60" s="74" t="e">
        <f t="array" ref="AJ60">_xlfn.STDEV.P(IF($E$5:$E$27=$E59,AJ$5:AJ$27))</f>
        <v>#DIV/0!</v>
      </c>
      <c r="AK60" s="74" t="e">
        <f t="array" ref="AK60">_xlfn.STDEV.P(IF($E$5:$E$27=$E59,AK$5:AK$27))</f>
        <v>#DIV/0!</v>
      </c>
      <c r="AL60" s="74" t="e">
        <f t="array" ref="AL60">_xlfn.STDEV.P(IF($E$5:$E$27=$E59,AL$5:AL$27))</f>
        <v>#DIV/0!</v>
      </c>
      <c r="AM60" s="74" t="e">
        <f t="array" ref="AM60">_xlfn.STDEV.P(IF($E$5:$E$27=$E59,AM$5:AM$27))</f>
        <v>#DIV/0!</v>
      </c>
      <c r="AN60" s="74" t="e">
        <f t="array" ref="AN60">_xlfn.STDEV.P(IF($E$5:$E$27=$E59,AN$5:AN$27))</f>
        <v>#DIV/0!</v>
      </c>
      <c r="AO60" s="74" t="e">
        <f t="array" ref="AO60">_xlfn.STDEV.P(IF($E$5:$E$27=$E59,AO$5:AO$27))</f>
        <v>#DIV/0!</v>
      </c>
      <c r="AP60" s="74" t="e">
        <f t="array" ref="AP60">_xlfn.STDEV.P(IF($E$5:$E$27=$E59,AP$5:AP$27))</f>
        <v>#DIV/0!</v>
      </c>
      <c r="AQ60" s="74" t="e">
        <f t="array" ref="AQ60">_xlfn.STDEV.P(IF($E$5:$E$27=$E59,AQ$5:AQ$27))</f>
        <v>#DIV/0!</v>
      </c>
      <c r="AR60" s="74" t="e">
        <f t="array" ref="AR60">_xlfn.STDEV.P(IF($E$5:$E$27=$E59,AR$5:AR$27))</f>
        <v>#DIV/0!</v>
      </c>
      <c r="AS60" s="74" t="e">
        <f t="array" ref="AS60">_xlfn.STDEV.P(IF($E$5:$E$27=$E59,AS$5:AS$27))</f>
        <v>#DIV/0!</v>
      </c>
      <c r="AT60" s="74" t="e">
        <f t="array" ref="AT60">_xlfn.STDEV.P(IF($E$5:$E$27=$E59,AT$5:AT$27))</f>
        <v>#DIV/0!</v>
      </c>
      <c r="AU60" s="74" t="e">
        <f t="array" ref="AU60">_xlfn.STDEV.P(IF($E$5:$E$27=$E59,AU$5:AU$27))</f>
        <v>#DIV/0!</v>
      </c>
      <c r="AV60" s="74" t="e">
        <f t="array" ref="AV60">_xlfn.STDEV.P(IF($E$5:$E$27=$E59,AV$5:AV$27))</f>
        <v>#DIV/0!</v>
      </c>
      <c r="AW60" s="74" t="e">
        <f t="array" ref="AW60">_xlfn.STDEV.P(IF($E$5:$E$27=$E59,AW$5:AW$27))</f>
        <v>#DIV/0!</v>
      </c>
      <c r="AX60" s="74" t="e">
        <f t="array" ref="AX60">_xlfn.STDEV.P(IF($E$5:$E$27=$E59,AX$5:AX$27))</f>
        <v>#DIV/0!</v>
      </c>
      <c r="AY60" s="74" t="e">
        <f t="array" ref="AY60">_xlfn.STDEV.P(IF($E$5:$E$27=$E59,AY$5:AY$27))</f>
        <v>#DIV/0!</v>
      </c>
      <c r="AZ60" s="74" t="e">
        <f t="array" ref="AZ60">_xlfn.STDEV.P(IF($E$5:$E$27=$E59,AZ$5:AZ$27))</f>
        <v>#DIV/0!</v>
      </c>
      <c r="BA60" s="74" t="e">
        <f t="array" ref="BA60">_xlfn.STDEV.P(IF($E$5:$E$27=$E59,BA$5:BA$27))</f>
        <v>#DIV/0!</v>
      </c>
      <c r="BB60" s="74" t="e">
        <f t="array" ref="BB60">_xlfn.STDEV.P(IF($E$5:$E$27=$E59,BB$5:BB$27))</f>
        <v>#DIV/0!</v>
      </c>
      <c r="BC60" s="74" t="e">
        <f t="array" ref="BC60">_xlfn.STDEV.P(IF($E$5:$E$27=$E59,BC$5:BC$27))</f>
        <v>#DIV/0!</v>
      </c>
      <c r="BD60" s="94" t="s">
        <v>11</v>
      </c>
      <c r="BE60" s="67" t="e">
        <f t="array" ref="BE60">_xlfn.STDEV.P(IF($E$5:$E$27=$E59,BE$5:BE$27))</f>
        <v>#DIV/0!</v>
      </c>
      <c r="BF60" s="67" t="e">
        <f t="array" ref="BF60">_xlfn.STDEV.P(IF($E$5:$E$27=$E59,BF$5:BF$27))</f>
        <v>#DIV/0!</v>
      </c>
      <c r="BG60" s="67" t="e">
        <f t="array" ref="BG60">_xlfn.STDEV.P(IF($E$5:$E$27=$E59,BG$5:BG$27))</f>
        <v>#DIV/0!</v>
      </c>
      <c r="BH60" s="67" t="e">
        <f t="array" ref="BH60">_xlfn.STDEV.P(IF($E$5:$E$27=$E59,BH$5:BH$27))</f>
        <v>#DIV/0!</v>
      </c>
      <c r="BI60" s="67" t="e">
        <f t="array" ref="BI60">_xlfn.STDEV.P(IF($E$5:$E$27=$E59,BI$5:BI$27))</f>
        <v>#DIV/0!</v>
      </c>
      <c r="BJ60" s="67" t="e">
        <f t="array" ref="BJ60">_xlfn.STDEV.P(IF($E$5:$E$27=$E59,BJ$5:BJ$27))</f>
        <v>#DIV/0!</v>
      </c>
      <c r="BK60" s="67" t="e">
        <f t="array" ref="BK60">_xlfn.STDEV.P(IF($E$5:$E$27=$E59,BK$5:BK$27))</f>
        <v>#DIV/0!</v>
      </c>
      <c r="BL60" s="67" t="e">
        <f t="array" ref="BL60">_xlfn.STDEV.P(IF($E$5:$E$27=$E59,BL$5:BL$27))</f>
        <v>#DIV/0!</v>
      </c>
      <c r="BM60" s="67" t="e">
        <f t="array" ref="BM60">_xlfn.STDEV.P(IF($E$5:$E$27=$E59,BM$5:BM$27))</f>
        <v>#DIV/0!</v>
      </c>
      <c r="BN60" s="67" t="e">
        <f t="array" ref="BN60">_xlfn.STDEV.P(IF($E$5:$E$27=$E59,BN$5:BN$27))</f>
        <v>#DIV/0!</v>
      </c>
      <c r="BO60" s="67" t="e">
        <f t="array" ref="BO60">_xlfn.STDEV.P(IF($E$5:$E$27=$E59,BO$5:BO$27))</f>
        <v>#DIV/0!</v>
      </c>
      <c r="BP60" s="67" t="e">
        <f t="array" ref="BP60">_xlfn.STDEV.P(IF($E$5:$E$27=$E59,BP$5:BP$27))</f>
        <v>#DIV/0!</v>
      </c>
      <c r="BQ60" s="67" t="e">
        <f t="array" ref="BQ60">_xlfn.STDEV.P(IF($E$5:$E$27=$E59,BQ$5:BQ$27))</f>
        <v>#DIV/0!</v>
      </c>
      <c r="BR60" s="67" t="e">
        <f t="array" ref="BR60">_xlfn.STDEV.P(IF($E$5:$E$27=$E59,BR$5:BR$27))</f>
        <v>#DIV/0!</v>
      </c>
      <c r="BS60" s="67" t="e">
        <f t="array" ref="BS60">_xlfn.STDEV.P(IF($E$5:$E$27=$E59,BS$5:BS$27))</f>
        <v>#DIV/0!</v>
      </c>
      <c r="BT60" s="67" t="e">
        <f t="array" ref="BT60">_xlfn.STDEV.P(IF($E$5:$E$27=$E59,BT$5:BT$27))</f>
        <v>#DIV/0!</v>
      </c>
      <c r="BU60" s="67" t="e">
        <f t="array" ref="BU60">_xlfn.STDEV.P(IF($E$5:$E$27=$E59,BU$5:BU$27))</f>
        <v>#DIV/0!</v>
      </c>
      <c r="BV60" s="67" t="e">
        <f t="array" ref="BV60">_xlfn.STDEV.P(IF($E$5:$E$27=$E59,BV$5:BV$27))</f>
        <v>#DIV/0!</v>
      </c>
      <c r="BW60" s="67" t="e">
        <f t="array" ref="BW60">_xlfn.STDEV.P(IF($E$5:$E$27=$E59,BW$5:BW$27))</f>
        <v>#DIV/0!</v>
      </c>
      <c r="BX60" s="67" t="e">
        <f t="array" ref="BX60">_xlfn.STDEV.P(IF($E$5:$E$27=$E59,BX$5:BX$27))</f>
        <v>#DIV/0!</v>
      </c>
      <c r="BY60" s="67" t="e">
        <f t="array" ref="BY60">_xlfn.STDEV.P(IF($E$5:$E$27=$E59,BY$5:BY$27))</f>
        <v>#DIV/0!</v>
      </c>
      <c r="BZ60" s="67" t="e">
        <f t="array" ref="BZ60">_xlfn.STDEV.P(IF($E$5:$E$27=$E59,BZ$5:BZ$27))</f>
        <v>#DIV/0!</v>
      </c>
      <c r="CA60" s="67" t="e">
        <f t="array" ref="CA60">_xlfn.STDEV.P(IF($E$5:$E$27=$E59,CA$5:CA$27))</f>
        <v>#DIV/0!</v>
      </c>
      <c r="CB60" s="67" t="e">
        <f t="array" ref="CB60">_xlfn.STDEV.P(IF($E$5:$E$27=$E59,CB$5:CB$27))</f>
        <v>#DIV/0!</v>
      </c>
      <c r="CC60" s="67" t="e">
        <f t="array" ref="CC60">_xlfn.STDEV.P(IF($E$5:$E$27=$E59,CC$5:CC$27))</f>
        <v>#DIV/0!</v>
      </c>
      <c r="CD60" s="67" t="e">
        <f t="array" ref="CD60">_xlfn.STDEV.P(IF($E$5:$E$27=$E59,CD$5:CD$27))</f>
        <v>#DIV/0!</v>
      </c>
      <c r="CE60" s="67" t="e">
        <f t="array" ref="CE60">_xlfn.STDEV.P(IF($E$5:$E$27=$E59,CE$5:CE$27))</f>
        <v>#DIV/0!</v>
      </c>
      <c r="CF60" s="67" t="e">
        <f t="array" ref="CF60">_xlfn.STDEV.P(IF($E$5:$E$27=$E59,CF$5:CF$27))</f>
        <v>#DIV/0!</v>
      </c>
      <c r="CG60" s="67" t="e">
        <f t="array" ref="CG60">_xlfn.STDEV.P(IF($E$5:$E$27=$E59,CG$5:CG$27))</f>
        <v>#DIV/0!</v>
      </c>
      <c r="CH60" s="67" t="e">
        <f t="array" ref="CH60">_xlfn.STDEV.P(IF($E$5:$E$27=$E59,CH$5:CH$27))</f>
        <v>#DIV/0!</v>
      </c>
      <c r="CI60" s="67" t="e">
        <f t="array" ref="CI60">_xlfn.STDEV.P(IF($E$5:$E$27=$E59,CI$5:CI$27))</f>
        <v>#DIV/0!</v>
      </c>
      <c r="CJ60" s="67" t="e">
        <f t="array" ref="CJ60">_xlfn.STDEV.P(IF($E$5:$E$27=$E59,CJ$5:CJ$27))</f>
        <v>#DIV/0!</v>
      </c>
      <c r="CK60" s="67" t="e">
        <f t="array" ref="CK60">_xlfn.STDEV.P(IF($E$5:$E$27=$E59,CK$5:CK$27))</f>
        <v>#DIV/0!</v>
      </c>
      <c r="CL60" s="67" t="e">
        <f t="array" ref="CL60">_xlfn.STDEV.P(IF($E$5:$E$27=$E59,CL$5:CL$27))</f>
        <v>#DIV/0!</v>
      </c>
      <c r="CM60" s="67" t="e">
        <f t="array" ref="CM60">_xlfn.STDEV.P(IF($E$5:$E$27=$E59,CM$5:CM$27))</f>
        <v>#DIV/0!</v>
      </c>
      <c r="CN60" s="67" t="e">
        <f t="array" ref="CN60">_xlfn.STDEV.P(IF($E$5:$E$27=$E59,CN$5:CN$27))</f>
        <v>#DIV/0!</v>
      </c>
      <c r="CO60" s="67" t="e">
        <f t="array" ref="CO60">_xlfn.STDEV.P(IF($E$5:$E$27=$E59,CO$5:CO$27))</f>
        <v>#DIV/0!</v>
      </c>
      <c r="CP60" s="67" t="e">
        <f t="array" ref="CP60">_xlfn.STDEV.P(IF($E$5:$E$27=$E59,CP$5:CP$27))</f>
        <v>#DIV/0!</v>
      </c>
      <c r="CQ60" s="67" t="e">
        <f t="array" ref="CQ60">_xlfn.STDEV.P(IF($E$5:$E$27=$E59,CQ$5:CQ$27))</f>
        <v>#DIV/0!</v>
      </c>
      <c r="CR60" s="67" t="e">
        <f t="array" ref="CR60">_xlfn.STDEV.P(IF($E$5:$E$27=$E59,CR$5:CR$27))</f>
        <v>#DIV/0!</v>
      </c>
      <c r="CS60" s="67" t="e">
        <f t="array" ref="CS60">_xlfn.STDEV.P(IF($E$5:$E$27=$E59,CS$5:CS$27))</f>
        <v>#DIV/0!</v>
      </c>
      <c r="CT60" s="67" t="e">
        <f t="array" ref="CT60">_xlfn.STDEV.P(IF($E$5:$E$27=$E59,CT$5:CT$27))</f>
        <v>#DIV/0!</v>
      </c>
      <c r="CU60" s="67" t="e">
        <f t="array" ref="CU60">_xlfn.STDEV.P(IF($E$5:$E$27=$E59,CU$5:CU$27))</f>
        <v>#DIV/0!</v>
      </c>
      <c r="CV60" s="67" t="e">
        <f t="array" ref="CV60">_xlfn.STDEV.P(IF($E$5:$E$27=$E59,CV$5:CV$27))</f>
        <v>#DIV/0!</v>
      </c>
      <c r="CW60" s="69"/>
    </row>
    <row r="61" spans="1:101" ht="15">
      <c r="A61" s="103"/>
      <c r="E61" s="108"/>
      <c r="I61" s="45"/>
    </row>
    <row r="62" spans="1:101" ht="14.25" customHeight="1">
      <c r="A62" s="103"/>
      <c r="E62" s="108" t="str">
        <f>'NAB_PTX Groups'!C16</f>
        <v>Group 11</v>
      </c>
      <c r="I62" s="108" t="str">
        <f>E62</f>
        <v>Group 11</v>
      </c>
      <c r="J62" s="213" t="e">
        <f>AVERAGEIF($E$5:$E$27,$E62,J$5:J$27)</f>
        <v>#DIV/0!</v>
      </c>
      <c r="K62" s="65" t="s">
        <v>9</v>
      </c>
      <c r="L62" s="71" t="e">
        <f t="shared" ref="L62:BC62" si="71">AVERAGEIF($E$5:$E$27,$E62,L$5:L$27)</f>
        <v>#DIV/0!</v>
      </c>
      <c r="M62" s="71" t="e">
        <f t="shared" si="71"/>
        <v>#DIV/0!</v>
      </c>
      <c r="N62" s="71" t="e">
        <f t="shared" si="71"/>
        <v>#DIV/0!</v>
      </c>
      <c r="O62" s="71" t="e">
        <f t="shared" si="71"/>
        <v>#DIV/0!</v>
      </c>
      <c r="P62" s="71" t="e">
        <f t="shared" si="71"/>
        <v>#DIV/0!</v>
      </c>
      <c r="Q62" s="71" t="e">
        <f t="shared" si="71"/>
        <v>#DIV/0!</v>
      </c>
      <c r="R62" s="71" t="e">
        <f t="shared" si="71"/>
        <v>#DIV/0!</v>
      </c>
      <c r="S62" s="71" t="e">
        <f t="shared" si="71"/>
        <v>#DIV/0!</v>
      </c>
      <c r="T62" s="71" t="e">
        <f t="shared" si="71"/>
        <v>#DIV/0!</v>
      </c>
      <c r="U62" s="71" t="e">
        <f t="shared" si="71"/>
        <v>#DIV/0!</v>
      </c>
      <c r="V62" s="71" t="e">
        <f t="shared" si="71"/>
        <v>#DIV/0!</v>
      </c>
      <c r="W62" s="71" t="e">
        <f t="shared" si="71"/>
        <v>#DIV/0!</v>
      </c>
      <c r="X62" s="71" t="e">
        <f t="shared" si="71"/>
        <v>#DIV/0!</v>
      </c>
      <c r="Y62" s="71" t="e">
        <f t="shared" si="71"/>
        <v>#DIV/0!</v>
      </c>
      <c r="Z62" s="71" t="e">
        <f t="shared" si="71"/>
        <v>#DIV/0!</v>
      </c>
      <c r="AA62" s="71" t="e">
        <f t="shared" si="71"/>
        <v>#DIV/0!</v>
      </c>
      <c r="AB62" s="71" t="e">
        <f t="shared" si="71"/>
        <v>#DIV/0!</v>
      </c>
      <c r="AC62" s="71" t="e">
        <f t="shared" si="71"/>
        <v>#DIV/0!</v>
      </c>
      <c r="AD62" s="71" t="e">
        <f t="shared" si="71"/>
        <v>#DIV/0!</v>
      </c>
      <c r="AE62" s="71" t="e">
        <f t="shared" si="71"/>
        <v>#DIV/0!</v>
      </c>
      <c r="AF62" s="71" t="e">
        <f t="shared" si="71"/>
        <v>#DIV/0!</v>
      </c>
      <c r="AG62" s="71" t="e">
        <f t="shared" si="71"/>
        <v>#DIV/0!</v>
      </c>
      <c r="AH62" s="71" t="e">
        <f t="shared" si="71"/>
        <v>#DIV/0!</v>
      </c>
      <c r="AI62" s="71" t="e">
        <f t="shared" si="71"/>
        <v>#DIV/0!</v>
      </c>
      <c r="AJ62" s="71" t="e">
        <f t="shared" si="71"/>
        <v>#DIV/0!</v>
      </c>
      <c r="AK62" s="71" t="e">
        <f t="shared" si="71"/>
        <v>#DIV/0!</v>
      </c>
      <c r="AL62" s="71" t="e">
        <f t="shared" si="71"/>
        <v>#DIV/0!</v>
      </c>
      <c r="AM62" s="71" t="e">
        <f t="shared" si="71"/>
        <v>#DIV/0!</v>
      </c>
      <c r="AN62" s="71" t="e">
        <f t="shared" si="71"/>
        <v>#DIV/0!</v>
      </c>
      <c r="AO62" s="71" t="e">
        <f t="shared" si="71"/>
        <v>#DIV/0!</v>
      </c>
      <c r="AP62" s="71" t="e">
        <f t="shared" si="71"/>
        <v>#DIV/0!</v>
      </c>
      <c r="AQ62" s="71" t="e">
        <f t="shared" si="71"/>
        <v>#DIV/0!</v>
      </c>
      <c r="AR62" s="71" t="e">
        <f t="shared" si="71"/>
        <v>#DIV/0!</v>
      </c>
      <c r="AS62" s="71" t="e">
        <f t="shared" si="71"/>
        <v>#DIV/0!</v>
      </c>
      <c r="AT62" s="71" t="e">
        <f t="shared" si="71"/>
        <v>#DIV/0!</v>
      </c>
      <c r="AU62" s="71" t="e">
        <f t="shared" si="71"/>
        <v>#DIV/0!</v>
      </c>
      <c r="AV62" s="71" t="e">
        <f t="shared" si="71"/>
        <v>#DIV/0!</v>
      </c>
      <c r="AW62" s="71" t="e">
        <f t="shared" si="71"/>
        <v>#DIV/0!</v>
      </c>
      <c r="AX62" s="71" t="e">
        <f t="shared" si="71"/>
        <v>#DIV/0!</v>
      </c>
      <c r="AY62" s="71" t="e">
        <f t="shared" si="71"/>
        <v>#DIV/0!</v>
      </c>
      <c r="AZ62" s="71" t="e">
        <f t="shared" si="71"/>
        <v>#DIV/0!</v>
      </c>
      <c r="BA62" s="71" t="e">
        <f t="shared" si="71"/>
        <v>#DIV/0!</v>
      </c>
      <c r="BB62" s="71" t="e">
        <f t="shared" si="71"/>
        <v>#DIV/0!</v>
      </c>
      <c r="BC62" s="71" t="e">
        <f t="shared" si="71"/>
        <v>#DIV/0!</v>
      </c>
      <c r="BD62" s="93" t="s">
        <v>9</v>
      </c>
      <c r="BE62" s="66" t="e">
        <f t="shared" ref="BE62:CV62" si="72">AVERAGEIF($E$5:$E$27,$E62,BE$5:BE$27)</f>
        <v>#DIV/0!</v>
      </c>
      <c r="BF62" s="66" t="e">
        <f t="shared" si="72"/>
        <v>#DIV/0!</v>
      </c>
      <c r="BG62" s="66" t="e">
        <f t="shared" si="72"/>
        <v>#DIV/0!</v>
      </c>
      <c r="BH62" s="66" t="e">
        <f t="shared" si="72"/>
        <v>#DIV/0!</v>
      </c>
      <c r="BI62" s="66" t="e">
        <f t="shared" si="72"/>
        <v>#DIV/0!</v>
      </c>
      <c r="BJ62" s="66" t="e">
        <f t="shared" si="72"/>
        <v>#DIV/0!</v>
      </c>
      <c r="BK62" s="66" t="e">
        <f t="shared" si="72"/>
        <v>#DIV/0!</v>
      </c>
      <c r="BL62" s="66" t="e">
        <f t="shared" si="72"/>
        <v>#DIV/0!</v>
      </c>
      <c r="BM62" s="66" t="e">
        <f t="shared" si="72"/>
        <v>#DIV/0!</v>
      </c>
      <c r="BN62" s="66" t="e">
        <f t="shared" si="72"/>
        <v>#DIV/0!</v>
      </c>
      <c r="BO62" s="66" t="e">
        <f t="shared" si="72"/>
        <v>#DIV/0!</v>
      </c>
      <c r="BP62" s="66" t="e">
        <f t="shared" si="72"/>
        <v>#DIV/0!</v>
      </c>
      <c r="BQ62" s="66" t="e">
        <f t="shared" si="72"/>
        <v>#DIV/0!</v>
      </c>
      <c r="BR62" s="66" t="e">
        <f t="shared" si="72"/>
        <v>#DIV/0!</v>
      </c>
      <c r="BS62" s="66" t="e">
        <f t="shared" si="72"/>
        <v>#DIV/0!</v>
      </c>
      <c r="BT62" s="66" t="e">
        <f t="shared" si="72"/>
        <v>#DIV/0!</v>
      </c>
      <c r="BU62" s="66" t="e">
        <f t="shared" si="72"/>
        <v>#DIV/0!</v>
      </c>
      <c r="BV62" s="66" t="e">
        <f t="shared" si="72"/>
        <v>#DIV/0!</v>
      </c>
      <c r="BW62" s="66" t="e">
        <f t="shared" si="72"/>
        <v>#DIV/0!</v>
      </c>
      <c r="BX62" s="66" t="e">
        <f t="shared" si="72"/>
        <v>#DIV/0!</v>
      </c>
      <c r="BY62" s="66" t="e">
        <f t="shared" si="72"/>
        <v>#DIV/0!</v>
      </c>
      <c r="BZ62" s="66" t="e">
        <f t="shared" si="72"/>
        <v>#DIV/0!</v>
      </c>
      <c r="CA62" s="66" t="e">
        <f t="shared" si="72"/>
        <v>#DIV/0!</v>
      </c>
      <c r="CB62" s="66" t="e">
        <f t="shared" si="72"/>
        <v>#DIV/0!</v>
      </c>
      <c r="CC62" s="66" t="e">
        <f t="shared" si="72"/>
        <v>#DIV/0!</v>
      </c>
      <c r="CD62" s="66" t="e">
        <f t="shared" si="72"/>
        <v>#DIV/0!</v>
      </c>
      <c r="CE62" s="66" t="e">
        <f t="shared" si="72"/>
        <v>#DIV/0!</v>
      </c>
      <c r="CF62" s="66" t="e">
        <f t="shared" si="72"/>
        <v>#DIV/0!</v>
      </c>
      <c r="CG62" s="66" t="e">
        <f t="shared" si="72"/>
        <v>#DIV/0!</v>
      </c>
      <c r="CH62" s="66" t="e">
        <f t="shared" si="72"/>
        <v>#DIV/0!</v>
      </c>
      <c r="CI62" s="66" t="e">
        <f t="shared" si="72"/>
        <v>#DIV/0!</v>
      </c>
      <c r="CJ62" s="66" t="e">
        <f t="shared" si="72"/>
        <v>#DIV/0!</v>
      </c>
      <c r="CK62" s="66" t="e">
        <f t="shared" si="72"/>
        <v>#DIV/0!</v>
      </c>
      <c r="CL62" s="66" t="e">
        <f t="shared" si="72"/>
        <v>#DIV/0!</v>
      </c>
      <c r="CM62" s="66" t="e">
        <f t="shared" si="72"/>
        <v>#DIV/0!</v>
      </c>
      <c r="CN62" s="66" t="e">
        <f t="shared" si="72"/>
        <v>#DIV/0!</v>
      </c>
      <c r="CO62" s="66" t="e">
        <f t="shared" si="72"/>
        <v>#DIV/0!</v>
      </c>
      <c r="CP62" s="66" t="e">
        <f t="shared" si="72"/>
        <v>#DIV/0!</v>
      </c>
      <c r="CQ62" s="66" t="e">
        <f t="shared" si="72"/>
        <v>#DIV/0!</v>
      </c>
      <c r="CR62" s="66" t="e">
        <f t="shared" si="72"/>
        <v>#DIV/0!</v>
      </c>
      <c r="CS62" s="66" t="e">
        <f t="shared" si="72"/>
        <v>#DIV/0!</v>
      </c>
      <c r="CT62" s="66" t="e">
        <f t="shared" si="72"/>
        <v>#DIV/0!</v>
      </c>
      <c r="CU62" s="66" t="e">
        <f t="shared" si="72"/>
        <v>#DIV/0!</v>
      </c>
      <c r="CV62" s="66" t="e">
        <f t="shared" si="72"/>
        <v>#DIV/0!</v>
      </c>
      <c r="CW62" s="69"/>
    </row>
    <row r="63" spans="1:101" ht="14.25" customHeight="1">
      <c r="A63" s="103"/>
      <c r="E63" s="83"/>
      <c r="I63" s="83"/>
      <c r="J63" s="213" t="e">
        <f t="array" ref="J63">_xlfn.STDEV.P(IF($E$5:$E$27=$E62,J$5:J$27))</f>
        <v>#DIV/0!</v>
      </c>
      <c r="K63" s="65" t="s">
        <v>11</v>
      </c>
      <c r="L63" s="74" t="e">
        <f t="array" ref="L63">_xlfn.STDEV.P(IF($E$5:$E$27=$E62,L$5:L$27))</f>
        <v>#DIV/0!</v>
      </c>
      <c r="M63" s="74" t="e">
        <f t="array" ref="M63">_xlfn.STDEV.P(IF($E$5:$E$27=$E62,M$5:M$27))</f>
        <v>#DIV/0!</v>
      </c>
      <c r="N63" s="74" t="e">
        <f t="array" ref="N63">_xlfn.STDEV.P(IF($E$5:$E$27=$E62,N$5:N$27))</f>
        <v>#DIV/0!</v>
      </c>
      <c r="O63" s="74" t="e">
        <f t="array" ref="O63">_xlfn.STDEV.P(IF($E$5:$E$27=$E62,O$5:O$27))</f>
        <v>#DIV/0!</v>
      </c>
      <c r="P63" s="74" t="e">
        <f t="array" ref="P63">_xlfn.STDEV.P(IF($E$5:$E$27=$E62,P$5:P$27))</f>
        <v>#DIV/0!</v>
      </c>
      <c r="Q63" s="74" t="e">
        <f t="array" ref="Q63">_xlfn.STDEV.P(IF($E$5:$E$27=$E62,Q$5:Q$27))</f>
        <v>#DIV/0!</v>
      </c>
      <c r="R63" s="74" t="e">
        <f t="array" ref="R63">_xlfn.STDEV.P(IF($E$5:$E$27=$E62,R$5:R$27))</f>
        <v>#DIV/0!</v>
      </c>
      <c r="S63" s="74" t="e">
        <f t="array" ref="S63">_xlfn.STDEV.P(IF($E$5:$E$27=$E62,S$5:S$27))</f>
        <v>#DIV/0!</v>
      </c>
      <c r="T63" s="74" t="e">
        <f t="array" ref="T63">_xlfn.STDEV.P(IF($E$5:$E$27=$E62,T$5:T$27))</f>
        <v>#DIV/0!</v>
      </c>
      <c r="U63" s="74" t="e">
        <f t="array" ref="U63">_xlfn.STDEV.P(IF($E$5:$E$27=$E62,U$5:U$27))</f>
        <v>#DIV/0!</v>
      </c>
      <c r="V63" s="74" t="e">
        <f t="array" ref="V63">_xlfn.STDEV.P(IF($E$5:$E$27=$E62,V$5:V$27))</f>
        <v>#DIV/0!</v>
      </c>
      <c r="W63" s="74" t="e">
        <f t="array" ref="W63">_xlfn.STDEV.P(IF($E$5:$E$27=$E62,W$5:W$27))</f>
        <v>#DIV/0!</v>
      </c>
      <c r="X63" s="74" t="e">
        <f t="array" ref="X63">_xlfn.STDEV.P(IF($E$5:$E$27=$E62,X$5:X$27))</f>
        <v>#DIV/0!</v>
      </c>
      <c r="Y63" s="74" t="e">
        <f t="array" ref="Y63">_xlfn.STDEV.P(IF($E$5:$E$27=$E62,Y$5:Y$27))</f>
        <v>#DIV/0!</v>
      </c>
      <c r="Z63" s="74" t="e">
        <f t="array" ref="Z63">_xlfn.STDEV.P(IF($E$5:$E$27=$E62,Z$5:Z$27))</f>
        <v>#DIV/0!</v>
      </c>
      <c r="AA63" s="74" t="e">
        <f t="array" ref="AA63">_xlfn.STDEV.P(IF($E$5:$E$27=$E62,AA$5:AA$27))</f>
        <v>#DIV/0!</v>
      </c>
      <c r="AB63" s="74" t="e">
        <f t="array" ref="AB63">_xlfn.STDEV.P(IF($E$5:$E$27=$E62,AB$5:AB$27))</f>
        <v>#DIV/0!</v>
      </c>
      <c r="AC63" s="74" t="e">
        <f t="array" ref="AC63">_xlfn.STDEV.P(IF($E$5:$E$27=$E62,AC$5:AC$27))</f>
        <v>#DIV/0!</v>
      </c>
      <c r="AD63" s="74" t="e">
        <f t="array" ref="AD63">_xlfn.STDEV.P(IF($E$5:$E$27=$E62,AD$5:AD$27))</f>
        <v>#DIV/0!</v>
      </c>
      <c r="AE63" s="74" t="e">
        <f t="array" ref="AE63">_xlfn.STDEV.P(IF($E$5:$E$27=$E62,AE$5:AE$27))</f>
        <v>#DIV/0!</v>
      </c>
      <c r="AF63" s="74" t="e">
        <f t="array" ref="AF63">_xlfn.STDEV.P(IF($E$5:$E$27=$E62,AF$5:AF$27))</f>
        <v>#DIV/0!</v>
      </c>
      <c r="AG63" s="74" t="e">
        <f t="array" ref="AG63">_xlfn.STDEV.P(IF($E$5:$E$27=$E62,AG$5:AG$27))</f>
        <v>#DIV/0!</v>
      </c>
      <c r="AH63" s="74" t="e">
        <f t="array" ref="AH63">_xlfn.STDEV.P(IF($E$5:$E$27=$E62,AH$5:AH$27))</f>
        <v>#DIV/0!</v>
      </c>
      <c r="AI63" s="74" t="e">
        <f t="array" ref="AI63">_xlfn.STDEV.P(IF($E$5:$E$27=$E62,AI$5:AI$27))</f>
        <v>#DIV/0!</v>
      </c>
      <c r="AJ63" s="74" t="e">
        <f t="array" ref="AJ63">_xlfn.STDEV.P(IF($E$5:$E$27=$E62,AJ$5:AJ$27))</f>
        <v>#DIV/0!</v>
      </c>
      <c r="AK63" s="74" t="e">
        <f t="array" ref="AK63">_xlfn.STDEV.P(IF($E$5:$E$27=$E62,AK$5:AK$27))</f>
        <v>#DIV/0!</v>
      </c>
      <c r="AL63" s="74" t="e">
        <f t="array" ref="AL63">_xlfn.STDEV.P(IF($E$5:$E$27=$E62,AL$5:AL$27))</f>
        <v>#DIV/0!</v>
      </c>
      <c r="AM63" s="74" t="e">
        <f t="array" ref="AM63">_xlfn.STDEV.P(IF($E$5:$E$27=$E62,AM$5:AM$27))</f>
        <v>#DIV/0!</v>
      </c>
      <c r="AN63" s="74" t="e">
        <f t="array" ref="AN63">_xlfn.STDEV.P(IF($E$5:$E$27=$E62,AN$5:AN$27))</f>
        <v>#DIV/0!</v>
      </c>
      <c r="AO63" s="74" t="e">
        <f t="array" ref="AO63">_xlfn.STDEV.P(IF($E$5:$E$27=$E62,AO$5:AO$27))</f>
        <v>#DIV/0!</v>
      </c>
      <c r="AP63" s="74" t="e">
        <f t="array" ref="AP63">_xlfn.STDEV.P(IF($E$5:$E$27=$E62,AP$5:AP$27))</f>
        <v>#DIV/0!</v>
      </c>
      <c r="AQ63" s="74" t="e">
        <f t="array" ref="AQ63">_xlfn.STDEV.P(IF($E$5:$E$27=$E62,AQ$5:AQ$27))</f>
        <v>#DIV/0!</v>
      </c>
      <c r="AR63" s="74" t="e">
        <f t="array" ref="AR63">_xlfn.STDEV.P(IF($E$5:$E$27=$E62,AR$5:AR$27))</f>
        <v>#DIV/0!</v>
      </c>
      <c r="AS63" s="74" t="e">
        <f t="array" ref="AS63">_xlfn.STDEV.P(IF($E$5:$E$27=$E62,AS$5:AS$27))</f>
        <v>#DIV/0!</v>
      </c>
      <c r="AT63" s="74" t="e">
        <f t="array" ref="AT63">_xlfn.STDEV.P(IF($E$5:$E$27=$E62,AT$5:AT$27))</f>
        <v>#DIV/0!</v>
      </c>
      <c r="AU63" s="74" t="e">
        <f t="array" ref="AU63">_xlfn.STDEV.P(IF($E$5:$E$27=$E62,AU$5:AU$27))</f>
        <v>#DIV/0!</v>
      </c>
      <c r="AV63" s="74" t="e">
        <f t="array" ref="AV63">_xlfn.STDEV.P(IF($E$5:$E$27=$E62,AV$5:AV$27))</f>
        <v>#DIV/0!</v>
      </c>
      <c r="AW63" s="74" t="e">
        <f t="array" ref="AW63">_xlfn.STDEV.P(IF($E$5:$E$27=$E62,AW$5:AW$27))</f>
        <v>#DIV/0!</v>
      </c>
      <c r="AX63" s="74" t="e">
        <f t="array" ref="AX63">_xlfn.STDEV.P(IF($E$5:$E$27=$E62,AX$5:AX$27))</f>
        <v>#DIV/0!</v>
      </c>
      <c r="AY63" s="74" t="e">
        <f t="array" ref="AY63">_xlfn.STDEV.P(IF($E$5:$E$27=$E62,AY$5:AY$27))</f>
        <v>#DIV/0!</v>
      </c>
      <c r="AZ63" s="74" t="e">
        <f t="array" ref="AZ63">_xlfn.STDEV.P(IF($E$5:$E$27=$E62,AZ$5:AZ$27))</f>
        <v>#DIV/0!</v>
      </c>
      <c r="BA63" s="74" t="e">
        <f t="array" ref="BA63">_xlfn.STDEV.P(IF($E$5:$E$27=$E62,BA$5:BA$27))</f>
        <v>#DIV/0!</v>
      </c>
      <c r="BB63" s="74" t="e">
        <f t="array" ref="BB63">_xlfn.STDEV.P(IF($E$5:$E$27=$E62,BB$5:BB$27))</f>
        <v>#DIV/0!</v>
      </c>
      <c r="BC63" s="74" t="e">
        <f t="array" ref="BC63">_xlfn.STDEV.P(IF($E$5:$E$27=$E62,BC$5:BC$27))</f>
        <v>#DIV/0!</v>
      </c>
      <c r="BD63" s="94" t="s">
        <v>11</v>
      </c>
      <c r="BE63" s="67" t="e">
        <f t="array" ref="BE63">_xlfn.STDEV.P(IF($E$5:$E$27=$E62,BE$5:BE$27))</f>
        <v>#DIV/0!</v>
      </c>
      <c r="BF63" s="67" t="e">
        <f t="array" ref="BF63">_xlfn.STDEV.P(IF($E$5:$E$27=$E62,BF$5:BF$27))</f>
        <v>#DIV/0!</v>
      </c>
      <c r="BG63" s="67" t="e">
        <f t="array" ref="BG63">_xlfn.STDEV.P(IF($E$5:$E$27=$E62,BG$5:BG$27))</f>
        <v>#DIV/0!</v>
      </c>
      <c r="BH63" s="67" t="e">
        <f t="array" ref="BH63">_xlfn.STDEV.P(IF($E$5:$E$27=$E62,BH$5:BH$27))</f>
        <v>#DIV/0!</v>
      </c>
      <c r="BI63" s="67" t="e">
        <f t="array" ref="BI63">_xlfn.STDEV.P(IF($E$5:$E$27=$E62,BI$5:BI$27))</f>
        <v>#DIV/0!</v>
      </c>
      <c r="BJ63" s="67" t="e">
        <f t="array" ref="BJ63">_xlfn.STDEV.P(IF($E$5:$E$27=$E62,BJ$5:BJ$27))</f>
        <v>#DIV/0!</v>
      </c>
      <c r="BK63" s="67" t="e">
        <f t="array" ref="BK63">_xlfn.STDEV.P(IF($E$5:$E$27=$E62,BK$5:BK$27))</f>
        <v>#DIV/0!</v>
      </c>
      <c r="BL63" s="67" t="e">
        <f t="array" ref="BL63">_xlfn.STDEV.P(IF($E$5:$E$27=$E62,BL$5:BL$27))</f>
        <v>#DIV/0!</v>
      </c>
      <c r="BM63" s="67" t="e">
        <f t="array" ref="BM63">_xlfn.STDEV.P(IF($E$5:$E$27=$E62,BM$5:BM$27))</f>
        <v>#DIV/0!</v>
      </c>
      <c r="BN63" s="67" t="e">
        <f t="array" ref="BN63">_xlfn.STDEV.P(IF($E$5:$E$27=$E62,BN$5:BN$27))</f>
        <v>#DIV/0!</v>
      </c>
      <c r="BO63" s="67" t="e">
        <f t="array" ref="BO63">_xlfn.STDEV.P(IF($E$5:$E$27=$E62,BO$5:BO$27))</f>
        <v>#DIV/0!</v>
      </c>
      <c r="BP63" s="67" t="e">
        <f t="array" ref="BP63">_xlfn.STDEV.P(IF($E$5:$E$27=$E62,BP$5:BP$27))</f>
        <v>#DIV/0!</v>
      </c>
      <c r="BQ63" s="67" t="e">
        <f t="array" ref="BQ63">_xlfn.STDEV.P(IF($E$5:$E$27=$E62,BQ$5:BQ$27))</f>
        <v>#DIV/0!</v>
      </c>
      <c r="BR63" s="67" t="e">
        <f t="array" ref="BR63">_xlfn.STDEV.P(IF($E$5:$E$27=$E62,BR$5:BR$27))</f>
        <v>#DIV/0!</v>
      </c>
      <c r="BS63" s="67" t="e">
        <f t="array" ref="BS63">_xlfn.STDEV.P(IF($E$5:$E$27=$E62,BS$5:BS$27))</f>
        <v>#DIV/0!</v>
      </c>
      <c r="BT63" s="67" t="e">
        <f t="array" ref="BT63">_xlfn.STDEV.P(IF($E$5:$E$27=$E62,BT$5:BT$27))</f>
        <v>#DIV/0!</v>
      </c>
      <c r="BU63" s="67" t="e">
        <f t="array" ref="BU63">_xlfn.STDEV.P(IF($E$5:$E$27=$E62,BU$5:BU$27))</f>
        <v>#DIV/0!</v>
      </c>
      <c r="BV63" s="67" t="e">
        <f t="array" ref="BV63">_xlfn.STDEV.P(IF($E$5:$E$27=$E62,BV$5:BV$27))</f>
        <v>#DIV/0!</v>
      </c>
      <c r="BW63" s="67" t="e">
        <f t="array" ref="BW63">_xlfn.STDEV.P(IF($E$5:$E$27=$E62,BW$5:BW$27))</f>
        <v>#DIV/0!</v>
      </c>
      <c r="BX63" s="67" t="e">
        <f t="array" ref="BX63">_xlfn.STDEV.P(IF($E$5:$E$27=$E62,BX$5:BX$27))</f>
        <v>#DIV/0!</v>
      </c>
      <c r="BY63" s="67" t="e">
        <f t="array" ref="BY63">_xlfn.STDEV.P(IF($E$5:$E$27=$E62,BY$5:BY$27))</f>
        <v>#DIV/0!</v>
      </c>
      <c r="BZ63" s="67" t="e">
        <f t="array" ref="BZ63">_xlfn.STDEV.P(IF($E$5:$E$27=$E62,BZ$5:BZ$27))</f>
        <v>#DIV/0!</v>
      </c>
      <c r="CA63" s="67" t="e">
        <f t="array" ref="CA63">_xlfn.STDEV.P(IF($E$5:$E$27=$E62,CA$5:CA$27))</f>
        <v>#DIV/0!</v>
      </c>
      <c r="CB63" s="67" t="e">
        <f t="array" ref="CB63">_xlfn.STDEV.P(IF($E$5:$E$27=$E62,CB$5:CB$27))</f>
        <v>#DIV/0!</v>
      </c>
      <c r="CC63" s="67" t="e">
        <f t="array" ref="CC63">_xlfn.STDEV.P(IF($E$5:$E$27=$E62,CC$5:CC$27))</f>
        <v>#DIV/0!</v>
      </c>
      <c r="CD63" s="67" t="e">
        <f t="array" ref="CD63">_xlfn.STDEV.P(IF($E$5:$E$27=$E62,CD$5:CD$27))</f>
        <v>#DIV/0!</v>
      </c>
      <c r="CE63" s="67" t="e">
        <f t="array" ref="CE63">_xlfn.STDEV.P(IF($E$5:$E$27=$E62,CE$5:CE$27))</f>
        <v>#DIV/0!</v>
      </c>
      <c r="CF63" s="67" t="e">
        <f t="array" ref="CF63">_xlfn.STDEV.P(IF($E$5:$E$27=$E62,CF$5:CF$27))</f>
        <v>#DIV/0!</v>
      </c>
      <c r="CG63" s="67" t="e">
        <f t="array" ref="CG63">_xlfn.STDEV.P(IF($E$5:$E$27=$E62,CG$5:CG$27))</f>
        <v>#DIV/0!</v>
      </c>
      <c r="CH63" s="67" t="e">
        <f t="array" ref="CH63">_xlfn.STDEV.P(IF($E$5:$E$27=$E62,CH$5:CH$27))</f>
        <v>#DIV/0!</v>
      </c>
      <c r="CI63" s="67" t="e">
        <f t="array" ref="CI63">_xlfn.STDEV.P(IF($E$5:$E$27=$E62,CI$5:CI$27))</f>
        <v>#DIV/0!</v>
      </c>
      <c r="CJ63" s="67" t="e">
        <f t="array" ref="CJ63">_xlfn.STDEV.P(IF($E$5:$E$27=$E62,CJ$5:CJ$27))</f>
        <v>#DIV/0!</v>
      </c>
      <c r="CK63" s="67" t="e">
        <f t="array" ref="CK63">_xlfn.STDEV.P(IF($E$5:$E$27=$E62,CK$5:CK$27))</f>
        <v>#DIV/0!</v>
      </c>
      <c r="CL63" s="67" t="e">
        <f t="array" ref="CL63">_xlfn.STDEV.P(IF($E$5:$E$27=$E62,CL$5:CL$27))</f>
        <v>#DIV/0!</v>
      </c>
      <c r="CM63" s="67" t="e">
        <f t="array" ref="CM63">_xlfn.STDEV.P(IF($E$5:$E$27=$E62,CM$5:CM$27))</f>
        <v>#DIV/0!</v>
      </c>
      <c r="CN63" s="67" t="e">
        <f t="array" ref="CN63">_xlfn.STDEV.P(IF($E$5:$E$27=$E62,CN$5:CN$27))</f>
        <v>#DIV/0!</v>
      </c>
      <c r="CO63" s="67" t="e">
        <f t="array" ref="CO63">_xlfn.STDEV.P(IF($E$5:$E$27=$E62,CO$5:CO$27))</f>
        <v>#DIV/0!</v>
      </c>
      <c r="CP63" s="67" t="e">
        <f t="array" ref="CP63">_xlfn.STDEV.P(IF($E$5:$E$27=$E62,CP$5:CP$27))</f>
        <v>#DIV/0!</v>
      </c>
      <c r="CQ63" s="67" t="e">
        <f t="array" ref="CQ63">_xlfn.STDEV.P(IF($E$5:$E$27=$E62,CQ$5:CQ$27))</f>
        <v>#DIV/0!</v>
      </c>
      <c r="CR63" s="67" t="e">
        <f t="array" ref="CR63">_xlfn.STDEV.P(IF($E$5:$E$27=$E62,CR$5:CR$27))</f>
        <v>#DIV/0!</v>
      </c>
      <c r="CS63" s="67" t="e">
        <f t="array" ref="CS63">_xlfn.STDEV.P(IF($E$5:$E$27=$E62,CS$5:CS$27))</f>
        <v>#DIV/0!</v>
      </c>
      <c r="CT63" s="67" t="e">
        <f t="array" ref="CT63">_xlfn.STDEV.P(IF($E$5:$E$27=$E62,CT$5:CT$27))</f>
        <v>#DIV/0!</v>
      </c>
      <c r="CU63" s="67" t="e">
        <f t="array" ref="CU63">_xlfn.STDEV.P(IF($E$5:$E$27=$E62,CU$5:CU$27))</f>
        <v>#DIV/0!</v>
      </c>
      <c r="CV63" s="67" t="e">
        <f t="array" ref="CV63">_xlfn.STDEV.P(IF($E$5:$E$27=$E62,CV$5:CV$27))</f>
        <v>#DIV/0!</v>
      </c>
      <c r="CW63" s="69"/>
    </row>
    <row r="64" spans="1:101" ht="15">
      <c r="A64" s="103"/>
      <c r="E64" s="108"/>
      <c r="I64" s="45"/>
    </row>
    <row r="65" spans="1:101" ht="14.25" customHeight="1">
      <c r="A65" s="103"/>
      <c r="E65" s="108" t="str">
        <f>'NAB_PTX Groups'!C17</f>
        <v>Group 12</v>
      </c>
      <c r="I65" s="108" t="str">
        <f>E65</f>
        <v>Group 12</v>
      </c>
      <c r="J65" s="213" t="e">
        <f>AVERAGEIF($E$5:$E$27,$E65,J$5:J$27)</f>
        <v>#DIV/0!</v>
      </c>
      <c r="K65" s="65" t="s">
        <v>9</v>
      </c>
      <c r="L65" s="71" t="e">
        <f t="shared" ref="L65:BC65" si="73">AVERAGEIF($E$5:$E$27,$E65,L$5:L$27)</f>
        <v>#DIV/0!</v>
      </c>
      <c r="M65" s="71" t="e">
        <f t="shared" si="73"/>
        <v>#DIV/0!</v>
      </c>
      <c r="N65" s="71" t="e">
        <f t="shared" si="73"/>
        <v>#DIV/0!</v>
      </c>
      <c r="O65" s="71" t="e">
        <f t="shared" si="73"/>
        <v>#DIV/0!</v>
      </c>
      <c r="P65" s="71" t="e">
        <f t="shared" si="73"/>
        <v>#DIV/0!</v>
      </c>
      <c r="Q65" s="71" t="e">
        <f t="shared" si="73"/>
        <v>#DIV/0!</v>
      </c>
      <c r="R65" s="71" t="e">
        <f t="shared" si="73"/>
        <v>#DIV/0!</v>
      </c>
      <c r="S65" s="71" t="e">
        <f t="shared" si="73"/>
        <v>#DIV/0!</v>
      </c>
      <c r="T65" s="71" t="e">
        <f t="shared" si="73"/>
        <v>#DIV/0!</v>
      </c>
      <c r="U65" s="71" t="e">
        <f t="shared" si="73"/>
        <v>#DIV/0!</v>
      </c>
      <c r="V65" s="71" t="e">
        <f t="shared" si="73"/>
        <v>#DIV/0!</v>
      </c>
      <c r="W65" s="71" t="e">
        <f t="shared" si="73"/>
        <v>#DIV/0!</v>
      </c>
      <c r="X65" s="71" t="e">
        <f t="shared" si="73"/>
        <v>#DIV/0!</v>
      </c>
      <c r="Y65" s="71" t="e">
        <f t="shared" si="73"/>
        <v>#DIV/0!</v>
      </c>
      <c r="Z65" s="71" t="e">
        <f t="shared" si="73"/>
        <v>#DIV/0!</v>
      </c>
      <c r="AA65" s="71" t="e">
        <f t="shared" si="73"/>
        <v>#DIV/0!</v>
      </c>
      <c r="AB65" s="71" t="e">
        <f t="shared" si="73"/>
        <v>#DIV/0!</v>
      </c>
      <c r="AC65" s="71" t="e">
        <f t="shared" si="73"/>
        <v>#DIV/0!</v>
      </c>
      <c r="AD65" s="71" t="e">
        <f t="shared" si="73"/>
        <v>#DIV/0!</v>
      </c>
      <c r="AE65" s="71" t="e">
        <f t="shared" si="73"/>
        <v>#DIV/0!</v>
      </c>
      <c r="AF65" s="71" t="e">
        <f t="shared" si="73"/>
        <v>#DIV/0!</v>
      </c>
      <c r="AG65" s="71" t="e">
        <f t="shared" si="73"/>
        <v>#DIV/0!</v>
      </c>
      <c r="AH65" s="71" t="e">
        <f t="shared" si="73"/>
        <v>#DIV/0!</v>
      </c>
      <c r="AI65" s="71" t="e">
        <f t="shared" si="73"/>
        <v>#DIV/0!</v>
      </c>
      <c r="AJ65" s="71" t="e">
        <f t="shared" si="73"/>
        <v>#DIV/0!</v>
      </c>
      <c r="AK65" s="71" t="e">
        <f t="shared" si="73"/>
        <v>#DIV/0!</v>
      </c>
      <c r="AL65" s="71" t="e">
        <f t="shared" si="73"/>
        <v>#DIV/0!</v>
      </c>
      <c r="AM65" s="71" t="e">
        <f t="shared" si="73"/>
        <v>#DIV/0!</v>
      </c>
      <c r="AN65" s="71" t="e">
        <f t="shared" si="73"/>
        <v>#DIV/0!</v>
      </c>
      <c r="AO65" s="71" t="e">
        <f t="shared" si="73"/>
        <v>#DIV/0!</v>
      </c>
      <c r="AP65" s="71" t="e">
        <f t="shared" si="73"/>
        <v>#DIV/0!</v>
      </c>
      <c r="AQ65" s="71" t="e">
        <f t="shared" si="73"/>
        <v>#DIV/0!</v>
      </c>
      <c r="AR65" s="71" t="e">
        <f t="shared" si="73"/>
        <v>#DIV/0!</v>
      </c>
      <c r="AS65" s="71" t="e">
        <f t="shared" si="73"/>
        <v>#DIV/0!</v>
      </c>
      <c r="AT65" s="71" t="e">
        <f t="shared" si="73"/>
        <v>#DIV/0!</v>
      </c>
      <c r="AU65" s="71" t="e">
        <f t="shared" si="73"/>
        <v>#DIV/0!</v>
      </c>
      <c r="AV65" s="71" t="e">
        <f t="shared" si="73"/>
        <v>#DIV/0!</v>
      </c>
      <c r="AW65" s="71" t="e">
        <f t="shared" si="73"/>
        <v>#DIV/0!</v>
      </c>
      <c r="AX65" s="71" t="e">
        <f t="shared" si="73"/>
        <v>#DIV/0!</v>
      </c>
      <c r="AY65" s="71" t="e">
        <f t="shared" si="73"/>
        <v>#DIV/0!</v>
      </c>
      <c r="AZ65" s="71" t="e">
        <f t="shared" si="73"/>
        <v>#DIV/0!</v>
      </c>
      <c r="BA65" s="71" t="e">
        <f t="shared" si="73"/>
        <v>#DIV/0!</v>
      </c>
      <c r="BB65" s="71" t="e">
        <f t="shared" si="73"/>
        <v>#DIV/0!</v>
      </c>
      <c r="BC65" s="71" t="e">
        <f t="shared" si="73"/>
        <v>#DIV/0!</v>
      </c>
      <c r="BD65" s="93" t="s">
        <v>9</v>
      </c>
      <c r="BE65" s="66" t="e">
        <f t="shared" ref="BE65:CV65" si="74">AVERAGEIF($E$5:$E$27,$E65,BE$5:BE$27)</f>
        <v>#DIV/0!</v>
      </c>
      <c r="BF65" s="66" t="e">
        <f t="shared" si="74"/>
        <v>#DIV/0!</v>
      </c>
      <c r="BG65" s="66" t="e">
        <f t="shared" si="74"/>
        <v>#DIV/0!</v>
      </c>
      <c r="BH65" s="66" t="e">
        <f t="shared" si="74"/>
        <v>#DIV/0!</v>
      </c>
      <c r="BI65" s="66" t="e">
        <f t="shared" si="74"/>
        <v>#DIV/0!</v>
      </c>
      <c r="BJ65" s="66" t="e">
        <f t="shared" si="74"/>
        <v>#DIV/0!</v>
      </c>
      <c r="BK65" s="66" t="e">
        <f t="shared" si="74"/>
        <v>#DIV/0!</v>
      </c>
      <c r="BL65" s="66" t="e">
        <f t="shared" si="74"/>
        <v>#DIV/0!</v>
      </c>
      <c r="BM65" s="66" t="e">
        <f t="shared" si="74"/>
        <v>#DIV/0!</v>
      </c>
      <c r="BN65" s="66" t="e">
        <f t="shared" si="74"/>
        <v>#DIV/0!</v>
      </c>
      <c r="BO65" s="66" t="e">
        <f t="shared" si="74"/>
        <v>#DIV/0!</v>
      </c>
      <c r="BP65" s="66" t="e">
        <f t="shared" si="74"/>
        <v>#DIV/0!</v>
      </c>
      <c r="BQ65" s="66" t="e">
        <f t="shared" si="74"/>
        <v>#DIV/0!</v>
      </c>
      <c r="BR65" s="66" t="e">
        <f t="shared" si="74"/>
        <v>#DIV/0!</v>
      </c>
      <c r="BS65" s="66" t="e">
        <f t="shared" si="74"/>
        <v>#DIV/0!</v>
      </c>
      <c r="BT65" s="66" t="e">
        <f t="shared" si="74"/>
        <v>#DIV/0!</v>
      </c>
      <c r="BU65" s="66" t="e">
        <f t="shared" si="74"/>
        <v>#DIV/0!</v>
      </c>
      <c r="BV65" s="66" t="e">
        <f t="shared" si="74"/>
        <v>#DIV/0!</v>
      </c>
      <c r="BW65" s="66" t="e">
        <f t="shared" si="74"/>
        <v>#DIV/0!</v>
      </c>
      <c r="BX65" s="66" t="e">
        <f t="shared" si="74"/>
        <v>#DIV/0!</v>
      </c>
      <c r="BY65" s="66" t="e">
        <f t="shared" si="74"/>
        <v>#DIV/0!</v>
      </c>
      <c r="BZ65" s="66" t="e">
        <f t="shared" si="74"/>
        <v>#DIV/0!</v>
      </c>
      <c r="CA65" s="66" t="e">
        <f t="shared" si="74"/>
        <v>#DIV/0!</v>
      </c>
      <c r="CB65" s="66" t="e">
        <f t="shared" si="74"/>
        <v>#DIV/0!</v>
      </c>
      <c r="CC65" s="66" t="e">
        <f t="shared" si="74"/>
        <v>#DIV/0!</v>
      </c>
      <c r="CD65" s="66" t="e">
        <f t="shared" si="74"/>
        <v>#DIV/0!</v>
      </c>
      <c r="CE65" s="66" t="e">
        <f t="shared" si="74"/>
        <v>#DIV/0!</v>
      </c>
      <c r="CF65" s="66" t="e">
        <f t="shared" si="74"/>
        <v>#DIV/0!</v>
      </c>
      <c r="CG65" s="66" t="e">
        <f t="shared" si="74"/>
        <v>#DIV/0!</v>
      </c>
      <c r="CH65" s="66" t="e">
        <f t="shared" si="74"/>
        <v>#DIV/0!</v>
      </c>
      <c r="CI65" s="66" t="e">
        <f t="shared" si="74"/>
        <v>#DIV/0!</v>
      </c>
      <c r="CJ65" s="66" t="e">
        <f t="shared" si="74"/>
        <v>#DIV/0!</v>
      </c>
      <c r="CK65" s="66" t="e">
        <f t="shared" si="74"/>
        <v>#DIV/0!</v>
      </c>
      <c r="CL65" s="66" t="e">
        <f t="shared" si="74"/>
        <v>#DIV/0!</v>
      </c>
      <c r="CM65" s="66" t="e">
        <f t="shared" si="74"/>
        <v>#DIV/0!</v>
      </c>
      <c r="CN65" s="66" t="e">
        <f t="shared" si="74"/>
        <v>#DIV/0!</v>
      </c>
      <c r="CO65" s="66" t="e">
        <f t="shared" si="74"/>
        <v>#DIV/0!</v>
      </c>
      <c r="CP65" s="66" t="e">
        <f t="shared" si="74"/>
        <v>#DIV/0!</v>
      </c>
      <c r="CQ65" s="66" t="e">
        <f t="shared" si="74"/>
        <v>#DIV/0!</v>
      </c>
      <c r="CR65" s="66" t="e">
        <f t="shared" si="74"/>
        <v>#DIV/0!</v>
      </c>
      <c r="CS65" s="66" t="e">
        <f t="shared" si="74"/>
        <v>#DIV/0!</v>
      </c>
      <c r="CT65" s="66" t="e">
        <f t="shared" si="74"/>
        <v>#DIV/0!</v>
      </c>
      <c r="CU65" s="66" t="e">
        <f t="shared" si="74"/>
        <v>#DIV/0!</v>
      </c>
      <c r="CV65" s="66" t="e">
        <f t="shared" si="74"/>
        <v>#DIV/0!</v>
      </c>
      <c r="CW65" s="69"/>
    </row>
    <row r="66" spans="1:101" ht="14.25" customHeight="1">
      <c r="A66" s="103"/>
      <c r="E66" s="83"/>
      <c r="I66" s="83"/>
      <c r="J66" s="213" t="e">
        <f t="array" ref="J66">_xlfn.STDEV.P(IF($E$5:$E$27=$E65,J$5:J$27))</f>
        <v>#DIV/0!</v>
      </c>
      <c r="K66" s="65" t="s">
        <v>11</v>
      </c>
      <c r="L66" s="74" t="e">
        <f t="array" ref="L66">_xlfn.STDEV.P(IF($E$5:$E$27=$E65,L$5:L$27))</f>
        <v>#DIV/0!</v>
      </c>
      <c r="M66" s="74" t="e">
        <f t="array" ref="M66">_xlfn.STDEV.P(IF($E$5:$E$27=$E65,M$5:M$27))</f>
        <v>#DIV/0!</v>
      </c>
      <c r="N66" s="74" t="e">
        <f t="array" ref="N66">_xlfn.STDEV.P(IF($E$5:$E$27=$E65,N$5:N$27))</f>
        <v>#DIV/0!</v>
      </c>
      <c r="O66" s="74" t="e">
        <f t="array" ref="O66">_xlfn.STDEV.P(IF($E$5:$E$27=$E65,O$5:O$27))</f>
        <v>#DIV/0!</v>
      </c>
      <c r="P66" s="74" t="e">
        <f t="array" ref="P66">_xlfn.STDEV.P(IF($E$5:$E$27=$E65,P$5:P$27))</f>
        <v>#DIV/0!</v>
      </c>
      <c r="Q66" s="74" t="e">
        <f t="array" ref="Q66">_xlfn.STDEV.P(IF($E$5:$E$27=$E65,Q$5:Q$27))</f>
        <v>#DIV/0!</v>
      </c>
      <c r="R66" s="74" t="e">
        <f t="array" ref="R66">_xlfn.STDEV.P(IF($E$5:$E$27=$E65,R$5:R$27))</f>
        <v>#DIV/0!</v>
      </c>
      <c r="S66" s="74" t="e">
        <f t="array" ref="S66">_xlfn.STDEV.P(IF($E$5:$E$27=$E65,S$5:S$27))</f>
        <v>#DIV/0!</v>
      </c>
      <c r="T66" s="74" t="e">
        <f t="array" ref="T66">_xlfn.STDEV.P(IF($E$5:$E$27=$E65,T$5:T$27))</f>
        <v>#DIV/0!</v>
      </c>
      <c r="U66" s="74" t="e">
        <f t="array" ref="U66">_xlfn.STDEV.P(IF($E$5:$E$27=$E65,U$5:U$27))</f>
        <v>#DIV/0!</v>
      </c>
      <c r="V66" s="74" t="e">
        <f t="array" ref="V66">_xlfn.STDEV.P(IF($E$5:$E$27=$E65,V$5:V$27))</f>
        <v>#DIV/0!</v>
      </c>
      <c r="W66" s="74" t="e">
        <f t="array" ref="W66">_xlfn.STDEV.P(IF($E$5:$E$27=$E65,W$5:W$27))</f>
        <v>#DIV/0!</v>
      </c>
      <c r="X66" s="74" t="e">
        <f t="array" ref="X66">_xlfn.STDEV.P(IF($E$5:$E$27=$E65,X$5:X$27))</f>
        <v>#DIV/0!</v>
      </c>
      <c r="Y66" s="74" t="e">
        <f t="array" ref="Y66">_xlfn.STDEV.P(IF($E$5:$E$27=$E65,Y$5:Y$27))</f>
        <v>#DIV/0!</v>
      </c>
      <c r="Z66" s="74" t="e">
        <f t="array" ref="Z66">_xlfn.STDEV.P(IF($E$5:$E$27=$E65,Z$5:Z$27))</f>
        <v>#DIV/0!</v>
      </c>
      <c r="AA66" s="74" t="e">
        <f t="array" ref="AA66">_xlfn.STDEV.P(IF($E$5:$E$27=$E65,AA$5:AA$27))</f>
        <v>#DIV/0!</v>
      </c>
      <c r="AB66" s="74" t="e">
        <f t="array" ref="AB66">_xlfn.STDEV.P(IF($E$5:$E$27=$E65,AB$5:AB$27))</f>
        <v>#DIV/0!</v>
      </c>
      <c r="AC66" s="74" t="e">
        <f t="array" ref="AC66">_xlfn.STDEV.P(IF($E$5:$E$27=$E65,AC$5:AC$27))</f>
        <v>#DIV/0!</v>
      </c>
      <c r="AD66" s="74" t="e">
        <f t="array" ref="AD66">_xlfn.STDEV.P(IF($E$5:$E$27=$E65,AD$5:AD$27))</f>
        <v>#DIV/0!</v>
      </c>
      <c r="AE66" s="74" t="e">
        <f t="array" ref="AE66">_xlfn.STDEV.P(IF($E$5:$E$27=$E65,AE$5:AE$27))</f>
        <v>#DIV/0!</v>
      </c>
      <c r="AF66" s="74" t="e">
        <f t="array" ref="AF66">_xlfn.STDEV.P(IF($E$5:$E$27=$E65,AF$5:AF$27))</f>
        <v>#DIV/0!</v>
      </c>
      <c r="AG66" s="74" t="e">
        <f t="array" ref="AG66">_xlfn.STDEV.P(IF($E$5:$E$27=$E65,AG$5:AG$27))</f>
        <v>#DIV/0!</v>
      </c>
      <c r="AH66" s="74" t="e">
        <f t="array" ref="AH66">_xlfn.STDEV.P(IF($E$5:$E$27=$E65,AH$5:AH$27))</f>
        <v>#DIV/0!</v>
      </c>
      <c r="AI66" s="74" t="e">
        <f t="array" ref="AI66">_xlfn.STDEV.P(IF($E$5:$E$27=$E65,AI$5:AI$27))</f>
        <v>#DIV/0!</v>
      </c>
      <c r="AJ66" s="74" t="e">
        <f t="array" ref="AJ66">_xlfn.STDEV.P(IF($E$5:$E$27=$E65,AJ$5:AJ$27))</f>
        <v>#DIV/0!</v>
      </c>
      <c r="AK66" s="74" t="e">
        <f t="array" ref="AK66">_xlfn.STDEV.P(IF($E$5:$E$27=$E65,AK$5:AK$27))</f>
        <v>#DIV/0!</v>
      </c>
      <c r="AL66" s="74" t="e">
        <f t="array" ref="AL66">_xlfn.STDEV.P(IF($E$5:$E$27=$E65,AL$5:AL$27))</f>
        <v>#DIV/0!</v>
      </c>
      <c r="AM66" s="74" t="e">
        <f t="array" ref="AM66">_xlfn.STDEV.P(IF($E$5:$E$27=$E65,AM$5:AM$27))</f>
        <v>#DIV/0!</v>
      </c>
      <c r="AN66" s="74" t="e">
        <f t="array" ref="AN66">_xlfn.STDEV.P(IF($E$5:$E$27=$E65,AN$5:AN$27))</f>
        <v>#DIV/0!</v>
      </c>
      <c r="AO66" s="74" t="e">
        <f t="array" ref="AO66">_xlfn.STDEV.P(IF($E$5:$E$27=$E65,AO$5:AO$27))</f>
        <v>#DIV/0!</v>
      </c>
      <c r="AP66" s="74" t="e">
        <f t="array" ref="AP66">_xlfn.STDEV.P(IF($E$5:$E$27=$E65,AP$5:AP$27))</f>
        <v>#DIV/0!</v>
      </c>
      <c r="AQ66" s="74" t="e">
        <f t="array" ref="AQ66">_xlfn.STDEV.P(IF($E$5:$E$27=$E65,AQ$5:AQ$27))</f>
        <v>#DIV/0!</v>
      </c>
      <c r="AR66" s="74" t="e">
        <f t="array" ref="AR66">_xlfn.STDEV.P(IF($E$5:$E$27=$E65,AR$5:AR$27))</f>
        <v>#DIV/0!</v>
      </c>
      <c r="AS66" s="74" t="e">
        <f t="array" ref="AS66">_xlfn.STDEV.P(IF($E$5:$E$27=$E65,AS$5:AS$27))</f>
        <v>#DIV/0!</v>
      </c>
      <c r="AT66" s="74" t="e">
        <f t="array" ref="AT66">_xlfn.STDEV.P(IF($E$5:$E$27=$E65,AT$5:AT$27))</f>
        <v>#DIV/0!</v>
      </c>
      <c r="AU66" s="74" t="e">
        <f t="array" ref="AU66">_xlfn.STDEV.P(IF($E$5:$E$27=$E65,AU$5:AU$27))</f>
        <v>#DIV/0!</v>
      </c>
      <c r="AV66" s="74" t="e">
        <f t="array" ref="AV66">_xlfn.STDEV.P(IF($E$5:$E$27=$E65,AV$5:AV$27))</f>
        <v>#DIV/0!</v>
      </c>
      <c r="AW66" s="74" t="e">
        <f t="array" ref="AW66">_xlfn.STDEV.P(IF($E$5:$E$27=$E65,AW$5:AW$27))</f>
        <v>#DIV/0!</v>
      </c>
      <c r="AX66" s="74" t="e">
        <f t="array" ref="AX66">_xlfn.STDEV.P(IF($E$5:$E$27=$E65,AX$5:AX$27))</f>
        <v>#DIV/0!</v>
      </c>
      <c r="AY66" s="74" t="e">
        <f t="array" ref="AY66">_xlfn.STDEV.P(IF($E$5:$E$27=$E65,AY$5:AY$27))</f>
        <v>#DIV/0!</v>
      </c>
      <c r="AZ66" s="74" t="e">
        <f t="array" ref="AZ66">_xlfn.STDEV.P(IF($E$5:$E$27=$E65,AZ$5:AZ$27))</f>
        <v>#DIV/0!</v>
      </c>
      <c r="BA66" s="74" t="e">
        <f t="array" ref="BA66">_xlfn.STDEV.P(IF($E$5:$E$27=$E65,BA$5:BA$27))</f>
        <v>#DIV/0!</v>
      </c>
      <c r="BB66" s="74" t="e">
        <f t="array" ref="BB66">_xlfn.STDEV.P(IF($E$5:$E$27=$E65,BB$5:BB$27))</f>
        <v>#DIV/0!</v>
      </c>
      <c r="BC66" s="74" t="e">
        <f t="array" ref="BC66">_xlfn.STDEV.P(IF($E$5:$E$27=$E65,BC$5:BC$27))</f>
        <v>#DIV/0!</v>
      </c>
      <c r="BD66" s="94" t="s">
        <v>11</v>
      </c>
      <c r="BE66" s="67" t="e">
        <f t="array" ref="BE66">_xlfn.STDEV.P(IF($E$5:$E$27=$E65,BE$5:BE$27))</f>
        <v>#DIV/0!</v>
      </c>
      <c r="BF66" s="67" t="e">
        <f t="array" ref="BF66">_xlfn.STDEV.P(IF($E$5:$E$27=$E65,BF$5:BF$27))</f>
        <v>#DIV/0!</v>
      </c>
      <c r="BG66" s="67" t="e">
        <f t="array" ref="BG66">_xlfn.STDEV.P(IF($E$5:$E$27=$E65,BG$5:BG$27))</f>
        <v>#DIV/0!</v>
      </c>
      <c r="BH66" s="67" t="e">
        <f t="array" ref="BH66">_xlfn.STDEV.P(IF($E$5:$E$27=$E65,BH$5:BH$27))</f>
        <v>#DIV/0!</v>
      </c>
      <c r="BI66" s="67" t="e">
        <f t="array" ref="BI66">_xlfn.STDEV.P(IF($E$5:$E$27=$E65,BI$5:BI$27))</f>
        <v>#DIV/0!</v>
      </c>
      <c r="BJ66" s="67" t="e">
        <f t="array" ref="BJ66">_xlfn.STDEV.P(IF($E$5:$E$27=$E65,BJ$5:BJ$27))</f>
        <v>#DIV/0!</v>
      </c>
      <c r="BK66" s="67" t="e">
        <f t="array" ref="BK66">_xlfn.STDEV.P(IF($E$5:$E$27=$E65,BK$5:BK$27))</f>
        <v>#DIV/0!</v>
      </c>
      <c r="BL66" s="67" t="e">
        <f t="array" ref="BL66">_xlfn.STDEV.P(IF($E$5:$E$27=$E65,BL$5:BL$27))</f>
        <v>#DIV/0!</v>
      </c>
      <c r="BM66" s="67" t="e">
        <f t="array" ref="BM66">_xlfn.STDEV.P(IF($E$5:$E$27=$E65,BM$5:BM$27))</f>
        <v>#DIV/0!</v>
      </c>
      <c r="BN66" s="67" t="e">
        <f t="array" ref="BN66">_xlfn.STDEV.P(IF($E$5:$E$27=$E65,BN$5:BN$27))</f>
        <v>#DIV/0!</v>
      </c>
      <c r="BO66" s="67" t="e">
        <f t="array" ref="BO66">_xlfn.STDEV.P(IF($E$5:$E$27=$E65,BO$5:BO$27))</f>
        <v>#DIV/0!</v>
      </c>
      <c r="BP66" s="67" t="e">
        <f t="array" ref="BP66">_xlfn.STDEV.P(IF($E$5:$E$27=$E65,BP$5:BP$27))</f>
        <v>#DIV/0!</v>
      </c>
      <c r="BQ66" s="67" t="e">
        <f t="array" ref="BQ66">_xlfn.STDEV.P(IF($E$5:$E$27=$E65,BQ$5:BQ$27))</f>
        <v>#DIV/0!</v>
      </c>
      <c r="BR66" s="67" t="e">
        <f t="array" ref="BR66">_xlfn.STDEV.P(IF($E$5:$E$27=$E65,BR$5:BR$27))</f>
        <v>#DIV/0!</v>
      </c>
      <c r="BS66" s="67" t="e">
        <f t="array" ref="BS66">_xlfn.STDEV.P(IF($E$5:$E$27=$E65,BS$5:BS$27))</f>
        <v>#DIV/0!</v>
      </c>
      <c r="BT66" s="67" t="e">
        <f t="array" ref="BT66">_xlfn.STDEV.P(IF($E$5:$E$27=$E65,BT$5:BT$27))</f>
        <v>#DIV/0!</v>
      </c>
      <c r="BU66" s="67" t="e">
        <f t="array" ref="BU66">_xlfn.STDEV.P(IF($E$5:$E$27=$E65,BU$5:BU$27))</f>
        <v>#DIV/0!</v>
      </c>
      <c r="BV66" s="67" t="e">
        <f t="array" ref="BV66">_xlfn.STDEV.P(IF($E$5:$E$27=$E65,BV$5:BV$27))</f>
        <v>#DIV/0!</v>
      </c>
      <c r="BW66" s="67" t="e">
        <f t="array" ref="BW66">_xlfn.STDEV.P(IF($E$5:$E$27=$E65,BW$5:BW$27))</f>
        <v>#DIV/0!</v>
      </c>
      <c r="BX66" s="67" t="e">
        <f t="array" ref="BX66">_xlfn.STDEV.P(IF($E$5:$E$27=$E65,BX$5:BX$27))</f>
        <v>#DIV/0!</v>
      </c>
      <c r="BY66" s="67" t="e">
        <f t="array" ref="BY66">_xlfn.STDEV.P(IF($E$5:$E$27=$E65,BY$5:BY$27))</f>
        <v>#DIV/0!</v>
      </c>
      <c r="BZ66" s="67" t="e">
        <f t="array" ref="BZ66">_xlfn.STDEV.P(IF($E$5:$E$27=$E65,BZ$5:BZ$27))</f>
        <v>#DIV/0!</v>
      </c>
      <c r="CA66" s="67" t="e">
        <f t="array" ref="CA66">_xlfn.STDEV.P(IF($E$5:$E$27=$E65,CA$5:CA$27))</f>
        <v>#DIV/0!</v>
      </c>
      <c r="CB66" s="67" t="e">
        <f t="array" ref="CB66">_xlfn.STDEV.P(IF($E$5:$E$27=$E65,CB$5:CB$27))</f>
        <v>#DIV/0!</v>
      </c>
      <c r="CC66" s="67" t="e">
        <f t="array" ref="CC66">_xlfn.STDEV.P(IF($E$5:$E$27=$E65,CC$5:CC$27))</f>
        <v>#DIV/0!</v>
      </c>
      <c r="CD66" s="67" t="e">
        <f t="array" ref="CD66">_xlfn.STDEV.P(IF($E$5:$E$27=$E65,CD$5:CD$27))</f>
        <v>#DIV/0!</v>
      </c>
      <c r="CE66" s="67" t="e">
        <f t="array" ref="CE66">_xlfn.STDEV.P(IF($E$5:$E$27=$E65,CE$5:CE$27))</f>
        <v>#DIV/0!</v>
      </c>
      <c r="CF66" s="67" t="e">
        <f t="array" ref="CF66">_xlfn.STDEV.P(IF($E$5:$E$27=$E65,CF$5:CF$27))</f>
        <v>#DIV/0!</v>
      </c>
      <c r="CG66" s="67" t="e">
        <f t="array" ref="CG66">_xlfn.STDEV.P(IF($E$5:$E$27=$E65,CG$5:CG$27))</f>
        <v>#DIV/0!</v>
      </c>
      <c r="CH66" s="67" t="e">
        <f t="array" ref="CH66">_xlfn.STDEV.P(IF($E$5:$E$27=$E65,CH$5:CH$27))</f>
        <v>#DIV/0!</v>
      </c>
      <c r="CI66" s="67" t="e">
        <f t="array" ref="CI66">_xlfn.STDEV.P(IF($E$5:$E$27=$E65,CI$5:CI$27))</f>
        <v>#DIV/0!</v>
      </c>
      <c r="CJ66" s="67" t="e">
        <f t="array" ref="CJ66">_xlfn.STDEV.P(IF($E$5:$E$27=$E65,CJ$5:CJ$27))</f>
        <v>#DIV/0!</v>
      </c>
      <c r="CK66" s="67" t="e">
        <f t="array" ref="CK66">_xlfn.STDEV.P(IF($E$5:$E$27=$E65,CK$5:CK$27))</f>
        <v>#DIV/0!</v>
      </c>
      <c r="CL66" s="67" t="e">
        <f t="array" ref="CL66">_xlfn.STDEV.P(IF($E$5:$E$27=$E65,CL$5:CL$27))</f>
        <v>#DIV/0!</v>
      </c>
      <c r="CM66" s="67" t="e">
        <f t="array" ref="CM66">_xlfn.STDEV.P(IF($E$5:$E$27=$E65,CM$5:CM$27))</f>
        <v>#DIV/0!</v>
      </c>
      <c r="CN66" s="67" t="e">
        <f t="array" ref="CN66">_xlfn.STDEV.P(IF($E$5:$E$27=$E65,CN$5:CN$27))</f>
        <v>#DIV/0!</v>
      </c>
      <c r="CO66" s="67" t="e">
        <f t="array" ref="CO66">_xlfn.STDEV.P(IF($E$5:$E$27=$E65,CO$5:CO$27))</f>
        <v>#DIV/0!</v>
      </c>
      <c r="CP66" s="67" t="e">
        <f t="array" ref="CP66">_xlfn.STDEV.P(IF($E$5:$E$27=$E65,CP$5:CP$27))</f>
        <v>#DIV/0!</v>
      </c>
      <c r="CQ66" s="67" t="e">
        <f t="array" ref="CQ66">_xlfn.STDEV.P(IF($E$5:$E$27=$E65,CQ$5:CQ$27))</f>
        <v>#DIV/0!</v>
      </c>
      <c r="CR66" s="67" t="e">
        <f t="array" ref="CR66">_xlfn.STDEV.P(IF($E$5:$E$27=$E65,CR$5:CR$27))</f>
        <v>#DIV/0!</v>
      </c>
      <c r="CS66" s="67" t="e">
        <f t="array" ref="CS66">_xlfn.STDEV.P(IF($E$5:$E$27=$E65,CS$5:CS$27))</f>
        <v>#DIV/0!</v>
      </c>
      <c r="CT66" s="67" t="e">
        <f t="array" ref="CT66">_xlfn.STDEV.P(IF($E$5:$E$27=$E65,CT$5:CT$27))</f>
        <v>#DIV/0!</v>
      </c>
      <c r="CU66" s="67" t="e">
        <f t="array" ref="CU66">_xlfn.STDEV.P(IF($E$5:$E$27=$E65,CU$5:CU$27))</f>
        <v>#DIV/0!</v>
      </c>
      <c r="CV66" s="67" t="e">
        <f t="array" ref="CV66">_xlfn.STDEV.P(IF($E$5:$E$27=$E65,CV$5:CV$27))</f>
        <v>#DIV/0!</v>
      </c>
      <c r="CW66" s="69"/>
    </row>
    <row r="67" spans="1:101" ht="15">
      <c r="A67" s="103"/>
      <c r="E67" s="108"/>
      <c r="I67" s="45"/>
    </row>
    <row r="68" spans="1:101" ht="14.25" customHeight="1">
      <c r="A68" s="103"/>
      <c r="E68" s="108" t="str">
        <f>'NAB_PTX Groups'!C18</f>
        <v>Group 13</v>
      </c>
      <c r="I68" s="108" t="str">
        <f>E68</f>
        <v>Group 13</v>
      </c>
      <c r="J68" s="213" t="e">
        <f>AVERAGEIF($E$5:$E$27,$E68,J$5:J$27)</f>
        <v>#DIV/0!</v>
      </c>
      <c r="K68" s="65" t="s">
        <v>9</v>
      </c>
      <c r="L68" s="71" t="e">
        <f t="shared" ref="L68:BC68" si="75">AVERAGEIF($E$5:$E$27,$E68,L$5:L$27)</f>
        <v>#DIV/0!</v>
      </c>
      <c r="M68" s="71" t="e">
        <f t="shared" si="75"/>
        <v>#DIV/0!</v>
      </c>
      <c r="N68" s="71" t="e">
        <f t="shared" si="75"/>
        <v>#DIV/0!</v>
      </c>
      <c r="O68" s="71" t="e">
        <f t="shared" si="75"/>
        <v>#DIV/0!</v>
      </c>
      <c r="P68" s="71" t="e">
        <f t="shared" si="75"/>
        <v>#DIV/0!</v>
      </c>
      <c r="Q68" s="71" t="e">
        <f t="shared" si="75"/>
        <v>#DIV/0!</v>
      </c>
      <c r="R68" s="71" t="e">
        <f t="shared" si="75"/>
        <v>#DIV/0!</v>
      </c>
      <c r="S68" s="71" t="e">
        <f t="shared" si="75"/>
        <v>#DIV/0!</v>
      </c>
      <c r="T68" s="71" t="e">
        <f t="shared" si="75"/>
        <v>#DIV/0!</v>
      </c>
      <c r="U68" s="71" t="e">
        <f t="shared" si="75"/>
        <v>#DIV/0!</v>
      </c>
      <c r="V68" s="71" t="e">
        <f t="shared" si="75"/>
        <v>#DIV/0!</v>
      </c>
      <c r="W68" s="71" t="e">
        <f t="shared" si="75"/>
        <v>#DIV/0!</v>
      </c>
      <c r="X68" s="71" t="e">
        <f t="shared" si="75"/>
        <v>#DIV/0!</v>
      </c>
      <c r="Y68" s="71" t="e">
        <f t="shared" si="75"/>
        <v>#DIV/0!</v>
      </c>
      <c r="Z68" s="71" t="e">
        <f t="shared" si="75"/>
        <v>#DIV/0!</v>
      </c>
      <c r="AA68" s="71" t="e">
        <f t="shared" si="75"/>
        <v>#DIV/0!</v>
      </c>
      <c r="AB68" s="71" t="e">
        <f t="shared" si="75"/>
        <v>#DIV/0!</v>
      </c>
      <c r="AC68" s="71" t="e">
        <f t="shared" si="75"/>
        <v>#DIV/0!</v>
      </c>
      <c r="AD68" s="71" t="e">
        <f t="shared" si="75"/>
        <v>#DIV/0!</v>
      </c>
      <c r="AE68" s="71" t="e">
        <f t="shared" si="75"/>
        <v>#DIV/0!</v>
      </c>
      <c r="AF68" s="71" t="e">
        <f t="shared" si="75"/>
        <v>#DIV/0!</v>
      </c>
      <c r="AG68" s="71" t="e">
        <f t="shared" si="75"/>
        <v>#DIV/0!</v>
      </c>
      <c r="AH68" s="71" t="e">
        <f t="shared" si="75"/>
        <v>#DIV/0!</v>
      </c>
      <c r="AI68" s="71" t="e">
        <f t="shared" si="75"/>
        <v>#DIV/0!</v>
      </c>
      <c r="AJ68" s="71" t="e">
        <f t="shared" si="75"/>
        <v>#DIV/0!</v>
      </c>
      <c r="AK68" s="71" t="e">
        <f t="shared" si="75"/>
        <v>#DIV/0!</v>
      </c>
      <c r="AL68" s="71" t="e">
        <f t="shared" si="75"/>
        <v>#DIV/0!</v>
      </c>
      <c r="AM68" s="71" t="e">
        <f t="shared" si="75"/>
        <v>#DIV/0!</v>
      </c>
      <c r="AN68" s="71" t="e">
        <f t="shared" si="75"/>
        <v>#DIV/0!</v>
      </c>
      <c r="AO68" s="71" t="e">
        <f t="shared" si="75"/>
        <v>#DIV/0!</v>
      </c>
      <c r="AP68" s="71" t="e">
        <f t="shared" si="75"/>
        <v>#DIV/0!</v>
      </c>
      <c r="AQ68" s="71" t="e">
        <f t="shared" si="75"/>
        <v>#DIV/0!</v>
      </c>
      <c r="AR68" s="71" t="e">
        <f t="shared" si="75"/>
        <v>#DIV/0!</v>
      </c>
      <c r="AS68" s="71" t="e">
        <f t="shared" si="75"/>
        <v>#DIV/0!</v>
      </c>
      <c r="AT68" s="71" t="e">
        <f t="shared" si="75"/>
        <v>#DIV/0!</v>
      </c>
      <c r="AU68" s="71" t="e">
        <f t="shared" si="75"/>
        <v>#DIV/0!</v>
      </c>
      <c r="AV68" s="71" t="e">
        <f t="shared" si="75"/>
        <v>#DIV/0!</v>
      </c>
      <c r="AW68" s="71" t="e">
        <f t="shared" si="75"/>
        <v>#DIV/0!</v>
      </c>
      <c r="AX68" s="71" t="e">
        <f t="shared" si="75"/>
        <v>#DIV/0!</v>
      </c>
      <c r="AY68" s="71" t="e">
        <f t="shared" si="75"/>
        <v>#DIV/0!</v>
      </c>
      <c r="AZ68" s="71" t="e">
        <f t="shared" si="75"/>
        <v>#DIV/0!</v>
      </c>
      <c r="BA68" s="71" t="e">
        <f t="shared" si="75"/>
        <v>#DIV/0!</v>
      </c>
      <c r="BB68" s="71" t="e">
        <f t="shared" si="75"/>
        <v>#DIV/0!</v>
      </c>
      <c r="BC68" s="71" t="e">
        <f t="shared" si="75"/>
        <v>#DIV/0!</v>
      </c>
      <c r="BD68" s="93" t="s">
        <v>9</v>
      </c>
      <c r="BE68" s="66" t="e">
        <f t="shared" ref="BE68:CV68" si="76">AVERAGEIF($E$5:$E$27,$E68,BE$5:BE$27)</f>
        <v>#DIV/0!</v>
      </c>
      <c r="BF68" s="66" t="e">
        <f t="shared" si="76"/>
        <v>#DIV/0!</v>
      </c>
      <c r="BG68" s="66" t="e">
        <f t="shared" si="76"/>
        <v>#DIV/0!</v>
      </c>
      <c r="BH68" s="66" t="e">
        <f t="shared" si="76"/>
        <v>#DIV/0!</v>
      </c>
      <c r="BI68" s="66" t="e">
        <f t="shared" si="76"/>
        <v>#DIV/0!</v>
      </c>
      <c r="BJ68" s="66" t="e">
        <f t="shared" si="76"/>
        <v>#DIV/0!</v>
      </c>
      <c r="BK68" s="66" t="e">
        <f t="shared" si="76"/>
        <v>#DIV/0!</v>
      </c>
      <c r="BL68" s="66" t="e">
        <f t="shared" si="76"/>
        <v>#DIV/0!</v>
      </c>
      <c r="BM68" s="66" t="e">
        <f t="shared" si="76"/>
        <v>#DIV/0!</v>
      </c>
      <c r="BN68" s="66" t="e">
        <f t="shared" si="76"/>
        <v>#DIV/0!</v>
      </c>
      <c r="BO68" s="66" t="e">
        <f t="shared" si="76"/>
        <v>#DIV/0!</v>
      </c>
      <c r="BP68" s="66" t="e">
        <f t="shared" si="76"/>
        <v>#DIV/0!</v>
      </c>
      <c r="BQ68" s="66" t="e">
        <f t="shared" si="76"/>
        <v>#DIV/0!</v>
      </c>
      <c r="BR68" s="66" t="e">
        <f t="shared" si="76"/>
        <v>#DIV/0!</v>
      </c>
      <c r="BS68" s="66" t="e">
        <f t="shared" si="76"/>
        <v>#DIV/0!</v>
      </c>
      <c r="BT68" s="66" t="e">
        <f t="shared" si="76"/>
        <v>#DIV/0!</v>
      </c>
      <c r="BU68" s="66" t="e">
        <f t="shared" si="76"/>
        <v>#DIV/0!</v>
      </c>
      <c r="BV68" s="66" t="e">
        <f t="shared" si="76"/>
        <v>#DIV/0!</v>
      </c>
      <c r="BW68" s="66" t="e">
        <f t="shared" si="76"/>
        <v>#DIV/0!</v>
      </c>
      <c r="BX68" s="66" t="e">
        <f t="shared" si="76"/>
        <v>#DIV/0!</v>
      </c>
      <c r="BY68" s="66" t="e">
        <f t="shared" si="76"/>
        <v>#DIV/0!</v>
      </c>
      <c r="BZ68" s="66" t="e">
        <f t="shared" si="76"/>
        <v>#DIV/0!</v>
      </c>
      <c r="CA68" s="66" t="e">
        <f t="shared" si="76"/>
        <v>#DIV/0!</v>
      </c>
      <c r="CB68" s="66" t="e">
        <f t="shared" si="76"/>
        <v>#DIV/0!</v>
      </c>
      <c r="CC68" s="66" t="e">
        <f t="shared" si="76"/>
        <v>#DIV/0!</v>
      </c>
      <c r="CD68" s="66" t="e">
        <f t="shared" si="76"/>
        <v>#DIV/0!</v>
      </c>
      <c r="CE68" s="66" t="e">
        <f t="shared" si="76"/>
        <v>#DIV/0!</v>
      </c>
      <c r="CF68" s="66" t="e">
        <f t="shared" si="76"/>
        <v>#DIV/0!</v>
      </c>
      <c r="CG68" s="66" t="e">
        <f t="shared" si="76"/>
        <v>#DIV/0!</v>
      </c>
      <c r="CH68" s="66" t="e">
        <f t="shared" si="76"/>
        <v>#DIV/0!</v>
      </c>
      <c r="CI68" s="66" t="e">
        <f t="shared" si="76"/>
        <v>#DIV/0!</v>
      </c>
      <c r="CJ68" s="66" t="e">
        <f t="shared" si="76"/>
        <v>#DIV/0!</v>
      </c>
      <c r="CK68" s="66" t="e">
        <f t="shared" si="76"/>
        <v>#DIV/0!</v>
      </c>
      <c r="CL68" s="66" t="e">
        <f t="shared" si="76"/>
        <v>#DIV/0!</v>
      </c>
      <c r="CM68" s="66" t="e">
        <f t="shared" si="76"/>
        <v>#DIV/0!</v>
      </c>
      <c r="CN68" s="66" t="e">
        <f t="shared" si="76"/>
        <v>#DIV/0!</v>
      </c>
      <c r="CO68" s="66" t="e">
        <f t="shared" si="76"/>
        <v>#DIV/0!</v>
      </c>
      <c r="CP68" s="66" t="e">
        <f t="shared" si="76"/>
        <v>#DIV/0!</v>
      </c>
      <c r="CQ68" s="66" t="e">
        <f t="shared" si="76"/>
        <v>#DIV/0!</v>
      </c>
      <c r="CR68" s="66" t="e">
        <f t="shared" si="76"/>
        <v>#DIV/0!</v>
      </c>
      <c r="CS68" s="66" t="e">
        <f t="shared" si="76"/>
        <v>#DIV/0!</v>
      </c>
      <c r="CT68" s="66" t="e">
        <f t="shared" si="76"/>
        <v>#DIV/0!</v>
      </c>
      <c r="CU68" s="66" t="e">
        <f t="shared" si="76"/>
        <v>#DIV/0!</v>
      </c>
      <c r="CV68" s="66" t="e">
        <f t="shared" si="76"/>
        <v>#DIV/0!</v>
      </c>
      <c r="CW68" s="69"/>
    </row>
    <row r="69" spans="1:101" ht="14.25" customHeight="1">
      <c r="A69" s="103"/>
      <c r="E69" s="83"/>
      <c r="I69" s="83"/>
      <c r="J69" s="213" t="e">
        <f t="array" ref="J69">_xlfn.STDEV.P(IF($E$5:$E$27=$E68,J$5:J$27))</f>
        <v>#DIV/0!</v>
      </c>
      <c r="K69" s="65" t="s">
        <v>11</v>
      </c>
      <c r="L69" s="74" t="e">
        <f t="array" ref="L69">_xlfn.STDEV.P(IF($E$5:$E$27=$E68,L$5:L$27))</f>
        <v>#DIV/0!</v>
      </c>
      <c r="M69" s="74" t="e">
        <f t="array" ref="M69">_xlfn.STDEV.P(IF($E$5:$E$27=$E68,M$5:M$27))</f>
        <v>#DIV/0!</v>
      </c>
      <c r="N69" s="74" t="e">
        <f t="array" ref="N69">_xlfn.STDEV.P(IF($E$5:$E$27=$E68,N$5:N$27))</f>
        <v>#DIV/0!</v>
      </c>
      <c r="O69" s="74" t="e">
        <f t="array" ref="O69">_xlfn.STDEV.P(IF($E$5:$E$27=$E68,O$5:O$27))</f>
        <v>#DIV/0!</v>
      </c>
      <c r="P69" s="74" t="e">
        <f t="array" ref="P69">_xlfn.STDEV.P(IF($E$5:$E$27=$E68,P$5:P$27))</f>
        <v>#DIV/0!</v>
      </c>
      <c r="Q69" s="74" t="e">
        <f t="array" ref="Q69">_xlfn.STDEV.P(IF($E$5:$E$27=$E68,Q$5:Q$27))</f>
        <v>#DIV/0!</v>
      </c>
      <c r="R69" s="74" t="e">
        <f t="array" ref="R69">_xlfn.STDEV.P(IF($E$5:$E$27=$E68,R$5:R$27))</f>
        <v>#DIV/0!</v>
      </c>
      <c r="S69" s="74" t="e">
        <f t="array" ref="S69">_xlfn.STDEV.P(IF($E$5:$E$27=$E68,S$5:S$27))</f>
        <v>#DIV/0!</v>
      </c>
      <c r="T69" s="74" t="e">
        <f t="array" ref="T69">_xlfn.STDEV.P(IF($E$5:$E$27=$E68,T$5:T$27))</f>
        <v>#DIV/0!</v>
      </c>
      <c r="U69" s="74" t="e">
        <f t="array" ref="U69">_xlfn.STDEV.P(IF($E$5:$E$27=$E68,U$5:U$27))</f>
        <v>#DIV/0!</v>
      </c>
      <c r="V69" s="74" t="e">
        <f t="array" ref="V69">_xlfn.STDEV.P(IF($E$5:$E$27=$E68,V$5:V$27))</f>
        <v>#DIV/0!</v>
      </c>
      <c r="W69" s="74" t="e">
        <f t="array" ref="W69">_xlfn.STDEV.P(IF($E$5:$E$27=$E68,W$5:W$27))</f>
        <v>#DIV/0!</v>
      </c>
      <c r="X69" s="74" t="e">
        <f t="array" ref="X69">_xlfn.STDEV.P(IF($E$5:$E$27=$E68,X$5:X$27))</f>
        <v>#DIV/0!</v>
      </c>
      <c r="Y69" s="74" t="e">
        <f t="array" ref="Y69">_xlfn.STDEV.P(IF($E$5:$E$27=$E68,Y$5:Y$27))</f>
        <v>#DIV/0!</v>
      </c>
      <c r="Z69" s="74" t="e">
        <f t="array" ref="Z69">_xlfn.STDEV.P(IF($E$5:$E$27=$E68,Z$5:Z$27))</f>
        <v>#DIV/0!</v>
      </c>
      <c r="AA69" s="74" t="e">
        <f t="array" ref="AA69">_xlfn.STDEV.P(IF($E$5:$E$27=$E68,AA$5:AA$27))</f>
        <v>#DIV/0!</v>
      </c>
      <c r="AB69" s="74" t="e">
        <f t="array" ref="AB69">_xlfn.STDEV.P(IF($E$5:$E$27=$E68,AB$5:AB$27))</f>
        <v>#DIV/0!</v>
      </c>
      <c r="AC69" s="74" t="e">
        <f t="array" ref="AC69">_xlfn.STDEV.P(IF($E$5:$E$27=$E68,AC$5:AC$27))</f>
        <v>#DIV/0!</v>
      </c>
      <c r="AD69" s="74" t="e">
        <f t="array" ref="AD69">_xlfn.STDEV.P(IF($E$5:$E$27=$E68,AD$5:AD$27))</f>
        <v>#DIV/0!</v>
      </c>
      <c r="AE69" s="74" t="e">
        <f t="array" ref="AE69">_xlfn.STDEV.P(IF($E$5:$E$27=$E68,AE$5:AE$27))</f>
        <v>#DIV/0!</v>
      </c>
      <c r="AF69" s="74" t="e">
        <f t="array" ref="AF69">_xlfn.STDEV.P(IF($E$5:$E$27=$E68,AF$5:AF$27))</f>
        <v>#DIV/0!</v>
      </c>
      <c r="AG69" s="74" t="e">
        <f t="array" ref="AG69">_xlfn.STDEV.P(IF($E$5:$E$27=$E68,AG$5:AG$27))</f>
        <v>#DIV/0!</v>
      </c>
      <c r="AH69" s="74" t="e">
        <f t="array" ref="AH69">_xlfn.STDEV.P(IF($E$5:$E$27=$E68,AH$5:AH$27))</f>
        <v>#DIV/0!</v>
      </c>
      <c r="AI69" s="74" t="e">
        <f t="array" ref="AI69">_xlfn.STDEV.P(IF($E$5:$E$27=$E68,AI$5:AI$27))</f>
        <v>#DIV/0!</v>
      </c>
      <c r="AJ69" s="74" t="e">
        <f t="array" ref="AJ69">_xlfn.STDEV.P(IF($E$5:$E$27=$E68,AJ$5:AJ$27))</f>
        <v>#DIV/0!</v>
      </c>
      <c r="AK69" s="74" t="e">
        <f t="array" ref="AK69">_xlfn.STDEV.P(IF($E$5:$E$27=$E68,AK$5:AK$27))</f>
        <v>#DIV/0!</v>
      </c>
      <c r="AL69" s="74" t="e">
        <f t="array" ref="AL69">_xlfn.STDEV.P(IF($E$5:$E$27=$E68,AL$5:AL$27))</f>
        <v>#DIV/0!</v>
      </c>
      <c r="AM69" s="74" t="e">
        <f t="array" ref="AM69">_xlfn.STDEV.P(IF($E$5:$E$27=$E68,AM$5:AM$27))</f>
        <v>#DIV/0!</v>
      </c>
      <c r="AN69" s="74" t="e">
        <f t="array" ref="AN69">_xlfn.STDEV.P(IF($E$5:$E$27=$E68,AN$5:AN$27))</f>
        <v>#DIV/0!</v>
      </c>
      <c r="AO69" s="74" t="e">
        <f t="array" ref="AO69">_xlfn.STDEV.P(IF($E$5:$E$27=$E68,AO$5:AO$27))</f>
        <v>#DIV/0!</v>
      </c>
      <c r="AP69" s="74" t="e">
        <f t="array" ref="AP69">_xlfn.STDEV.P(IF($E$5:$E$27=$E68,AP$5:AP$27))</f>
        <v>#DIV/0!</v>
      </c>
      <c r="AQ69" s="74" t="e">
        <f t="array" ref="AQ69">_xlfn.STDEV.P(IF($E$5:$E$27=$E68,AQ$5:AQ$27))</f>
        <v>#DIV/0!</v>
      </c>
      <c r="AR69" s="74" t="e">
        <f t="array" ref="AR69">_xlfn.STDEV.P(IF($E$5:$E$27=$E68,AR$5:AR$27))</f>
        <v>#DIV/0!</v>
      </c>
      <c r="AS69" s="74" t="e">
        <f t="array" ref="AS69">_xlfn.STDEV.P(IF($E$5:$E$27=$E68,AS$5:AS$27))</f>
        <v>#DIV/0!</v>
      </c>
      <c r="AT69" s="74" t="e">
        <f t="array" ref="AT69">_xlfn.STDEV.P(IF($E$5:$E$27=$E68,AT$5:AT$27))</f>
        <v>#DIV/0!</v>
      </c>
      <c r="AU69" s="74" t="e">
        <f t="array" ref="AU69">_xlfn.STDEV.P(IF($E$5:$E$27=$E68,AU$5:AU$27))</f>
        <v>#DIV/0!</v>
      </c>
      <c r="AV69" s="74" t="e">
        <f t="array" ref="AV69">_xlfn.STDEV.P(IF($E$5:$E$27=$E68,AV$5:AV$27))</f>
        <v>#DIV/0!</v>
      </c>
      <c r="AW69" s="74" t="e">
        <f t="array" ref="AW69">_xlfn.STDEV.P(IF($E$5:$E$27=$E68,AW$5:AW$27))</f>
        <v>#DIV/0!</v>
      </c>
      <c r="AX69" s="74" t="e">
        <f t="array" ref="AX69">_xlfn.STDEV.P(IF($E$5:$E$27=$E68,AX$5:AX$27))</f>
        <v>#DIV/0!</v>
      </c>
      <c r="AY69" s="74" t="e">
        <f t="array" ref="AY69">_xlfn.STDEV.P(IF($E$5:$E$27=$E68,AY$5:AY$27))</f>
        <v>#DIV/0!</v>
      </c>
      <c r="AZ69" s="74" t="e">
        <f t="array" ref="AZ69">_xlfn.STDEV.P(IF($E$5:$E$27=$E68,AZ$5:AZ$27))</f>
        <v>#DIV/0!</v>
      </c>
      <c r="BA69" s="74" t="e">
        <f t="array" ref="BA69">_xlfn.STDEV.P(IF($E$5:$E$27=$E68,BA$5:BA$27))</f>
        <v>#DIV/0!</v>
      </c>
      <c r="BB69" s="74" t="e">
        <f t="array" ref="BB69">_xlfn.STDEV.P(IF($E$5:$E$27=$E68,BB$5:BB$27))</f>
        <v>#DIV/0!</v>
      </c>
      <c r="BC69" s="74" t="e">
        <f t="array" ref="BC69">_xlfn.STDEV.P(IF($E$5:$E$27=$E68,BC$5:BC$27))</f>
        <v>#DIV/0!</v>
      </c>
      <c r="BD69" s="94" t="s">
        <v>11</v>
      </c>
      <c r="BE69" s="67" t="e">
        <f t="array" ref="BE69">_xlfn.STDEV.P(IF($E$5:$E$27=$E68,BE$5:BE$27))</f>
        <v>#DIV/0!</v>
      </c>
      <c r="BF69" s="67" t="e">
        <f t="array" ref="BF69">_xlfn.STDEV.P(IF($E$5:$E$27=$E68,BF$5:BF$27))</f>
        <v>#DIV/0!</v>
      </c>
      <c r="BG69" s="67" t="e">
        <f t="array" ref="BG69">_xlfn.STDEV.P(IF($E$5:$E$27=$E68,BG$5:BG$27))</f>
        <v>#DIV/0!</v>
      </c>
      <c r="BH69" s="67" t="e">
        <f t="array" ref="BH69">_xlfn.STDEV.P(IF($E$5:$E$27=$E68,BH$5:BH$27))</f>
        <v>#DIV/0!</v>
      </c>
      <c r="BI69" s="67" t="e">
        <f t="array" ref="BI69">_xlfn.STDEV.P(IF($E$5:$E$27=$E68,BI$5:BI$27))</f>
        <v>#DIV/0!</v>
      </c>
      <c r="BJ69" s="67" t="e">
        <f t="array" ref="BJ69">_xlfn.STDEV.P(IF($E$5:$E$27=$E68,BJ$5:BJ$27))</f>
        <v>#DIV/0!</v>
      </c>
      <c r="BK69" s="67" t="e">
        <f t="array" ref="BK69">_xlfn.STDEV.P(IF($E$5:$E$27=$E68,BK$5:BK$27))</f>
        <v>#DIV/0!</v>
      </c>
      <c r="BL69" s="67" t="e">
        <f t="array" ref="BL69">_xlfn.STDEV.P(IF($E$5:$E$27=$E68,BL$5:BL$27))</f>
        <v>#DIV/0!</v>
      </c>
      <c r="BM69" s="67" t="e">
        <f t="array" ref="BM69">_xlfn.STDEV.P(IF($E$5:$E$27=$E68,BM$5:BM$27))</f>
        <v>#DIV/0!</v>
      </c>
      <c r="BN69" s="67" t="e">
        <f t="array" ref="BN69">_xlfn.STDEV.P(IF($E$5:$E$27=$E68,BN$5:BN$27))</f>
        <v>#DIV/0!</v>
      </c>
      <c r="BO69" s="67" t="e">
        <f t="array" ref="BO69">_xlfn.STDEV.P(IF($E$5:$E$27=$E68,BO$5:BO$27))</f>
        <v>#DIV/0!</v>
      </c>
      <c r="BP69" s="67" t="e">
        <f t="array" ref="BP69">_xlfn.STDEV.P(IF($E$5:$E$27=$E68,BP$5:BP$27))</f>
        <v>#DIV/0!</v>
      </c>
      <c r="BQ69" s="67" t="e">
        <f t="array" ref="BQ69">_xlfn.STDEV.P(IF($E$5:$E$27=$E68,BQ$5:BQ$27))</f>
        <v>#DIV/0!</v>
      </c>
      <c r="BR69" s="67" t="e">
        <f t="array" ref="BR69">_xlfn.STDEV.P(IF($E$5:$E$27=$E68,BR$5:BR$27))</f>
        <v>#DIV/0!</v>
      </c>
      <c r="BS69" s="67" t="e">
        <f t="array" ref="BS69">_xlfn.STDEV.P(IF($E$5:$E$27=$E68,BS$5:BS$27))</f>
        <v>#DIV/0!</v>
      </c>
      <c r="BT69" s="67" t="e">
        <f t="array" ref="BT69">_xlfn.STDEV.P(IF($E$5:$E$27=$E68,BT$5:BT$27))</f>
        <v>#DIV/0!</v>
      </c>
      <c r="BU69" s="67" t="e">
        <f t="array" ref="BU69">_xlfn.STDEV.P(IF($E$5:$E$27=$E68,BU$5:BU$27))</f>
        <v>#DIV/0!</v>
      </c>
      <c r="BV69" s="67" t="e">
        <f t="array" ref="BV69">_xlfn.STDEV.P(IF($E$5:$E$27=$E68,BV$5:BV$27))</f>
        <v>#DIV/0!</v>
      </c>
      <c r="BW69" s="67" t="e">
        <f t="array" ref="BW69">_xlfn.STDEV.P(IF($E$5:$E$27=$E68,BW$5:BW$27))</f>
        <v>#DIV/0!</v>
      </c>
      <c r="BX69" s="67" t="e">
        <f t="array" ref="BX69">_xlfn.STDEV.P(IF($E$5:$E$27=$E68,BX$5:BX$27))</f>
        <v>#DIV/0!</v>
      </c>
      <c r="BY69" s="67" t="e">
        <f t="array" ref="BY69">_xlfn.STDEV.P(IF($E$5:$E$27=$E68,BY$5:BY$27))</f>
        <v>#DIV/0!</v>
      </c>
      <c r="BZ69" s="67" t="e">
        <f t="array" ref="BZ69">_xlfn.STDEV.P(IF($E$5:$E$27=$E68,BZ$5:BZ$27))</f>
        <v>#DIV/0!</v>
      </c>
      <c r="CA69" s="67" t="e">
        <f t="array" ref="CA69">_xlfn.STDEV.P(IF($E$5:$E$27=$E68,CA$5:CA$27))</f>
        <v>#DIV/0!</v>
      </c>
      <c r="CB69" s="67" t="e">
        <f t="array" ref="CB69">_xlfn.STDEV.P(IF($E$5:$E$27=$E68,CB$5:CB$27))</f>
        <v>#DIV/0!</v>
      </c>
      <c r="CC69" s="67" t="e">
        <f t="array" ref="CC69">_xlfn.STDEV.P(IF($E$5:$E$27=$E68,CC$5:CC$27))</f>
        <v>#DIV/0!</v>
      </c>
      <c r="CD69" s="67" t="e">
        <f t="array" ref="CD69">_xlfn.STDEV.P(IF($E$5:$E$27=$E68,CD$5:CD$27))</f>
        <v>#DIV/0!</v>
      </c>
      <c r="CE69" s="67" t="e">
        <f t="array" ref="CE69">_xlfn.STDEV.P(IF($E$5:$E$27=$E68,CE$5:CE$27))</f>
        <v>#DIV/0!</v>
      </c>
      <c r="CF69" s="67" t="e">
        <f t="array" ref="CF69">_xlfn.STDEV.P(IF($E$5:$E$27=$E68,CF$5:CF$27))</f>
        <v>#DIV/0!</v>
      </c>
      <c r="CG69" s="67" t="e">
        <f t="array" ref="CG69">_xlfn.STDEV.P(IF($E$5:$E$27=$E68,CG$5:CG$27))</f>
        <v>#DIV/0!</v>
      </c>
      <c r="CH69" s="67" t="e">
        <f t="array" ref="CH69">_xlfn.STDEV.P(IF($E$5:$E$27=$E68,CH$5:CH$27))</f>
        <v>#DIV/0!</v>
      </c>
      <c r="CI69" s="67" t="e">
        <f t="array" ref="CI69">_xlfn.STDEV.P(IF($E$5:$E$27=$E68,CI$5:CI$27))</f>
        <v>#DIV/0!</v>
      </c>
      <c r="CJ69" s="67" t="e">
        <f t="array" ref="CJ69">_xlfn.STDEV.P(IF($E$5:$E$27=$E68,CJ$5:CJ$27))</f>
        <v>#DIV/0!</v>
      </c>
      <c r="CK69" s="67" t="e">
        <f t="array" ref="CK69">_xlfn.STDEV.P(IF($E$5:$E$27=$E68,CK$5:CK$27))</f>
        <v>#DIV/0!</v>
      </c>
      <c r="CL69" s="67" t="e">
        <f t="array" ref="CL69">_xlfn.STDEV.P(IF($E$5:$E$27=$E68,CL$5:CL$27))</f>
        <v>#DIV/0!</v>
      </c>
      <c r="CM69" s="67" t="e">
        <f t="array" ref="CM69">_xlfn.STDEV.P(IF($E$5:$E$27=$E68,CM$5:CM$27))</f>
        <v>#DIV/0!</v>
      </c>
      <c r="CN69" s="67" t="e">
        <f t="array" ref="CN69">_xlfn.STDEV.P(IF($E$5:$E$27=$E68,CN$5:CN$27))</f>
        <v>#DIV/0!</v>
      </c>
      <c r="CO69" s="67" t="e">
        <f t="array" ref="CO69">_xlfn.STDEV.P(IF($E$5:$E$27=$E68,CO$5:CO$27))</f>
        <v>#DIV/0!</v>
      </c>
      <c r="CP69" s="67" t="e">
        <f t="array" ref="CP69">_xlfn.STDEV.P(IF($E$5:$E$27=$E68,CP$5:CP$27))</f>
        <v>#DIV/0!</v>
      </c>
      <c r="CQ69" s="67" t="e">
        <f t="array" ref="CQ69">_xlfn.STDEV.P(IF($E$5:$E$27=$E68,CQ$5:CQ$27))</f>
        <v>#DIV/0!</v>
      </c>
      <c r="CR69" s="67" t="e">
        <f t="array" ref="CR69">_xlfn.STDEV.P(IF($E$5:$E$27=$E68,CR$5:CR$27))</f>
        <v>#DIV/0!</v>
      </c>
      <c r="CS69" s="67" t="e">
        <f t="array" ref="CS69">_xlfn.STDEV.P(IF($E$5:$E$27=$E68,CS$5:CS$27))</f>
        <v>#DIV/0!</v>
      </c>
      <c r="CT69" s="67" t="e">
        <f t="array" ref="CT69">_xlfn.STDEV.P(IF($E$5:$E$27=$E68,CT$5:CT$27))</f>
        <v>#DIV/0!</v>
      </c>
      <c r="CU69" s="67" t="e">
        <f t="array" ref="CU69">_xlfn.STDEV.P(IF($E$5:$E$27=$E68,CU$5:CU$27))</f>
        <v>#DIV/0!</v>
      </c>
      <c r="CV69" s="67" t="e">
        <f t="array" ref="CV69">_xlfn.STDEV.P(IF($E$5:$E$27=$E68,CV$5:CV$27))</f>
        <v>#DIV/0!</v>
      </c>
      <c r="CW69" s="69"/>
    </row>
    <row r="70" spans="1:101" ht="15">
      <c r="A70" s="103"/>
      <c r="E70" s="108"/>
      <c r="I70" s="45"/>
    </row>
    <row r="71" spans="1:101" ht="14.25" customHeight="1">
      <c r="A71" s="103"/>
      <c r="E71" s="108" t="str">
        <f>'NAB_PTX Groups'!C19</f>
        <v>Group 14</v>
      </c>
      <c r="I71" s="108" t="str">
        <f>E71</f>
        <v>Group 14</v>
      </c>
      <c r="J71" s="213" t="e">
        <f>AVERAGEIF($E$5:$E$27,$E71,J$5:J$27)</f>
        <v>#DIV/0!</v>
      </c>
      <c r="K71" s="65" t="s">
        <v>9</v>
      </c>
      <c r="L71" s="71" t="e">
        <f t="shared" ref="L71:BC71" si="77">AVERAGEIF($E$5:$E$27,$E71,L$5:L$27)</f>
        <v>#DIV/0!</v>
      </c>
      <c r="M71" s="71" t="e">
        <f t="shared" si="77"/>
        <v>#DIV/0!</v>
      </c>
      <c r="N71" s="71" t="e">
        <f t="shared" si="77"/>
        <v>#DIV/0!</v>
      </c>
      <c r="O71" s="71" t="e">
        <f t="shared" si="77"/>
        <v>#DIV/0!</v>
      </c>
      <c r="P71" s="71" t="e">
        <f t="shared" si="77"/>
        <v>#DIV/0!</v>
      </c>
      <c r="Q71" s="71" t="e">
        <f t="shared" si="77"/>
        <v>#DIV/0!</v>
      </c>
      <c r="R71" s="71" t="e">
        <f t="shared" si="77"/>
        <v>#DIV/0!</v>
      </c>
      <c r="S71" s="71" t="e">
        <f t="shared" si="77"/>
        <v>#DIV/0!</v>
      </c>
      <c r="T71" s="71" t="e">
        <f t="shared" si="77"/>
        <v>#DIV/0!</v>
      </c>
      <c r="U71" s="71" t="e">
        <f t="shared" si="77"/>
        <v>#DIV/0!</v>
      </c>
      <c r="V71" s="71" t="e">
        <f t="shared" si="77"/>
        <v>#DIV/0!</v>
      </c>
      <c r="W71" s="71" t="e">
        <f t="shared" si="77"/>
        <v>#DIV/0!</v>
      </c>
      <c r="X71" s="71" t="e">
        <f t="shared" si="77"/>
        <v>#DIV/0!</v>
      </c>
      <c r="Y71" s="71" t="e">
        <f t="shared" si="77"/>
        <v>#DIV/0!</v>
      </c>
      <c r="Z71" s="71" t="e">
        <f t="shared" si="77"/>
        <v>#DIV/0!</v>
      </c>
      <c r="AA71" s="71" t="e">
        <f t="shared" si="77"/>
        <v>#DIV/0!</v>
      </c>
      <c r="AB71" s="71" t="e">
        <f t="shared" si="77"/>
        <v>#DIV/0!</v>
      </c>
      <c r="AC71" s="71" t="e">
        <f t="shared" si="77"/>
        <v>#DIV/0!</v>
      </c>
      <c r="AD71" s="71" t="e">
        <f t="shared" si="77"/>
        <v>#DIV/0!</v>
      </c>
      <c r="AE71" s="71" t="e">
        <f t="shared" si="77"/>
        <v>#DIV/0!</v>
      </c>
      <c r="AF71" s="71" t="e">
        <f t="shared" si="77"/>
        <v>#DIV/0!</v>
      </c>
      <c r="AG71" s="71" t="e">
        <f t="shared" si="77"/>
        <v>#DIV/0!</v>
      </c>
      <c r="AH71" s="71" t="e">
        <f t="shared" si="77"/>
        <v>#DIV/0!</v>
      </c>
      <c r="AI71" s="71" t="e">
        <f t="shared" si="77"/>
        <v>#DIV/0!</v>
      </c>
      <c r="AJ71" s="71" t="e">
        <f t="shared" si="77"/>
        <v>#DIV/0!</v>
      </c>
      <c r="AK71" s="71" t="e">
        <f t="shared" si="77"/>
        <v>#DIV/0!</v>
      </c>
      <c r="AL71" s="71" t="e">
        <f t="shared" si="77"/>
        <v>#DIV/0!</v>
      </c>
      <c r="AM71" s="71" t="e">
        <f t="shared" si="77"/>
        <v>#DIV/0!</v>
      </c>
      <c r="AN71" s="71" t="e">
        <f t="shared" si="77"/>
        <v>#DIV/0!</v>
      </c>
      <c r="AO71" s="71" t="e">
        <f t="shared" si="77"/>
        <v>#DIV/0!</v>
      </c>
      <c r="AP71" s="71" t="e">
        <f t="shared" si="77"/>
        <v>#DIV/0!</v>
      </c>
      <c r="AQ71" s="71" t="e">
        <f t="shared" si="77"/>
        <v>#DIV/0!</v>
      </c>
      <c r="AR71" s="71" t="e">
        <f t="shared" si="77"/>
        <v>#DIV/0!</v>
      </c>
      <c r="AS71" s="71" t="e">
        <f t="shared" si="77"/>
        <v>#DIV/0!</v>
      </c>
      <c r="AT71" s="71" t="e">
        <f t="shared" si="77"/>
        <v>#DIV/0!</v>
      </c>
      <c r="AU71" s="71" t="e">
        <f t="shared" si="77"/>
        <v>#DIV/0!</v>
      </c>
      <c r="AV71" s="71" t="e">
        <f t="shared" si="77"/>
        <v>#DIV/0!</v>
      </c>
      <c r="AW71" s="71" t="e">
        <f t="shared" si="77"/>
        <v>#DIV/0!</v>
      </c>
      <c r="AX71" s="71" t="e">
        <f t="shared" si="77"/>
        <v>#DIV/0!</v>
      </c>
      <c r="AY71" s="71" t="e">
        <f t="shared" si="77"/>
        <v>#DIV/0!</v>
      </c>
      <c r="AZ71" s="71" t="e">
        <f t="shared" si="77"/>
        <v>#DIV/0!</v>
      </c>
      <c r="BA71" s="71" t="e">
        <f t="shared" si="77"/>
        <v>#DIV/0!</v>
      </c>
      <c r="BB71" s="71" t="e">
        <f t="shared" si="77"/>
        <v>#DIV/0!</v>
      </c>
      <c r="BC71" s="71" t="e">
        <f t="shared" si="77"/>
        <v>#DIV/0!</v>
      </c>
      <c r="BD71" s="93" t="s">
        <v>9</v>
      </c>
      <c r="BE71" s="66" t="e">
        <f t="shared" ref="BE71:CV71" si="78">AVERAGEIF($E$5:$E$27,$E71,BE$5:BE$27)</f>
        <v>#DIV/0!</v>
      </c>
      <c r="BF71" s="66" t="e">
        <f t="shared" si="78"/>
        <v>#DIV/0!</v>
      </c>
      <c r="BG71" s="66" t="e">
        <f t="shared" si="78"/>
        <v>#DIV/0!</v>
      </c>
      <c r="BH71" s="66" t="e">
        <f t="shared" si="78"/>
        <v>#DIV/0!</v>
      </c>
      <c r="BI71" s="66" t="e">
        <f t="shared" si="78"/>
        <v>#DIV/0!</v>
      </c>
      <c r="BJ71" s="66" t="e">
        <f t="shared" si="78"/>
        <v>#DIV/0!</v>
      </c>
      <c r="BK71" s="66" t="e">
        <f t="shared" si="78"/>
        <v>#DIV/0!</v>
      </c>
      <c r="BL71" s="66" t="e">
        <f t="shared" si="78"/>
        <v>#DIV/0!</v>
      </c>
      <c r="BM71" s="66" t="e">
        <f t="shared" si="78"/>
        <v>#DIV/0!</v>
      </c>
      <c r="BN71" s="66" t="e">
        <f t="shared" si="78"/>
        <v>#DIV/0!</v>
      </c>
      <c r="BO71" s="66" t="e">
        <f t="shared" si="78"/>
        <v>#DIV/0!</v>
      </c>
      <c r="BP71" s="66" t="e">
        <f t="shared" si="78"/>
        <v>#DIV/0!</v>
      </c>
      <c r="BQ71" s="66" t="e">
        <f t="shared" si="78"/>
        <v>#DIV/0!</v>
      </c>
      <c r="BR71" s="66" t="e">
        <f t="shared" si="78"/>
        <v>#DIV/0!</v>
      </c>
      <c r="BS71" s="66" t="e">
        <f t="shared" si="78"/>
        <v>#DIV/0!</v>
      </c>
      <c r="BT71" s="66" t="e">
        <f t="shared" si="78"/>
        <v>#DIV/0!</v>
      </c>
      <c r="BU71" s="66" t="e">
        <f t="shared" si="78"/>
        <v>#DIV/0!</v>
      </c>
      <c r="BV71" s="66" t="e">
        <f t="shared" si="78"/>
        <v>#DIV/0!</v>
      </c>
      <c r="BW71" s="66" t="e">
        <f t="shared" si="78"/>
        <v>#DIV/0!</v>
      </c>
      <c r="BX71" s="66" t="e">
        <f t="shared" si="78"/>
        <v>#DIV/0!</v>
      </c>
      <c r="BY71" s="66" t="e">
        <f t="shared" si="78"/>
        <v>#DIV/0!</v>
      </c>
      <c r="BZ71" s="66" t="e">
        <f t="shared" si="78"/>
        <v>#DIV/0!</v>
      </c>
      <c r="CA71" s="66" t="e">
        <f t="shared" si="78"/>
        <v>#DIV/0!</v>
      </c>
      <c r="CB71" s="66" t="e">
        <f t="shared" si="78"/>
        <v>#DIV/0!</v>
      </c>
      <c r="CC71" s="66" t="e">
        <f t="shared" si="78"/>
        <v>#DIV/0!</v>
      </c>
      <c r="CD71" s="66" t="e">
        <f t="shared" si="78"/>
        <v>#DIV/0!</v>
      </c>
      <c r="CE71" s="66" t="e">
        <f t="shared" si="78"/>
        <v>#DIV/0!</v>
      </c>
      <c r="CF71" s="66" t="e">
        <f t="shared" si="78"/>
        <v>#DIV/0!</v>
      </c>
      <c r="CG71" s="66" t="e">
        <f t="shared" si="78"/>
        <v>#DIV/0!</v>
      </c>
      <c r="CH71" s="66" t="e">
        <f t="shared" si="78"/>
        <v>#DIV/0!</v>
      </c>
      <c r="CI71" s="66" t="e">
        <f t="shared" si="78"/>
        <v>#DIV/0!</v>
      </c>
      <c r="CJ71" s="66" t="e">
        <f t="shared" si="78"/>
        <v>#DIV/0!</v>
      </c>
      <c r="CK71" s="66" t="e">
        <f t="shared" si="78"/>
        <v>#DIV/0!</v>
      </c>
      <c r="CL71" s="66" t="e">
        <f t="shared" si="78"/>
        <v>#DIV/0!</v>
      </c>
      <c r="CM71" s="66" t="e">
        <f t="shared" si="78"/>
        <v>#DIV/0!</v>
      </c>
      <c r="CN71" s="66" t="e">
        <f t="shared" si="78"/>
        <v>#DIV/0!</v>
      </c>
      <c r="CO71" s="66" t="e">
        <f t="shared" si="78"/>
        <v>#DIV/0!</v>
      </c>
      <c r="CP71" s="66" t="e">
        <f t="shared" si="78"/>
        <v>#DIV/0!</v>
      </c>
      <c r="CQ71" s="66" t="e">
        <f t="shared" si="78"/>
        <v>#DIV/0!</v>
      </c>
      <c r="CR71" s="66" t="e">
        <f t="shared" si="78"/>
        <v>#DIV/0!</v>
      </c>
      <c r="CS71" s="66" t="e">
        <f t="shared" si="78"/>
        <v>#DIV/0!</v>
      </c>
      <c r="CT71" s="66" t="e">
        <f t="shared" si="78"/>
        <v>#DIV/0!</v>
      </c>
      <c r="CU71" s="66" t="e">
        <f t="shared" si="78"/>
        <v>#DIV/0!</v>
      </c>
      <c r="CV71" s="66" t="e">
        <f t="shared" si="78"/>
        <v>#DIV/0!</v>
      </c>
      <c r="CW71" s="69"/>
    </row>
    <row r="72" spans="1:101" ht="14.25" customHeight="1">
      <c r="A72" s="103"/>
      <c r="E72" s="83"/>
      <c r="I72" s="83"/>
      <c r="J72" s="213" t="e">
        <f t="array" ref="J72">_xlfn.STDEV.P(IF($E$5:$E$27=$E71,J$5:J$27))</f>
        <v>#DIV/0!</v>
      </c>
      <c r="K72" s="65" t="s">
        <v>11</v>
      </c>
      <c r="L72" s="74" t="e">
        <f t="array" ref="L72">_xlfn.STDEV.P(IF($E$5:$E$27=$E71,L$5:L$27))</f>
        <v>#DIV/0!</v>
      </c>
      <c r="M72" s="74" t="e">
        <f t="array" ref="M72">_xlfn.STDEV.P(IF($E$5:$E$27=$E71,M$5:M$27))</f>
        <v>#DIV/0!</v>
      </c>
      <c r="N72" s="74" t="e">
        <f t="array" ref="N72">_xlfn.STDEV.P(IF($E$5:$E$27=$E71,N$5:N$27))</f>
        <v>#DIV/0!</v>
      </c>
      <c r="O72" s="74" t="e">
        <f t="array" ref="O72">_xlfn.STDEV.P(IF($E$5:$E$27=$E71,O$5:O$27))</f>
        <v>#DIV/0!</v>
      </c>
      <c r="P72" s="74" t="e">
        <f t="array" ref="P72">_xlfn.STDEV.P(IF($E$5:$E$27=$E71,P$5:P$27))</f>
        <v>#DIV/0!</v>
      </c>
      <c r="Q72" s="74" t="e">
        <f t="array" ref="Q72">_xlfn.STDEV.P(IF($E$5:$E$27=$E71,Q$5:Q$27))</f>
        <v>#DIV/0!</v>
      </c>
      <c r="R72" s="74" t="e">
        <f t="array" ref="R72">_xlfn.STDEV.P(IF($E$5:$E$27=$E71,R$5:R$27))</f>
        <v>#DIV/0!</v>
      </c>
      <c r="S72" s="74" t="e">
        <f t="array" ref="S72">_xlfn.STDEV.P(IF($E$5:$E$27=$E71,S$5:S$27))</f>
        <v>#DIV/0!</v>
      </c>
      <c r="T72" s="74" t="e">
        <f t="array" ref="T72">_xlfn.STDEV.P(IF($E$5:$E$27=$E71,T$5:T$27))</f>
        <v>#DIV/0!</v>
      </c>
      <c r="U72" s="74" t="e">
        <f t="array" ref="U72">_xlfn.STDEV.P(IF($E$5:$E$27=$E71,U$5:U$27))</f>
        <v>#DIV/0!</v>
      </c>
      <c r="V72" s="74" t="e">
        <f t="array" ref="V72">_xlfn.STDEV.P(IF($E$5:$E$27=$E71,V$5:V$27))</f>
        <v>#DIV/0!</v>
      </c>
      <c r="W72" s="74" t="e">
        <f t="array" ref="W72">_xlfn.STDEV.P(IF($E$5:$E$27=$E71,W$5:W$27))</f>
        <v>#DIV/0!</v>
      </c>
      <c r="X72" s="74" t="e">
        <f t="array" ref="X72">_xlfn.STDEV.P(IF($E$5:$E$27=$E71,X$5:X$27))</f>
        <v>#DIV/0!</v>
      </c>
      <c r="Y72" s="74" t="e">
        <f t="array" ref="Y72">_xlfn.STDEV.P(IF($E$5:$E$27=$E71,Y$5:Y$27))</f>
        <v>#DIV/0!</v>
      </c>
      <c r="Z72" s="74" t="e">
        <f t="array" ref="Z72">_xlfn.STDEV.P(IF($E$5:$E$27=$E71,Z$5:Z$27))</f>
        <v>#DIV/0!</v>
      </c>
      <c r="AA72" s="74" t="e">
        <f t="array" ref="AA72">_xlfn.STDEV.P(IF($E$5:$E$27=$E71,AA$5:AA$27))</f>
        <v>#DIV/0!</v>
      </c>
      <c r="AB72" s="74" t="e">
        <f t="array" ref="AB72">_xlfn.STDEV.P(IF($E$5:$E$27=$E71,AB$5:AB$27))</f>
        <v>#DIV/0!</v>
      </c>
      <c r="AC72" s="74" t="e">
        <f t="array" ref="AC72">_xlfn.STDEV.P(IF($E$5:$E$27=$E71,AC$5:AC$27))</f>
        <v>#DIV/0!</v>
      </c>
      <c r="AD72" s="74" t="e">
        <f t="array" ref="AD72">_xlfn.STDEV.P(IF($E$5:$E$27=$E71,AD$5:AD$27))</f>
        <v>#DIV/0!</v>
      </c>
      <c r="AE72" s="74" t="e">
        <f t="array" ref="AE72">_xlfn.STDEV.P(IF($E$5:$E$27=$E71,AE$5:AE$27))</f>
        <v>#DIV/0!</v>
      </c>
      <c r="AF72" s="74" t="e">
        <f t="array" ref="AF72">_xlfn.STDEV.P(IF($E$5:$E$27=$E71,AF$5:AF$27))</f>
        <v>#DIV/0!</v>
      </c>
      <c r="AG72" s="74" t="e">
        <f t="array" ref="AG72">_xlfn.STDEV.P(IF($E$5:$E$27=$E71,AG$5:AG$27))</f>
        <v>#DIV/0!</v>
      </c>
      <c r="AH72" s="74" t="e">
        <f t="array" ref="AH72">_xlfn.STDEV.P(IF($E$5:$E$27=$E71,AH$5:AH$27))</f>
        <v>#DIV/0!</v>
      </c>
      <c r="AI72" s="74" t="e">
        <f t="array" ref="AI72">_xlfn.STDEV.P(IF($E$5:$E$27=$E71,AI$5:AI$27))</f>
        <v>#DIV/0!</v>
      </c>
      <c r="AJ72" s="74" t="e">
        <f t="array" ref="AJ72">_xlfn.STDEV.P(IF($E$5:$E$27=$E71,AJ$5:AJ$27))</f>
        <v>#DIV/0!</v>
      </c>
      <c r="AK72" s="74" t="e">
        <f t="array" ref="AK72">_xlfn.STDEV.P(IF($E$5:$E$27=$E71,AK$5:AK$27))</f>
        <v>#DIV/0!</v>
      </c>
      <c r="AL72" s="74" t="e">
        <f t="array" ref="AL72">_xlfn.STDEV.P(IF($E$5:$E$27=$E71,AL$5:AL$27))</f>
        <v>#DIV/0!</v>
      </c>
      <c r="AM72" s="74" t="e">
        <f t="array" ref="AM72">_xlfn.STDEV.P(IF($E$5:$E$27=$E71,AM$5:AM$27))</f>
        <v>#DIV/0!</v>
      </c>
      <c r="AN72" s="74" t="e">
        <f t="array" ref="AN72">_xlfn.STDEV.P(IF($E$5:$E$27=$E71,AN$5:AN$27))</f>
        <v>#DIV/0!</v>
      </c>
      <c r="AO72" s="74" t="e">
        <f t="array" ref="AO72">_xlfn.STDEV.P(IF($E$5:$E$27=$E71,AO$5:AO$27))</f>
        <v>#DIV/0!</v>
      </c>
      <c r="AP72" s="74" t="e">
        <f t="array" ref="AP72">_xlfn.STDEV.P(IF($E$5:$E$27=$E71,AP$5:AP$27))</f>
        <v>#DIV/0!</v>
      </c>
      <c r="AQ72" s="74" t="e">
        <f t="array" ref="AQ72">_xlfn.STDEV.P(IF($E$5:$E$27=$E71,AQ$5:AQ$27))</f>
        <v>#DIV/0!</v>
      </c>
      <c r="AR72" s="74" t="e">
        <f t="array" ref="AR72">_xlfn.STDEV.P(IF($E$5:$E$27=$E71,AR$5:AR$27))</f>
        <v>#DIV/0!</v>
      </c>
      <c r="AS72" s="74" t="e">
        <f t="array" ref="AS72">_xlfn.STDEV.P(IF($E$5:$E$27=$E71,AS$5:AS$27))</f>
        <v>#DIV/0!</v>
      </c>
      <c r="AT72" s="74" t="e">
        <f t="array" ref="AT72">_xlfn.STDEV.P(IF($E$5:$E$27=$E71,AT$5:AT$27))</f>
        <v>#DIV/0!</v>
      </c>
      <c r="AU72" s="74" t="e">
        <f t="array" ref="AU72">_xlfn.STDEV.P(IF($E$5:$E$27=$E71,AU$5:AU$27))</f>
        <v>#DIV/0!</v>
      </c>
      <c r="AV72" s="74" t="e">
        <f t="array" ref="AV72">_xlfn.STDEV.P(IF($E$5:$E$27=$E71,AV$5:AV$27))</f>
        <v>#DIV/0!</v>
      </c>
      <c r="AW72" s="74" t="e">
        <f t="array" ref="AW72">_xlfn.STDEV.P(IF($E$5:$E$27=$E71,AW$5:AW$27))</f>
        <v>#DIV/0!</v>
      </c>
      <c r="AX72" s="74" t="e">
        <f t="array" ref="AX72">_xlfn.STDEV.P(IF($E$5:$E$27=$E71,AX$5:AX$27))</f>
        <v>#DIV/0!</v>
      </c>
      <c r="AY72" s="74" t="e">
        <f t="array" ref="AY72">_xlfn.STDEV.P(IF($E$5:$E$27=$E71,AY$5:AY$27))</f>
        <v>#DIV/0!</v>
      </c>
      <c r="AZ72" s="74" t="e">
        <f t="array" ref="AZ72">_xlfn.STDEV.P(IF($E$5:$E$27=$E71,AZ$5:AZ$27))</f>
        <v>#DIV/0!</v>
      </c>
      <c r="BA72" s="74" t="e">
        <f t="array" ref="BA72">_xlfn.STDEV.P(IF($E$5:$E$27=$E71,BA$5:BA$27))</f>
        <v>#DIV/0!</v>
      </c>
      <c r="BB72" s="74" t="e">
        <f t="array" ref="BB72">_xlfn.STDEV.P(IF($E$5:$E$27=$E71,BB$5:BB$27))</f>
        <v>#DIV/0!</v>
      </c>
      <c r="BC72" s="74" t="e">
        <f t="array" ref="BC72">_xlfn.STDEV.P(IF($E$5:$E$27=$E71,BC$5:BC$27))</f>
        <v>#DIV/0!</v>
      </c>
      <c r="BD72" s="94" t="s">
        <v>11</v>
      </c>
      <c r="BE72" s="67" t="e">
        <f t="array" ref="BE72">_xlfn.STDEV.P(IF($E$5:$E$27=$E71,BE$5:BE$27))</f>
        <v>#DIV/0!</v>
      </c>
      <c r="BF72" s="67" t="e">
        <f t="array" ref="BF72">_xlfn.STDEV.P(IF($E$5:$E$27=$E71,BF$5:BF$27))</f>
        <v>#DIV/0!</v>
      </c>
      <c r="BG72" s="67" t="e">
        <f t="array" ref="BG72">_xlfn.STDEV.P(IF($E$5:$E$27=$E71,BG$5:BG$27))</f>
        <v>#DIV/0!</v>
      </c>
      <c r="BH72" s="67" t="e">
        <f t="array" ref="BH72">_xlfn.STDEV.P(IF($E$5:$E$27=$E71,BH$5:BH$27))</f>
        <v>#DIV/0!</v>
      </c>
      <c r="BI72" s="67" t="e">
        <f t="array" ref="BI72">_xlfn.STDEV.P(IF($E$5:$E$27=$E71,BI$5:BI$27))</f>
        <v>#DIV/0!</v>
      </c>
      <c r="BJ72" s="67" t="e">
        <f t="array" ref="BJ72">_xlfn.STDEV.P(IF($E$5:$E$27=$E71,BJ$5:BJ$27))</f>
        <v>#DIV/0!</v>
      </c>
      <c r="BK72" s="67" t="e">
        <f t="array" ref="BK72">_xlfn.STDEV.P(IF($E$5:$E$27=$E71,BK$5:BK$27))</f>
        <v>#DIV/0!</v>
      </c>
      <c r="BL72" s="67" t="e">
        <f t="array" ref="BL72">_xlfn.STDEV.P(IF($E$5:$E$27=$E71,BL$5:BL$27))</f>
        <v>#DIV/0!</v>
      </c>
      <c r="BM72" s="67" t="e">
        <f t="array" ref="BM72">_xlfn.STDEV.P(IF($E$5:$E$27=$E71,BM$5:BM$27))</f>
        <v>#DIV/0!</v>
      </c>
      <c r="BN72" s="67" t="e">
        <f t="array" ref="BN72">_xlfn.STDEV.P(IF($E$5:$E$27=$E71,BN$5:BN$27))</f>
        <v>#DIV/0!</v>
      </c>
      <c r="BO72" s="67" t="e">
        <f t="array" ref="BO72">_xlfn.STDEV.P(IF($E$5:$E$27=$E71,BO$5:BO$27))</f>
        <v>#DIV/0!</v>
      </c>
      <c r="BP72" s="67" t="e">
        <f t="array" ref="BP72">_xlfn.STDEV.P(IF($E$5:$E$27=$E71,BP$5:BP$27))</f>
        <v>#DIV/0!</v>
      </c>
      <c r="BQ72" s="67" t="e">
        <f t="array" ref="BQ72">_xlfn.STDEV.P(IF($E$5:$E$27=$E71,BQ$5:BQ$27))</f>
        <v>#DIV/0!</v>
      </c>
      <c r="BR72" s="67" t="e">
        <f t="array" ref="BR72">_xlfn.STDEV.P(IF($E$5:$E$27=$E71,BR$5:BR$27))</f>
        <v>#DIV/0!</v>
      </c>
      <c r="BS72" s="67" t="e">
        <f t="array" ref="BS72">_xlfn.STDEV.P(IF($E$5:$E$27=$E71,BS$5:BS$27))</f>
        <v>#DIV/0!</v>
      </c>
      <c r="BT72" s="67" t="e">
        <f t="array" ref="BT72">_xlfn.STDEV.P(IF($E$5:$E$27=$E71,BT$5:BT$27))</f>
        <v>#DIV/0!</v>
      </c>
      <c r="BU72" s="67" t="e">
        <f t="array" ref="BU72">_xlfn.STDEV.P(IF($E$5:$E$27=$E71,BU$5:BU$27))</f>
        <v>#DIV/0!</v>
      </c>
      <c r="BV72" s="67" t="e">
        <f t="array" ref="BV72">_xlfn.STDEV.P(IF($E$5:$E$27=$E71,BV$5:BV$27))</f>
        <v>#DIV/0!</v>
      </c>
      <c r="BW72" s="67" t="e">
        <f t="array" ref="BW72">_xlfn.STDEV.P(IF($E$5:$E$27=$E71,BW$5:BW$27))</f>
        <v>#DIV/0!</v>
      </c>
      <c r="BX72" s="67" t="e">
        <f t="array" ref="BX72">_xlfn.STDEV.P(IF($E$5:$E$27=$E71,BX$5:BX$27))</f>
        <v>#DIV/0!</v>
      </c>
      <c r="BY72" s="67" t="e">
        <f t="array" ref="BY72">_xlfn.STDEV.P(IF($E$5:$E$27=$E71,BY$5:BY$27))</f>
        <v>#DIV/0!</v>
      </c>
      <c r="BZ72" s="67" t="e">
        <f t="array" ref="BZ72">_xlfn.STDEV.P(IF($E$5:$E$27=$E71,BZ$5:BZ$27))</f>
        <v>#DIV/0!</v>
      </c>
      <c r="CA72" s="67" t="e">
        <f t="array" ref="CA72">_xlfn.STDEV.P(IF($E$5:$E$27=$E71,CA$5:CA$27))</f>
        <v>#DIV/0!</v>
      </c>
      <c r="CB72" s="67" t="e">
        <f t="array" ref="CB72">_xlfn.STDEV.P(IF($E$5:$E$27=$E71,CB$5:CB$27))</f>
        <v>#DIV/0!</v>
      </c>
      <c r="CC72" s="67" t="e">
        <f t="array" ref="CC72">_xlfn.STDEV.P(IF($E$5:$E$27=$E71,CC$5:CC$27))</f>
        <v>#DIV/0!</v>
      </c>
      <c r="CD72" s="67" t="e">
        <f t="array" ref="CD72">_xlfn.STDEV.P(IF($E$5:$E$27=$E71,CD$5:CD$27))</f>
        <v>#DIV/0!</v>
      </c>
      <c r="CE72" s="67" t="e">
        <f t="array" ref="CE72">_xlfn.STDEV.P(IF($E$5:$E$27=$E71,CE$5:CE$27))</f>
        <v>#DIV/0!</v>
      </c>
      <c r="CF72" s="67" t="e">
        <f t="array" ref="CF72">_xlfn.STDEV.P(IF($E$5:$E$27=$E71,CF$5:CF$27))</f>
        <v>#DIV/0!</v>
      </c>
      <c r="CG72" s="67" t="e">
        <f t="array" ref="CG72">_xlfn.STDEV.P(IF($E$5:$E$27=$E71,CG$5:CG$27))</f>
        <v>#DIV/0!</v>
      </c>
      <c r="CH72" s="67" t="e">
        <f t="array" ref="CH72">_xlfn.STDEV.P(IF($E$5:$E$27=$E71,CH$5:CH$27))</f>
        <v>#DIV/0!</v>
      </c>
      <c r="CI72" s="67" t="e">
        <f t="array" ref="CI72">_xlfn.STDEV.P(IF($E$5:$E$27=$E71,CI$5:CI$27))</f>
        <v>#DIV/0!</v>
      </c>
      <c r="CJ72" s="67" t="e">
        <f t="array" ref="CJ72">_xlfn.STDEV.P(IF($E$5:$E$27=$E71,CJ$5:CJ$27))</f>
        <v>#DIV/0!</v>
      </c>
      <c r="CK72" s="67" t="e">
        <f t="array" ref="CK72">_xlfn.STDEV.P(IF($E$5:$E$27=$E71,CK$5:CK$27))</f>
        <v>#DIV/0!</v>
      </c>
      <c r="CL72" s="67" t="e">
        <f t="array" ref="CL72">_xlfn.STDEV.P(IF($E$5:$E$27=$E71,CL$5:CL$27))</f>
        <v>#DIV/0!</v>
      </c>
      <c r="CM72" s="67" t="e">
        <f t="array" ref="CM72">_xlfn.STDEV.P(IF($E$5:$E$27=$E71,CM$5:CM$27))</f>
        <v>#DIV/0!</v>
      </c>
      <c r="CN72" s="67" t="e">
        <f t="array" ref="CN72">_xlfn.STDEV.P(IF($E$5:$E$27=$E71,CN$5:CN$27))</f>
        <v>#DIV/0!</v>
      </c>
      <c r="CO72" s="67" t="e">
        <f t="array" ref="CO72">_xlfn.STDEV.P(IF($E$5:$E$27=$E71,CO$5:CO$27))</f>
        <v>#DIV/0!</v>
      </c>
      <c r="CP72" s="67" t="e">
        <f t="array" ref="CP72">_xlfn.STDEV.P(IF($E$5:$E$27=$E71,CP$5:CP$27))</f>
        <v>#DIV/0!</v>
      </c>
      <c r="CQ72" s="67" t="e">
        <f t="array" ref="CQ72">_xlfn.STDEV.P(IF($E$5:$E$27=$E71,CQ$5:CQ$27))</f>
        <v>#DIV/0!</v>
      </c>
      <c r="CR72" s="67" t="e">
        <f t="array" ref="CR72">_xlfn.STDEV.P(IF($E$5:$E$27=$E71,CR$5:CR$27))</f>
        <v>#DIV/0!</v>
      </c>
      <c r="CS72" s="67" t="e">
        <f t="array" ref="CS72">_xlfn.STDEV.P(IF($E$5:$E$27=$E71,CS$5:CS$27))</f>
        <v>#DIV/0!</v>
      </c>
      <c r="CT72" s="67" t="e">
        <f t="array" ref="CT72">_xlfn.STDEV.P(IF($E$5:$E$27=$E71,CT$5:CT$27))</f>
        <v>#DIV/0!</v>
      </c>
      <c r="CU72" s="67" t="e">
        <f t="array" ref="CU72">_xlfn.STDEV.P(IF($E$5:$E$27=$E71,CU$5:CU$27))</f>
        <v>#DIV/0!</v>
      </c>
      <c r="CV72" s="67" t="e">
        <f t="array" ref="CV72">_xlfn.STDEV.P(IF($E$5:$E$27=$E71,CV$5:CV$27))</f>
        <v>#DIV/0!</v>
      </c>
      <c r="CW72" s="69"/>
    </row>
    <row r="73" spans="1:101" ht="15">
      <c r="A73" s="103"/>
      <c r="E73" s="108"/>
      <c r="I73" s="45"/>
    </row>
    <row r="74" spans="1:101" ht="14.25" customHeight="1">
      <c r="A74" s="103"/>
      <c r="E74" s="108" t="str">
        <f>'NAB_PTX Groups'!C20</f>
        <v>Group 15</v>
      </c>
      <c r="I74" s="108" t="str">
        <f>E74</f>
        <v>Group 15</v>
      </c>
      <c r="J74" s="213" t="e">
        <f>AVERAGEIF($E$5:$E$27,$E74,J$5:J$27)</f>
        <v>#DIV/0!</v>
      </c>
      <c r="K74" s="65" t="s">
        <v>9</v>
      </c>
      <c r="L74" s="71" t="e">
        <f t="shared" ref="L74:BC74" si="79">AVERAGEIF($E$5:$E$27,$E74,L$5:L$27)</f>
        <v>#DIV/0!</v>
      </c>
      <c r="M74" s="71" t="e">
        <f t="shared" si="79"/>
        <v>#DIV/0!</v>
      </c>
      <c r="N74" s="71" t="e">
        <f t="shared" si="79"/>
        <v>#DIV/0!</v>
      </c>
      <c r="O74" s="71" t="e">
        <f t="shared" si="79"/>
        <v>#DIV/0!</v>
      </c>
      <c r="P74" s="71" t="e">
        <f t="shared" si="79"/>
        <v>#DIV/0!</v>
      </c>
      <c r="Q74" s="71" t="e">
        <f t="shared" si="79"/>
        <v>#DIV/0!</v>
      </c>
      <c r="R74" s="71" t="e">
        <f t="shared" si="79"/>
        <v>#DIV/0!</v>
      </c>
      <c r="S74" s="71" t="e">
        <f t="shared" si="79"/>
        <v>#DIV/0!</v>
      </c>
      <c r="T74" s="71" t="e">
        <f t="shared" si="79"/>
        <v>#DIV/0!</v>
      </c>
      <c r="U74" s="71" t="e">
        <f t="shared" si="79"/>
        <v>#DIV/0!</v>
      </c>
      <c r="V74" s="71" t="e">
        <f t="shared" si="79"/>
        <v>#DIV/0!</v>
      </c>
      <c r="W74" s="71" t="e">
        <f t="shared" si="79"/>
        <v>#DIV/0!</v>
      </c>
      <c r="X74" s="71" t="e">
        <f t="shared" si="79"/>
        <v>#DIV/0!</v>
      </c>
      <c r="Y74" s="71" t="e">
        <f t="shared" si="79"/>
        <v>#DIV/0!</v>
      </c>
      <c r="Z74" s="71" t="e">
        <f t="shared" si="79"/>
        <v>#DIV/0!</v>
      </c>
      <c r="AA74" s="71" t="e">
        <f t="shared" si="79"/>
        <v>#DIV/0!</v>
      </c>
      <c r="AB74" s="71" t="e">
        <f t="shared" si="79"/>
        <v>#DIV/0!</v>
      </c>
      <c r="AC74" s="71" t="e">
        <f t="shared" si="79"/>
        <v>#DIV/0!</v>
      </c>
      <c r="AD74" s="71" t="e">
        <f t="shared" si="79"/>
        <v>#DIV/0!</v>
      </c>
      <c r="AE74" s="71" t="e">
        <f t="shared" si="79"/>
        <v>#DIV/0!</v>
      </c>
      <c r="AF74" s="71" t="e">
        <f t="shared" si="79"/>
        <v>#DIV/0!</v>
      </c>
      <c r="AG74" s="71" t="e">
        <f t="shared" si="79"/>
        <v>#DIV/0!</v>
      </c>
      <c r="AH74" s="71" t="e">
        <f t="shared" si="79"/>
        <v>#DIV/0!</v>
      </c>
      <c r="AI74" s="71" t="e">
        <f t="shared" si="79"/>
        <v>#DIV/0!</v>
      </c>
      <c r="AJ74" s="71" t="e">
        <f t="shared" si="79"/>
        <v>#DIV/0!</v>
      </c>
      <c r="AK74" s="71" t="e">
        <f t="shared" si="79"/>
        <v>#DIV/0!</v>
      </c>
      <c r="AL74" s="71" t="e">
        <f t="shared" si="79"/>
        <v>#DIV/0!</v>
      </c>
      <c r="AM74" s="71" t="e">
        <f t="shared" si="79"/>
        <v>#DIV/0!</v>
      </c>
      <c r="AN74" s="71" t="e">
        <f t="shared" si="79"/>
        <v>#DIV/0!</v>
      </c>
      <c r="AO74" s="71" t="e">
        <f t="shared" si="79"/>
        <v>#DIV/0!</v>
      </c>
      <c r="AP74" s="71" t="e">
        <f t="shared" si="79"/>
        <v>#DIV/0!</v>
      </c>
      <c r="AQ74" s="71" t="e">
        <f t="shared" si="79"/>
        <v>#DIV/0!</v>
      </c>
      <c r="AR74" s="71" t="e">
        <f t="shared" si="79"/>
        <v>#DIV/0!</v>
      </c>
      <c r="AS74" s="71" t="e">
        <f t="shared" si="79"/>
        <v>#DIV/0!</v>
      </c>
      <c r="AT74" s="71" t="e">
        <f t="shared" si="79"/>
        <v>#DIV/0!</v>
      </c>
      <c r="AU74" s="71" t="e">
        <f t="shared" si="79"/>
        <v>#DIV/0!</v>
      </c>
      <c r="AV74" s="71" t="e">
        <f t="shared" si="79"/>
        <v>#DIV/0!</v>
      </c>
      <c r="AW74" s="71" t="e">
        <f t="shared" si="79"/>
        <v>#DIV/0!</v>
      </c>
      <c r="AX74" s="71" t="e">
        <f t="shared" si="79"/>
        <v>#DIV/0!</v>
      </c>
      <c r="AY74" s="71" t="e">
        <f t="shared" si="79"/>
        <v>#DIV/0!</v>
      </c>
      <c r="AZ74" s="71" t="e">
        <f t="shared" si="79"/>
        <v>#DIV/0!</v>
      </c>
      <c r="BA74" s="71" t="e">
        <f t="shared" si="79"/>
        <v>#DIV/0!</v>
      </c>
      <c r="BB74" s="71" t="e">
        <f t="shared" si="79"/>
        <v>#DIV/0!</v>
      </c>
      <c r="BC74" s="71" t="e">
        <f t="shared" si="79"/>
        <v>#DIV/0!</v>
      </c>
      <c r="BD74" s="93" t="s">
        <v>9</v>
      </c>
      <c r="BE74" s="66" t="e">
        <f t="shared" ref="BE74:CV74" si="80">AVERAGEIF($E$5:$E$27,$E74,BE$5:BE$27)</f>
        <v>#DIV/0!</v>
      </c>
      <c r="BF74" s="66" t="e">
        <f t="shared" si="80"/>
        <v>#DIV/0!</v>
      </c>
      <c r="BG74" s="66" t="e">
        <f t="shared" si="80"/>
        <v>#DIV/0!</v>
      </c>
      <c r="BH74" s="66" t="e">
        <f t="shared" si="80"/>
        <v>#DIV/0!</v>
      </c>
      <c r="BI74" s="66" t="e">
        <f t="shared" si="80"/>
        <v>#DIV/0!</v>
      </c>
      <c r="BJ74" s="66" t="e">
        <f t="shared" si="80"/>
        <v>#DIV/0!</v>
      </c>
      <c r="BK74" s="66" t="e">
        <f t="shared" si="80"/>
        <v>#DIV/0!</v>
      </c>
      <c r="BL74" s="66" t="e">
        <f t="shared" si="80"/>
        <v>#DIV/0!</v>
      </c>
      <c r="BM74" s="66" t="e">
        <f t="shared" si="80"/>
        <v>#DIV/0!</v>
      </c>
      <c r="BN74" s="66" t="e">
        <f t="shared" si="80"/>
        <v>#DIV/0!</v>
      </c>
      <c r="BO74" s="66" t="e">
        <f t="shared" si="80"/>
        <v>#DIV/0!</v>
      </c>
      <c r="BP74" s="66" t="e">
        <f t="shared" si="80"/>
        <v>#DIV/0!</v>
      </c>
      <c r="BQ74" s="66" t="e">
        <f t="shared" si="80"/>
        <v>#DIV/0!</v>
      </c>
      <c r="BR74" s="66" t="e">
        <f t="shared" si="80"/>
        <v>#DIV/0!</v>
      </c>
      <c r="BS74" s="66" t="e">
        <f t="shared" si="80"/>
        <v>#DIV/0!</v>
      </c>
      <c r="BT74" s="66" t="e">
        <f t="shared" si="80"/>
        <v>#DIV/0!</v>
      </c>
      <c r="BU74" s="66" t="e">
        <f t="shared" si="80"/>
        <v>#DIV/0!</v>
      </c>
      <c r="BV74" s="66" t="e">
        <f t="shared" si="80"/>
        <v>#DIV/0!</v>
      </c>
      <c r="BW74" s="66" t="e">
        <f t="shared" si="80"/>
        <v>#DIV/0!</v>
      </c>
      <c r="BX74" s="66" t="e">
        <f t="shared" si="80"/>
        <v>#DIV/0!</v>
      </c>
      <c r="BY74" s="66" t="e">
        <f t="shared" si="80"/>
        <v>#DIV/0!</v>
      </c>
      <c r="BZ74" s="66" t="e">
        <f t="shared" si="80"/>
        <v>#DIV/0!</v>
      </c>
      <c r="CA74" s="66" t="e">
        <f t="shared" si="80"/>
        <v>#DIV/0!</v>
      </c>
      <c r="CB74" s="66" t="e">
        <f t="shared" si="80"/>
        <v>#DIV/0!</v>
      </c>
      <c r="CC74" s="66" t="e">
        <f t="shared" si="80"/>
        <v>#DIV/0!</v>
      </c>
      <c r="CD74" s="66" t="e">
        <f t="shared" si="80"/>
        <v>#DIV/0!</v>
      </c>
      <c r="CE74" s="66" t="e">
        <f t="shared" si="80"/>
        <v>#DIV/0!</v>
      </c>
      <c r="CF74" s="66" t="e">
        <f t="shared" si="80"/>
        <v>#DIV/0!</v>
      </c>
      <c r="CG74" s="66" t="e">
        <f t="shared" si="80"/>
        <v>#DIV/0!</v>
      </c>
      <c r="CH74" s="66" t="e">
        <f t="shared" si="80"/>
        <v>#DIV/0!</v>
      </c>
      <c r="CI74" s="66" t="e">
        <f t="shared" si="80"/>
        <v>#DIV/0!</v>
      </c>
      <c r="CJ74" s="66" t="e">
        <f t="shared" si="80"/>
        <v>#DIV/0!</v>
      </c>
      <c r="CK74" s="66" t="e">
        <f t="shared" si="80"/>
        <v>#DIV/0!</v>
      </c>
      <c r="CL74" s="66" t="e">
        <f t="shared" si="80"/>
        <v>#DIV/0!</v>
      </c>
      <c r="CM74" s="66" t="e">
        <f t="shared" si="80"/>
        <v>#DIV/0!</v>
      </c>
      <c r="CN74" s="66" t="e">
        <f t="shared" si="80"/>
        <v>#DIV/0!</v>
      </c>
      <c r="CO74" s="66" t="e">
        <f t="shared" si="80"/>
        <v>#DIV/0!</v>
      </c>
      <c r="CP74" s="66" t="e">
        <f t="shared" si="80"/>
        <v>#DIV/0!</v>
      </c>
      <c r="CQ74" s="66" t="e">
        <f t="shared" si="80"/>
        <v>#DIV/0!</v>
      </c>
      <c r="CR74" s="66" t="e">
        <f t="shared" si="80"/>
        <v>#DIV/0!</v>
      </c>
      <c r="CS74" s="66" t="e">
        <f t="shared" si="80"/>
        <v>#DIV/0!</v>
      </c>
      <c r="CT74" s="66" t="e">
        <f t="shared" si="80"/>
        <v>#DIV/0!</v>
      </c>
      <c r="CU74" s="66" t="e">
        <f t="shared" si="80"/>
        <v>#DIV/0!</v>
      </c>
      <c r="CV74" s="66" t="e">
        <f t="shared" si="80"/>
        <v>#DIV/0!</v>
      </c>
      <c r="CW74" s="69"/>
    </row>
    <row r="75" spans="1:101" ht="14.25" customHeight="1">
      <c r="A75" s="103"/>
      <c r="E75" s="83"/>
      <c r="I75" s="83"/>
      <c r="J75" s="213" t="e">
        <f t="array" ref="J75">_xlfn.STDEV.P(IF($E$5:$E$27=$E74,J$5:J$27))</f>
        <v>#DIV/0!</v>
      </c>
      <c r="K75" s="65" t="s">
        <v>11</v>
      </c>
      <c r="L75" s="74" t="e">
        <f t="array" ref="L75">_xlfn.STDEV.P(IF($E$5:$E$27=$E74,L$5:L$27))</f>
        <v>#DIV/0!</v>
      </c>
      <c r="M75" s="74" t="e">
        <f t="array" ref="M75">_xlfn.STDEV.P(IF($E$5:$E$27=$E74,M$5:M$27))</f>
        <v>#DIV/0!</v>
      </c>
      <c r="N75" s="74" t="e">
        <f t="array" ref="N75">_xlfn.STDEV.P(IF($E$5:$E$27=$E74,N$5:N$27))</f>
        <v>#DIV/0!</v>
      </c>
      <c r="O75" s="74" t="e">
        <f t="array" ref="O75">_xlfn.STDEV.P(IF($E$5:$E$27=$E74,O$5:O$27))</f>
        <v>#DIV/0!</v>
      </c>
      <c r="P75" s="74" t="e">
        <f t="array" ref="P75">_xlfn.STDEV.P(IF($E$5:$E$27=$E74,P$5:P$27))</f>
        <v>#DIV/0!</v>
      </c>
      <c r="Q75" s="74" t="e">
        <f t="array" ref="Q75">_xlfn.STDEV.P(IF($E$5:$E$27=$E74,Q$5:Q$27))</f>
        <v>#DIV/0!</v>
      </c>
      <c r="R75" s="74" t="e">
        <f t="array" ref="R75">_xlfn.STDEV.P(IF($E$5:$E$27=$E74,R$5:R$27))</f>
        <v>#DIV/0!</v>
      </c>
      <c r="S75" s="74" t="e">
        <f t="array" ref="S75">_xlfn.STDEV.P(IF($E$5:$E$27=$E74,S$5:S$27))</f>
        <v>#DIV/0!</v>
      </c>
      <c r="T75" s="74" t="e">
        <f t="array" ref="T75">_xlfn.STDEV.P(IF($E$5:$E$27=$E74,T$5:T$27))</f>
        <v>#DIV/0!</v>
      </c>
      <c r="U75" s="74" t="e">
        <f t="array" ref="U75">_xlfn.STDEV.P(IF($E$5:$E$27=$E74,U$5:U$27))</f>
        <v>#DIV/0!</v>
      </c>
      <c r="V75" s="74" t="e">
        <f t="array" ref="V75">_xlfn.STDEV.P(IF($E$5:$E$27=$E74,V$5:V$27))</f>
        <v>#DIV/0!</v>
      </c>
      <c r="W75" s="74" t="e">
        <f t="array" ref="W75">_xlfn.STDEV.P(IF($E$5:$E$27=$E74,W$5:W$27))</f>
        <v>#DIV/0!</v>
      </c>
      <c r="X75" s="74" t="e">
        <f t="array" ref="X75">_xlfn.STDEV.P(IF($E$5:$E$27=$E74,X$5:X$27))</f>
        <v>#DIV/0!</v>
      </c>
      <c r="Y75" s="74" t="e">
        <f t="array" ref="Y75">_xlfn.STDEV.P(IF($E$5:$E$27=$E74,Y$5:Y$27))</f>
        <v>#DIV/0!</v>
      </c>
      <c r="Z75" s="74" t="e">
        <f t="array" ref="Z75">_xlfn.STDEV.P(IF($E$5:$E$27=$E74,Z$5:Z$27))</f>
        <v>#DIV/0!</v>
      </c>
      <c r="AA75" s="74" t="e">
        <f t="array" ref="AA75">_xlfn.STDEV.P(IF($E$5:$E$27=$E74,AA$5:AA$27))</f>
        <v>#DIV/0!</v>
      </c>
      <c r="AB75" s="74" t="e">
        <f t="array" ref="AB75">_xlfn.STDEV.P(IF($E$5:$E$27=$E74,AB$5:AB$27))</f>
        <v>#DIV/0!</v>
      </c>
      <c r="AC75" s="74" t="e">
        <f t="array" ref="AC75">_xlfn.STDEV.P(IF($E$5:$E$27=$E74,AC$5:AC$27))</f>
        <v>#DIV/0!</v>
      </c>
      <c r="AD75" s="74" t="e">
        <f t="array" ref="AD75">_xlfn.STDEV.P(IF($E$5:$E$27=$E74,AD$5:AD$27))</f>
        <v>#DIV/0!</v>
      </c>
      <c r="AE75" s="74" t="e">
        <f t="array" ref="AE75">_xlfn.STDEV.P(IF($E$5:$E$27=$E74,AE$5:AE$27))</f>
        <v>#DIV/0!</v>
      </c>
      <c r="AF75" s="74" t="e">
        <f t="array" ref="AF75">_xlfn.STDEV.P(IF($E$5:$E$27=$E74,AF$5:AF$27))</f>
        <v>#DIV/0!</v>
      </c>
      <c r="AG75" s="74" t="e">
        <f t="array" ref="AG75">_xlfn.STDEV.P(IF($E$5:$E$27=$E74,AG$5:AG$27))</f>
        <v>#DIV/0!</v>
      </c>
      <c r="AH75" s="74" t="e">
        <f t="array" ref="AH75">_xlfn.STDEV.P(IF($E$5:$E$27=$E74,AH$5:AH$27))</f>
        <v>#DIV/0!</v>
      </c>
      <c r="AI75" s="74" t="e">
        <f t="array" ref="AI75">_xlfn.STDEV.P(IF($E$5:$E$27=$E74,AI$5:AI$27))</f>
        <v>#DIV/0!</v>
      </c>
      <c r="AJ75" s="74" t="e">
        <f t="array" ref="AJ75">_xlfn.STDEV.P(IF($E$5:$E$27=$E74,AJ$5:AJ$27))</f>
        <v>#DIV/0!</v>
      </c>
      <c r="AK75" s="74" t="e">
        <f t="array" ref="AK75">_xlfn.STDEV.P(IF($E$5:$E$27=$E74,AK$5:AK$27))</f>
        <v>#DIV/0!</v>
      </c>
      <c r="AL75" s="74" t="e">
        <f t="array" ref="AL75">_xlfn.STDEV.P(IF($E$5:$E$27=$E74,AL$5:AL$27))</f>
        <v>#DIV/0!</v>
      </c>
      <c r="AM75" s="74" t="e">
        <f t="array" ref="AM75">_xlfn.STDEV.P(IF($E$5:$E$27=$E74,AM$5:AM$27))</f>
        <v>#DIV/0!</v>
      </c>
      <c r="AN75" s="74" t="e">
        <f t="array" ref="AN75">_xlfn.STDEV.P(IF($E$5:$E$27=$E74,AN$5:AN$27))</f>
        <v>#DIV/0!</v>
      </c>
      <c r="AO75" s="74" t="e">
        <f t="array" ref="AO75">_xlfn.STDEV.P(IF($E$5:$E$27=$E74,AO$5:AO$27))</f>
        <v>#DIV/0!</v>
      </c>
      <c r="AP75" s="74" t="e">
        <f t="array" ref="AP75">_xlfn.STDEV.P(IF($E$5:$E$27=$E74,AP$5:AP$27))</f>
        <v>#DIV/0!</v>
      </c>
      <c r="AQ75" s="74" t="e">
        <f t="array" ref="AQ75">_xlfn.STDEV.P(IF($E$5:$E$27=$E74,AQ$5:AQ$27))</f>
        <v>#DIV/0!</v>
      </c>
      <c r="AR75" s="74" t="e">
        <f t="array" ref="AR75">_xlfn.STDEV.P(IF($E$5:$E$27=$E74,AR$5:AR$27))</f>
        <v>#DIV/0!</v>
      </c>
      <c r="AS75" s="74" t="e">
        <f t="array" ref="AS75">_xlfn.STDEV.P(IF($E$5:$E$27=$E74,AS$5:AS$27))</f>
        <v>#DIV/0!</v>
      </c>
      <c r="AT75" s="74" t="e">
        <f t="array" ref="AT75">_xlfn.STDEV.P(IF($E$5:$E$27=$E74,AT$5:AT$27))</f>
        <v>#DIV/0!</v>
      </c>
      <c r="AU75" s="74" t="e">
        <f t="array" ref="AU75">_xlfn.STDEV.P(IF($E$5:$E$27=$E74,AU$5:AU$27))</f>
        <v>#DIV/0!</v>
      </c>
      <c r="AV75" s="74" t="e">
        <f t="array" ref="AV75">_xlfn.STDEV.P(IF($E$5:$E$27=$E74,AV$5:AV$27))</f>
        <v>#DIV/0!</v>
      </c>
      <c r="AW75" s="74" t="e">
        <f t="array" ref="AW75">_xlfn.STDEV.P(IF($E$5:$E$27=$E74,AW$5:AW$27))</f>
        <v>#DIV/0!</v>
      </c>
      <c r="AX75" s="74" t="e">
        <f t="array" ref="AX75">_xlfn.STDEV.P(IF($E$5:$E$27=$E74,AX$5:AX$27))</f>
        <v>#DIV/0!</v>
      </c>
      <c r="AY75" s="74" t="e">
        <f t="array" ref="AY75">_xlfn.STDEV.P(IF($E$5:$E$27=$E74,AY$5:AY$27))</f>
        <v>#DIV/0!</v>
      </c>
      <c r="AZ75" s="74" t="e">
        <f t="array" ref="AZ75">_xlfn.STDEV.P(IF($E$5:$E$27=$E74,AZ$5:AZ$27))</f>
        <v>#DIV/0!</v>
      </c>
      <c r="BA75" s="74" t="e">
        <f t="array" ref="BA75">_xlfn.STDEV.P(IF($E$5:$E$27=$E74,BA$5:BA$27))</f>
        <v>#DIV/0!</v>
      </c>
      <c r="BB75" s="74" t="e">
        <f t="array" ref="BB75">_xlfn.STDEV.P(IF($E$5:$E$27=$E74,BB$5:BB$27))</f>
        <v>#DIV/0!</v>
      </c>
      <c r="BC75" s="74" t="e">
        <f t="array" ref="BC75">_xlfn.STDEV.P(IF($E$5:$E$27=$E74,BC$5:BC$27))</f>
        <v>#DIV/0!</v>
      </c>
      <c r="BD75" s="94" t="s">
        <v>11</v>
      </c>
      <c r="BE75" s="67" t="e">
        <f t="array" ref="BE75">_xlfn.STDEV.P(IF($E$5:$E$27=$E74,BE$5:BE$27))</f>
        <v>#DIV/0!</v>
      </c>
      <c r="BF75" s="67" t="e">
        <f t="array" ref="BF75">_xlfn.STDEV.P(IF($E$5:$E$27=$E74,BF$5:BF$27))</f>
        <v>#DIV/0!</v>
      </c>
      <c r="BG75" s="67" t="e">
        <f t="array" ref="BG75">_xlfn.STDEV.P(IF($E$5:$E$27=$E74,BG$5:BG$27))</f>
        <v>#DIV/0!</v>
      </c>
      <c r="BH75" s="67" t="e">
        <f t="array" ref="BH75">_xlfn.STDEV.P(IF($E$5:$E$27=$E74,BH$5:BH$27))</f>
        <v>#DIV/0!</v>
      </c>
      <c r="BI75" s="67" t="e">
        <f t="array" ref="BI75">_xlfn.STDEV.P(IF($E$5:$E$27=$E74,BI$5:BI$27))</f>
        <v>#DIV/0!</v>
      </c>
      <c r="BJ75" s="67" t="e">
        <f t="array" ref="BJ75">_xlfn.STDEV.P(IF($E$5:$E$27=$E74,BJ$5:BJ$27))</f>
        <v>#DIV/0!</v>
      </c>
      <c r="BK75" s="67" t="e">
        <f t="array" ref="BK75">_xlfn.STDEV.P(IF($E$5:$E$27=$E74,BK$5:BK$27))</f>
        <v>#DIV/0!</v>
      </c>
      <c r="BL75" s="67" t="e">
        <f t="array" ref="BL75">_xlfn.STDEV.P(IF($E$5:$E$27=$E74,BL$5:BL$27))</f>
        <v>#DIV/0!</v>
      </c>
      <c r="BM75" s="67" t="e">
        <f t="array" ref="BM75">_xlfn.STDEV.P(IF($E$5:$E$27=$E74,BM$5:BM$27))</f>
        <v>#DIV/0!</v>
      </c>
      <c r="BN75" s="67" t="e">
        <f t="array" ref="BN75">_xlfn.STDEV.P(IF($E$5:$E$27=$E74,BN$5:BN$27))</f>
        <v>#DIV/0!</v>
      </c>
      <c r="BO75" s="67" t="e">
        <f t="array" ref="BO75">_xlfn.STDEV.P(IF($E$5:$E$27=$E74,BO$5:BO$27))</f>
        <v>#DIV/0!</v>
      </c>
      <c r="BP75" s="67" t="e">
        <f t="array" ref="BP75">_xlfn.STDEV.P(IF($E$5:$E$27=$E74,BP$5:BP$27))</f>
        <v>#DIV/0!</v>
      </c>
      <c r="BQ75" s="67" t="e">
        <f t="array" ref="BQ75">_xlfn.STDEV.P(IF($E$5:$E$27=$E74,BQ$5:BQ$27))</f>
        <v>#DIV/0!</v>
      </c>
      <c r="BR75" s="67" t="e">
        <f t="array" ref="BR75">_xlfn.STDEV.P(IF($E$5:$E$27=$E74,BR$5:BR$27))</f>
        <v>#DIV/0!</v>
      </c>
      <c r="BS75" s="67" t="e">
        <f t="array" ref="BS75">_xlfn.STDEV.P(IF($E$5:$E$27=$E74,BS$5:BS$27))</f>
        <v>#DIV/0!</v>
      </c>
      <c r="BT75" s="67" t="e">
        <f t="array" ref="BT75">_xlfn.STDEV.P(IF($E$5:$E$27=$E74,BT$5:BT$27))</f>
        <v>#DIV/0!</v>
      </c>
      <c r="BU75" s="67" t="e">
        <f t="array" ref="BU75">_xlfn.STDEV.P(IF($E$5:$E$27=$E74,BU$5:BU$27))</f>
        <v>#DIV/0!</v>
      </c>
      <c r="BV75" s="67" t="e">
        <f t="array" ref="BV75">_xlfn.STDEV.P(IF($E$5:$E$27=$E74,BV$5:BV$27))</f>
        <v>#DIV/0!</v>
      </c>
      <c r="BW75" s="67" t="e">
        <f t="array" ref="BW75">_xlfn.STDEV.P(IF($E$5:$E$27=$E74,BW$5:BW$27))</f>
        <v>#DIV/0!</v>
      </c>
      <c r="BX75" s="67" t="e">
        <f t="array" ref="BX75">_xlfn.STDEV.P(IF($E$5:$E$27=$E74,BX$5:BX$27))</f>
        <v>#DIV/0!</v>
      </c>
      <c r="BY75" s="67" t="e">
        <f t="array" ref="BY75">_xlfn.STDEV.P(IF($E$5:$E$27=$E74,BY$5:BY$27))</f>
        <v>#DIV/0!</v>
      </c>
      <c r="BZ75" s="67" t="e">
        <f t="array" ref="BZ75">_xlfn.STDEV.P(IF($E$5:$E$27=$E74,BZ$5:BZ$27))</f>
        <v>#DIV/0!</v>
      </c>
      <c r="CA75" s="67" t="e">
        <f t="array" ref="CA75">_xlfn.STDEV.P(IF($E$5:$E$27=$E74,CA$5:CA$27))</f>
        <v>#DIV/0!</v>
      </c>
      <c r="CB75" s="67" t="e">
        <f t="array" ref="CB75">_xlfn.STDEV.P(IF($E$5:$E$27=$E74,CB$5:CB$27))</f>
        <v>#DIV/0!</v>
      </c>
      <c r="CC75" s="67" t="e">
        <f t="array" ref="CC75">_xlfn.STDEV.P(IF($E$5:$E$27=$E74,CC$5:CC$27))</f>
        <v>#DIV/0!</v>
      </c>
      <c r="CD75" s="67" t="e">
        <f t="array" ref="CD75">_xlfn.STDEV.P(IF($E$5:$E$27=$E74,CD$5:CD$27))</f>
        <v>#DIV/0!</v>
      </c>
      <c r="CE75" s="67" t="e">
        <f t="array" ref="CE75">_xlfn.STDEV.P(IF($E$5:$E$27=$E74,CE$5:CE$27))</f>
        <v>#DIV/0!</v>
      </c>
      <c r="CF75" s="67" t="e">
        <f t="array" ref="CF75">_xlfn.STDEV.P(IF($E$5:$E$27=$E74,CF$5:CF$27))</f>
        <v>#DIV/0!</v>
      </c>
      <c r="CG75" s="67" t="e">
        <f t="array" ref="CG75">_xlfn.STDEV.P(IF($E$5:$E$27=$E74,CG$5:CG$27))</f>
        <v>#DIV/0!</v>
      </c>
      <c r="CH75" s="67" t="e">
        <f t="array" ref="CH75">_xlfn.STDEV.P(IF($E$5:$E$27=$E74,CH$5:CH$27))</f>
        <v>#DIV/0!</v>
      </c>
      <c r="CI75" s="67" t="e">
        <f t="array" ref="CI75">_xlfn.STDEV.P(IF($E$5:$E$27=$E74,CI$5:CI$27))</f>
        <v>#DIV/0!</v>
      </c>
      <c r="CJ75" s="67" t="e">
        <f t="array" ref="CJ75">_xlfn.STDEV.P(IF($E$5:$E$27=$E74,CJ$5:CJ$27))</f>
        <v>#DIV/0!</v>
      </c>
      <c r="CK75" s="67" t="e">
        <f t="array" ref="CK75">_xlfn.STDEV.P(IF($E$5:$E$27=$E74,CK$5:CK$27))</f>
        <v>#DIV/0!</v>
      </c>
      <c r="CL75" s="67" t="e">
        <f t="array" ref="CL75">_xlfn.STDEV.P(IF($E$5:$E$27=$E74,CL$5:CL$27))</f>
        <v>#DIV/0!</v>
      </c>
      <c r="CM75" s="67" t="e">
        <f t="array" ref="CM75">_xlfn.STDEV.P(IF($E$5:$E$27=$E74,CM$5:CM$27))</f>
        <v>#DIV/0!</v>
      </c>
      <c r="CN75" s="67" t="e">
        <f t="array" ref="CN75">_xlfn.STDEV.P(IF($E$5:$E$27=$E74,CN$5:CN$27))</f>
        <v>#DIV/0!</v>
      </c>
      <c r="CO75" s="67" t="e">
        <f t="array" ref="CO75">_xlfn.STDEV.P(IF($E$5:$E$27=$E74,CO$5:CO$27))</f>
        <v>#DIV/0!</v>
      </c>
      <c r="CP75" s="67" t="e">
        <f t="array" ref="CP75">_xlfn.STDEV.P(IF($E$5:$E$27=$E74,CP$5:CP$27))</f>
        <v>#DIV/0!</v>
      </c>
      <c r="CQ75" s="67" t="e">
        <f t="array" ref="CQ75">_xlfn.STDEV.P(IF($E$5:$E$27=$E74,CQ$5:CQ$27))</f>
        <v>#DIV/0!</v>
      </c>
      <c r="CR75" s="67" t="e">
        <f t="array" ref="CR75">_xlfn.STDEV.P(IF($E$5:$E$27=$E74,CR$5:CR$27))</f>
        <v>#DIV/0!</v>
      </c>
      <c r="CS75" s="67" t="e">
        <f t="array" ref="CS75">_xlfn.STDEV.P(IF($E$5:$E$27=$E74,CS$5:CS$27))</f>
        <v>#DIV/0!</v>
      </c>
      <c r="CT75" s="67" t="e">
        <f t="array" ref="CT75">_xlfn.STDEV.P(IF($E$5:$E$27=$E74,CT$5:CT$27))</f>
        <v>#DIV/0!</v>
      </c>
      <c r="CU75" s="67" t="e">
        <f t="array" ref="CU75">_xlfn.STDEV.P(IF($E$5:$E$27=$E74,CU$5:CU$27))</f>
        <v>#DIV/0!</v>
      </c>
      <c r="CV75" s="67" t="e">
        <f t="array" ref="CV75">_xlfn.STDEV.P(IF($E$5:$E$27=$E74,CV$5:CV$27))</f>
        <v>#DIV/0!</v>
      </c>
      <c r="CW75" s="69"/>
    </row>
    <row r="76" spans="1:101" ht="15">
      <c r="A76" s="103"/>
      <c r="E76" s="108"/>
      <c r="I76" s="45"/>
    </row>
    <row r="77" spans="1:101" ht="14.25" customHeight="1">
      <c r="A77" s="103"/>
      <c r="E77" s="108" t="str">
        <f>'NAB_PTX Groups'!C21</f>
        <v>Group 16</v>
      </c>
      <c r="I77" s="108" t="str">
        <f>E77</f>
        <v>Group 16</v>
      </c>
      <c r="J77" s="213" t="e">
        <f>AVERAGEIF($E$5:$E$27,$E77,J$5:J$27)</f>
        <v>#DIV/0!</v>
      </c>
      <c r="K77" s="65" t="s">
        <v>9</v>
      </c>
      <c r="L77" s="71" t="e">
        <f t="shared" ref="L77:BC77" si="81">AVERAGEIF($E$5:$E$27,$E77,L$5:L$27)</f>
        <v>#DIV/0!</v>
      </c>
      <c r="M77" s="71" t="e">
        <f t="shared" si="81"/>
        <v>#DIV/0!</v>
      </c>
      <c r="N77" s="71" t="e">
        <f t="shared" si="81"/>
        <v>#DIV/0!</v>
      </c>
      <c r="O77" s="71" t="e">
        <f t="shared" si="81"/>
        <v>#DIV/0!</v>
      </c>
      <c r="P77" s="71" t="e">
        <f t="shared" si="81"/>
        <v>#DIV/0!</v>
      </c>
      <c r="Q77" s="71" t="e">
        <f t="shared" si="81"/>
        <v>#DIV/0!</v>
      </c>
      <c r="R77" s="71" t="e">
        <f t="shared" si="81"/>
        <v>#DIV/0!</v>
      </c>
      <c r="S77" s="71" t="e">
        <f t="shared" si="81"/>
        <v>#DIV/0!</v>
      </c>
      <c r="T77" s="71" t="e">
        <f t="shared" si="81"/>
        <v>#DIV/0!</v>
      </c>
      <c r="U77" s="71" t="e">
        <f t="shared" si="81"/>
        <v>#DIV/0!</v>
      </c>
      <c r="V77" s="71" t="e">
        <f t="shared" si="81"/>
        <v>#DIV/0!</v>
      </c>
      <c r="W77" s="71" t="e">
        <f t="shared" si="81"/>
        <v>#DIV/0!</v>
      </c>
      <c r="X77" s="71" t="e">
        <f t="shared" si="81"/>
        <v>#DIV/0!</v>
      </c>
      <c r="Y77" s="71" t="e">
        <f t="shared" si="81"/>
        <v>#DIV/0!</v>
      </c>
      <c r="Z77" s="71" t="e">
        <f t="shared" si="81"/>
        <v>#DIV/0!</v>
      </c>
      <c r="AA77" s="71" t="e">
        <f t="shared" si="81"/>
        <v>#DIV/0!</v>
      </c>
      <c r="AB77" s="71" t="e">
        <f t="shared" si="81"/>
        <v>#DIV/0!</v>
      </c>
      <c r="AC77" s="71" t="e">
        <f t="shared" si="81"/>
        <v>#DIV/0!</v>
      </c>
      <c r="AD77" s="71" t="e">
        <f t="shared" si="81"/>
        <v>#DIV/0!</v>
      </c>
      <c r="AE77" s="71" t="e">
        <f t="shared" si="81"/>
        <v>#DIV/0!</v>
      </c>
      <c r="AF77" s="71" t="e">
        <f t="shared" si="81"/>
        <v>#DIV/0!</v>
      </c>
      <c r="AG77" s="71" t="e">
        <f t="shared" si="81"/>
        <v>#DIV/0!</v>
      </c>
      <c r="AH77" s="71" t="e">
        <f t="shared" si="81"/>
        <v>#DIV/0!</v>
      </c>
      <c r="AI77" s="71" t="e">
        <f t="shared" si="81"/>
        <v>#DIV/0!</v>
      </c>
      <c r="AJ77" s="71" t="e">
        <f t="shared" si="81"/>
        <v>#DIV/0!</v>
      </c>
      <c r="AK77" s="71" t="e">
        <f t="shared" si="81"/>
        <v>#DIV/0!</v>
      </c>
      <c r="AL77" s="71" t="e">
        <f t="shared" si="81"/>
        <v>#DIV/0!</v>
      </c>
      <c r="AM77" s="71" t="e">
        <f t="shared" si="81"/>
        <v>#DIV/0!</v>
      </c>
      <c r="AN77" s="71" t="e">
        <f t="shared" si="81"/>
        <v>#DIV/0!</v>
      </c>
      <c r="AO77" s="71" t="e">
        <f t="shared" si="81"/>
        <v>#DIV/0!</v>
      </c>
      <c r="AP77" s="71" t="e">
        <f t="shared" si="81"/>
        <v>#DIV/0!</v>
      </c>
      <c r="AQ77" s="71" t="e">
        <f t="shared" si="81"/>
        <v>#DIV/0!</v>
      </c>
      <c r="AR77" s="71" t="e">
        <f t="shared" si="81"/>
        <v>#DIV/0!</v>
      </c>
      <c r="AS77" s="71" t="e">
        <f t="shared" si="81"/>
        <v>#DIV/0!</v>
      </c>
      <c r="AT77" s="71" t="e">
        <f t="shared" si="81"/>
        <v>#DIV/0!</v>
      </c>
      <c r="AU77" s="71" t="e">
        <f t="shared" si="81"/>
        <v>#DIV/0!</v>
      </c>
      <c r="AV77" s="71" t="e">
        <f t="shared" si="81"/>
        <v>#DIV/0!</v>
      </c>
      <c r="AW77" s="71" t="e">
        <f t="shared" si="81"/>
        <v>#DIV/0!</v>
      </c>
      <c r="AX77" s="71" t="e">
        <f t="shared" si="81"/>
        <v>#DIV/0!</v>
      </c>
      <c r="AY77" s="71" t="e">
        <f t="shared" si="81"/>
        <v>#DIV/0!</v>
      </c>
      <c r="AZ77" s="71" t="e">
        <f t="shared" si="81"/>
        <v>#DIV/0!</v>
      </c>
      <c r="BA77" s="71" t="e">
        <f t="shared" si="81"/>
        <v>#DIV/0!</v>
      </c>
      <c r="BB77" s="71" t="e">
        <f t="shared" si="81"/>
        <v>#DIV/0!</v>
      </c>
      <c r="BC77" s="71" t="e">
        <f t="shared" si="81"/>
        <v>#DIV/0!</v>
      </c>
      <c r="BD77" s="93" t="s">
        <v>9</v>
      </c>
      <c r="BE77" s="66" t="e">
        <f t="shared" ref="BE77:CV77" si="82">AVERAGEIF($E$5:$E$27,$E77,BE$5:BE$27)</f>
        <v>#DIV/0!</v>
      </c>
      <c r="BF77" s="66" t="e">
        <f t="shared" si="82"/>
        <v>#DIV/0!</v>
      </c>
      <c r="BG77" s="66" t="e">
        <f t="shared" si="82"/>
        <v>#DIV/0!</v>
      </c>
      <c r="BH77" s="66" t="e">
        <f t="shared" si="82"/>
        <v>#DIV/0!</v>
      </c>
      <c r="BI77" s="66" t="e">
        <f t="shared" si="82"/>
        <v>#DIV/0!</v>
      </c>
      <c r="BJ77" s="66" t="e">
        <f t="shared" si="82"/>
        <v>#DIV/0!</v>
      </c>
      <c r="BK77" s="66" t="e">
        <f t="shared" si="82"/>
        <v>#DIV/0!</v>
      </c>
      <c r="BL77" s="66" t="e">
        <f t="shared" si="82"/>
        <v>#DIV/0!</v>
      </c>
      <c r="BM77" s="66" t="e">
        <f t="shared" si="82"/>
        <v>#DIV/0!</v>
      </c>
      <c r="BN77" s="66" t="e">
        <f t="shared" si="82"/>
        <v>#DIV/0!</v>
      </c>
      <c r="BO77" s="66" t="e">
        <f t="shared" si="82"/>
        <v>#DIV/0!</v>
      </c>
      <c r="BP77" s="66" t="e">
        <f t="shared" si="82"/>
        <v>#DIV/0!</v>
      </c>
      <c r="BQ77" s="66" t="e">
        <f t="shared" si="82"/>
        <v>#DIV/0!</v>
      </c>
      <c r="BR77" s="66" t="e">
        <f t="shared" si="82"/>
        <v>#DIV/0!</v>
      </c>
      <c r="BS77" s="66" t="e">
        <f t="shared" si="82"/>
        <v>#DIV/0!</v>
      </c>
      <c r="BT77" s="66" t="e">
        <f t="shared" si="82"/>
        <v>#DIV/0!</v>
      </c>
      <c r="BU77" s="66" t="e">
        <f t="shared" si="82"/>
        <v>#DIV/0!</v>
      </c>
      <c r="BV77" s="66" t="e">
        <f t="shared" si="82"/>
        <v>#DIV/0!</v>
      </c>
      <c r="BW77" s="66" t="e">
        <f t="shared" si="82"/>
        <v>#DIV/0!</v>
      </c>
      <c r="BX77" s="66" t="e">
        <f t="shared" si="82"/>
        <v>#DIV/0!</v>
      </c>
      <c r="BY77" s="66" t="e">
        <f t="shared" si="82"/>
        <v>#DIV/0!</v>
      </c>
      <c r="BZ77" s="66" t="e">
        <f t="shared" si="82"/>
        <v>#DIV/0!</v>
      </c>
      <c r="CA77" s="66" t="e">
        <f t="shared" si="82"/>
        <v>#DIV/0!</v>
      </c>
      <c r="CB77" s="66" t="e">
        <f t="shared" si="82"/>
        <v>#DIV/0!</v>
      </c>
      <c r="CC77" s="66" t="e">
        <f t="shared" si="82"/>
        <v>#DIV/0!</v>
      </c>
      <c r="CD77" s="66" t="e">
        <f t="shared" si="82"/>
        <v>#DIV/0!</v>
      </c>
      <c r="CE77" s="66" t="e">
        <f t="shared" si="82"/>
        <v>#DIV/0!</v>
      </c>
      <c r="CF77" s="66" t="e">
        <f t="shared" si="82"/>
        <v>#DIV/0!</v>
      </c>
      <c r="CG77" s="66" t="e">
        <f t="shared" si="82"/>
        <v>#DIV/0!</v>
      </c>
      <c r="CH77" s="66" t="e">
        <f t="shared" si="82"/>
        <v>#DIV/0!</v>
      </c>
      <c r="CI77" s="66" t="e">
        <f t="shared" si="82"/>
        <v>#DIV/0!</v>
      </c>
      <c r="CJ77" s="66" t="e">
        <f t="shared" si="82"/>
        <v>#DIV/0!</v>
      </c>
      <c r="CK77" s="66" t="e">
        <f t="shared" si="82"/>
        <v>#DIV/0!</v>
      </c>
      <c r="CL77" s="66" t="e">
        <f t="shared" si="82"/>
        <v>#DIV/0!</v>
      </c>
      <c r="CM77" s="66" t="e">
        <f t="shared" si="82"/>
        <v>#DIV/0!</v>
      </c>
      <c r="CN77" s="66" t="e">
        <f t="shared" si="82"/>
        <v>#DIV/0!</v>
      </c>
      <c r="CO77" s="66" t="e">
        <f t="shared" si="82"/>
        <v>#DIV/0!</v>
      </c>
      <c r="CP77" s="66" t="e">
        <f t="shared" si="82"/>
        <v>#DIV/0!</v>
      </c>
      <c r="CQ77" s="66" t="e">
        <f t="shared" si="82"/>
        <v>#DIV/0!</v>
      </c>
      <c r="CR77" s="66" t="e">
        <f t="shared" si="82"/>
        <v>#DIV/0!</v>
      </c>
      <c r="CS77" s="66" t="e">
        <f t="shared" si="82"/>
        <v>#DIV/0!</v>
      </c>
      <c r="CT77" s="66" t="e">
        <f t="shared" si="82"/>
        <v>#DIV/0!</v>
      </c>
      <c r="CU77" s="66" t="e">
        <f t="shared" si="82"/>
        <v>#DIV/0!</v>
      </c>
      <c r="CV77" s="66" t="e">
        <f t="shared" si="82"/>
        <v>#DIV/0!</v>
      </c>
      <c r="CW77" s="69"/>
    </row>
    <row r="78" spans="1:101" ht="14.25" customHeight="1">
      <c r="A78" s="103"/>
      <c r="E78" s="83"/>
      <c r="I78" s="83"/>
      <c r="J78" s="213" t="e">
        <f t="array" ref="J78">_xlfn.STDEV.P(IF($E$5:$E$27=$E77,J$5:J$27))</f>
        <v>#DIV/0!</v>
      </c>
      <c r="K78" s="65" t="s">
        <v>11</v>
      </c>
      <c r="L78" s="74" t="e">
        <f t="array" ref="L78">_xlfn.STDEV.P(IF($E$5:$E$27=$E77,L$5:L$27))</f>
        <v>#DIV/0!</v>
      </c>
      <c r="M78" s="74" t="e">
        <f t="array" ref="M78">_xlfn.STDEV.P(IF($E$5:$E$27=$E77,M$5:M$27))</f>
        <v>#DIV/0!</v>
      </c>
      <c r="N78" s="74" t="e">
        <f t="array" ref="N78">_xlfn.STDEV.P(IF($E$5:$E$27=$E77,N$5:N$27))</f>
        <v>#DIV/0!</v>
      </c>
      <c r="O78" s="74" t="e">
        <f t="array" ref="O78">_xlfn.STDEV.P(IF($E$5:$E$27=$E77,O$5:O$27))</f>
        <v>#DIV/0!</v>
      </c>
      <c r="P78" s="74" t="e">
        <f t="array" ref="P78">_xlfn.STDEV.P(IF($E$5:$E$27=$E77,P$5:P$27))</f>
        <v>#DIV/0!</v>
      </c>
      <c r="Q78" s="74" t="e">
        <f t="array" ref="Q78">_xlfn.STDEV.P(IF($E$5:$E$27=$E77,Q$5:Q$27))</f>
        <v>#DIV/0!</v>
      </c>
      <c r="R78" s="74" t="e">
        <f t="array" ref="R78">_xlfn.STDEV.P(IF($E$5:$E$27=$E77,R$5:R$27))</f>
        <v>#DIV/0!</v>
      </c>
      <c r="S78" s="74" t="e">
        <f t="array" ref="S78">_xlfn.STDEV.P(IF($E$5:$E$27=$E77,S$5:S$27))</f>
        <v>#DIV/0!</v>
      </c>
      <c r="T78" s="74" t="e">
        <f t="array" ref="T78">_xlfn.STDEV.P(IF($E$5:$E$27=$E77,T$5:T$27))</f>
        <v>#DIV/0!</v>
      </c>
      <c r="U78" s="74" t="e">
        <f t="array" ref="U78">_xlfn.STDEV.P(IF($E$5:$E$27=$E77,U$5:U$27))</f>
        <v>#DIV/0!</v>
      </c>
      <c r="V78" s="74" t="e">
        <f t="array" ref="V78">_xlfn.STDEV.P(IF($E$5:$E$27=$E77,V$5:V$27))</f>
        <v>#DIV/0!</v>
      </c>
      <c r="W78" s="74" t="e">
        <f t="array" ref="W78">_xlfn.STDEV.P(IF($E$5:$E$27=$E77,W$5:W$27))</f>
        <v>#DIV/0!</v>
      </c>
      <c r="X78" s="74" t="e">
        <f t="array" ref="X78">_xlfn.STDEV.P(IF($E$5:$E$27=$E77,X$5:X$27))</f>
        <v>#DIV/0!</v>
      </c>
      <c r="Y78" s="74" t="e">
        <f t="array" ref="Y78">_xlfn.STDEV.P(IF($E$5:$E$27=$E77,Y$5:Y$27))</f>
        <v>#DIV/0!</v>
      </c>
      <c r="Z78" s="74" t="e">
        <f t="array" ref="Z78">_xlfn.STDEV.P(IF($E$5:$E$27=$E77,Z$5:Z$27))</f>
        <v>#DIV/0!</v>
      </c>
      <c r="AA78" s="74" t="e">
        <f t="array" ref="AA78">_xlfn.STDEV.P(IF($E$5:$E$27=$E77,AA$5:AA$27))</f>
        <v>#DIV/0!</v>
      </c>
      <c r="AB78" s="74" t="e">
        <f t="array" ref="AB78">_xlfn.STDEV.P(IF($E$5:$E$27=$E77,AB$5:AB$27))</f>
        <v>#DIV/0!</v>
      </c>
      <c r="AC78" s="74" t="e">
        <f t="array" ref="AC78">_xlfn.STDEV.P(IF($E$5:$E$27=$E77,AC$5:AC$27))</f>
        <v>#DIV/0!</v>
      </c>
      <c r="AD78" s="74" t="e">
        <f t="array" ref="AD78">_xlfn.STDEV.P(IF($E$5:$E$27=$E77,AD$5:AD$27))</f>
        <v>#DIV/0!</v>
      </c>
      <c r="AE78" s="74" t="e">
        <f t="array" ref="AE78">_xlfn.STDEV.P(IF($E$5:$E$27=$E77,AE$5:AE$27))</f>
        <v>#DIV/0!</v>
      </c>
      <c r="AF78" s="74" t="e">
        <f t="array" ref="AF78">_xlfn.STDEV.P(IF($E$5:$E$27=$E77,AF$5:AF$27))</f>
        <v>#DIV/0!</v>
      </c>
      <c r="AG78" s="74" t="e">
        <f t="array" ref="AG78">_xlfn.STDEV.P(IF($E$5:$E$27=$E77,AG$5:AG$27))</f>
        <v>#DIV/0!</v>
      </c>
      <c r="AH78" s="74" t="e">
        <f t="array" ref="AH78">_xlfn.STDEV.P(IF($E$5:$E$27=$E77,AH$5:AH$27))</f>
        <v>#DIV/0!</v>
      </c>
      <c r="AI78" s="74" t="e">
        <f t="array" ref="AI78">_xlfn.STDEV.P(IF($E$5:$E$27=$E77,AI$5:AI$27))</f>
        <v>#DIV/0!</v>
      </c>
      <c r="AJ78" s="74" t="e">
        <f t="array" ref="AJ78">_xlfn.STDEV.P(IF($E$5:$E$27=$E77,AJ$5:AJ$27))</f>
        <v>#DIV/0!</v>
      </c>
      <c r="AK78" s="74" t="e">
        <f t="array" ref="AK78">_xlfn.STDEV.P(IF($E$5:$E$27=$E77,AK$5:AK$27))</f>
        <v>#DIV/0!</v>
      </c>
      <c r="AL78" s="74" t="e">
        <f t="array" ref="AL78">_xlfn.STDEV.P(IF($E$5:$E$27=$E77,AL$5:AL$27))</f>
        <v>#DIV/0!</v>
      </c>
      <c r="AM78" s="74" t="e">
        <f t="array" ref="AM78">_xlfn.STDEV.P(IF($E$5:$E$27=$E77,AM$5:AM$27))</f>
        <v>#DIV/0!</v>
      </c>
      <c r="AN78" s="74" t="e">
        <f t="array" ref="AN78">_xlfn.STDEV.P(IF($E$5:$E$27=$E77,AN$5:AN$27))</f>
        <v>#DIV/0!</v>
      </c>
      <c r="AO78" s="74" t="e">
        <f t="array" ref="AO78">_xlfn.STDEV.P(IF($E$5:$E$27=$E77,AO$5:AO$27))</f>
        <v>#DIV/0!</v>
      </c>
      <c r="AP78" s="74" t="e">
        <f t="array" ref="AP78">_xlfn.STDEV.P(IF($E$5:$E$27=$E77,AP$5:AP$27))</f>
        <v>#DIV/0!</v>
      </c>
      <c r="AQ78" s="74" t="e">
        <f t="array" ref="AQ78">_xlfn.STDEV.P(IF($E$5:$E$27=$E77,AQ$5:AQ$27))</f>
        <v>#DIV/0!</v>
      </c>
      <c r="AR78" s="74" t="e">
        <f t="array" ref="AR78">_xlfn.STDEV.P(IF($E$5:$E$27=$E77,AR$5:AR$27))</f>
        <v>#DIV/0!</v>
      </c>
      <c r="AS78" s="74" t="e">
        <f t="array" ref="AS78">_xlfn.STDEV.P(IF($E$5:$E$27=$E77,AS$5:AS$27))</f>
        <v>#DIV/0!</v>
      </c>
      <c r="AT78" s="74" t="e">
        <f t="array" ref="AT78">_xlfn.STDEV.P(IF($E$5:$E$27=$E77,AT$5:AT$27))</f>
        <v>#DIV/0!</v>
      </c>
      <c r="AU78" s="74" t="e">
        <f t="array" ref="AU78">_xlfn.STDEV.P(IF($E$5:$E$27=$E77,AU$5:AU$27))</f>
        <v>#DIV/0!</v>
      </c>
      <c r="AV78" s="74" t="e">
        <f t="array" ref="AV78">_xlfn.STDEV.P(IF($E$5:$E$27=$E77,AV$5:AV$27))</f>
        <v>#DIV/0!</v>
      </c>
      <c r="AW78" s="74" t="e">
        <f t="array" ref="AW78">_xlfn.STDEV.P(IF($E$5:$E$27=$E77,AW$5:AW$27))</f>
        <v>#DIV/0!</v>
      </c>
      <c r="AX78" s="74" t="e">
        <f t="array" ref="AX78">_xlfn.STDEV.P(IF($E$5:$E$27=$E77,AX$5:AX$27))</f>
        <v>#DIV/0!</v>
      </c>
      <c r="AY78" s="74" t="e">
        <f t="array" ref="AY78">_xlfn.STDEV.P(IF($E$5:$E$27=$E77,AY$5:AY$27))</f>
        <v>#DIV/0!</v>
      </c>
      <c r="AZ78" s="74" t="e">
        <f t="array" ref="AZ78">_xlfn.STDEV.P(IF($E$5:$E$27=$E77,AZ$5:AZ$27))</f>
        <v>#DIV/0!</v>
      </c>
      <c r="BA78" s="74" t="e">
        <f t="array" ref="BA78">_xlfn.STDEV.P(IF($E$5:$E$27=$E77,BA$5:BA$27))</f>
        <v>#DIV/0!</v>
      </c>
      <c r="BB78" s="74" t="e">
        <f t="array" ref="BB78">_xlfn.STDEV.P(IF($E$5:$E$27=$E77,BB$5:BB$27))</f>
        <v>#DIV/0!</v>
      </c>
      <c r="BC78" s="74" t="e">
        <f t="array" ref="BC78">_xlfn.STDEV.P(IF($E$5:$E$27=$E77,BC$5:BC$27))</f>
        <v>#DIV/0!</v>
      </c>
      <c r="BD78" s="94" t="s">
        <v>11</v>
      </c>
      <c r="BE78" s="67" t="e">
        <f t="array" ref="BE78">_xlfn.STDEV.P(IF($E$5:$E$27=$E77,BE$5:BE$27))</f>
        <v>#DIV/0!</v>
      </c>
      <c r="BF78" s="67" t="e">
        <f t="array" ref="BF78">_xlfn.STDEV.P(IF($E$5:$E$27=$E77,BF$5:BF$27))</f>
        <v>#DIV/0!</v>
      </c>
      <c r="BG78" s="67" t="e">
        <f t="array" ref="BG78">_xlfn.STDEV.P(IF($E$5:$E$27=$E77,BG$5:BG$27))</f>
        <v>#DIV/0!</v>
      </c>
      <c r="BH78" s="67" t="e">
        <f t="array" ref="BH78">_xlfn.STDEV.P(IF($E$5:$E$27=$E77,BH$5:BH$27))</f>
        <v>#DIV/0!</v>
      </c>
      <c r="BI78" s="67" t="e">
        <f t="array" ref="BI78">_xlfn.STDEV.P(IF($E$5:$E$27=$E77,BI$5:BI$27))</f>
        <v>#DIV/0!</v>
      </c>
      <c r="BJ78" s="67" t="e">
        <f t="array" ref="BJ78">_xlfn.STDEV.P(IF($E$5:$E$27=$E77,BJ$5:BJ$27))</f>
        <v>#DIV/0!</v>
      </c>
      <c r="BK78" s="67" t="e">
        <f t="array" ref="BK78">_xlfn.STDEV.P(IF($E$5:$E$27=$E77,BK$5:BK$27))</f>
        <v>#DIV/0!</v>
      </c>
      <c r="BL78" s="67" t="e">
        <f t="array" ref="BL78">_xlfn.STDEV.P(IF($E$5:$E$27=$E77,BL$5:BL$27))</f>
        <v>#DIV/0!</v>
      </c>
      <c r="BM78" s="67" t="e">
        <f t="array" ref="BM78">_xlfn.STDEV.P(IF($E$5:$E$27=$E77,BM$5:BM$27))</f>
        <v>#DIV/0!</v>
      </c>
      <c r="BN78" s="67" t="e">
        <f t="array" ref="BN78">_xlfn.STDEV.P(IF($E$5:$E$27=$E77,BN$5:BN$27))</f>
        <v>#DIV/0!</v>
      </c>
      <c r="BO78" s="67" t="e">
        <f t="array" ref="BO78">_xlfn.STDEV.P(IF($E$5:$E$27=$E77,BO$5:BO$27))</f>
        <v>#DIV/0!</v>
      </c>
      <c r="BP78" s="67" t="e">
        <f t="array" ref="BP78">_xlfn.STDEV.P(IF($E$5:$E$27=$E77,BP$5:BP$27))</f>
        <v>#DIV/0!</v>
      </c>
      <c r="BQ78" s="67" t="e">
        <f t="array" ref="BQ78">_xlfn.STDEV.P(IF($E$5:$E$27=$E77,BQ$5:BQ$27))</f>
        <v>#DIV/0!</v>
      </c>
      <c r="BR78" s="67" t="e">
        <f t="array" ref="BR78">_xlfn.STDEV.P(IF($E$5:$E$27=$E77,BR$5:BR$27))</f>
        <v>#DIV/0!</v>
      </c>
      <c r="BS78" s="67" t="e">
        <f t="array" ref="BS78">_xlfn.STDEV.P(IF($E$5:$E$27=$E77,BS$5:BS$27))</f>
        <v>#DIV/0!</v>
      </c>
      <c r="BT78" s="67" t="e">
        <f t="array" ref="BT78">_xlfn.STDEV.P(IF($E$5:$E$27=$E77,BT$5:BT$27))</f>
        <v>#DIV/0!</v>
      </c>
      <c r="BU78" s="67" t="e">
        <f t="array" ref="BU78">_xlfn.STDEV.P(IF($E$5:$E$27=$E77,BU$5:BU$27))</f>
        <v>#DIV/0!</v>
      </c>
      <c r="BV78" s="67" t="e">
        <f t="array" ref="BV78">_xlfn.STDEV.P(IF($E$5:$E$27=$E77,BV$5:BV$27))</f>
        <v>#DIV/0!</v>
      </c>
      <c r="BW78" s="67" t="e">
        <f t="array" ref="BW78">_xlfn.STDEV.P(IF($E$5:$E$27=$E77,BW$5:BW$27))</f>
        <v>#DIV/0!</v>
      </c>
      <c r="BX78" s="67" t="e">
        <f t="array" ref="BX78">_xlfn.STDEV.P(IF($E$5:$E$27=$E77,BX$5:BX$27))</f>
        <v>#DIV/0!</v>
      </c>
      <c r="BY78" s="67" t="e">
        <f t="array" ref="BY78">_xlfn.STDEV.P(IF($E$5:$E$27=$E77,BY$5:BY$27))</f>
        <v>#DIV/0!</v>
      </c>
      <c r="BZ78" s="67" t="e">
        <f t="array" ref="BZ78">_xlfn.STDEV.P(IF($E$5:$E$27=$E77,BZ$5:BZ$27))</f>
        <v>#DIV/0!</v>
      </c>
      <c r="CA78" s="67" t="e">
        <f t="array" ref="CA78">_xlfn.STDEV.P(IF($E$5:$E$27=$E77,CA$5:CA$27))</f>
        <v>#DIV/0!</v>
      </c>
      <c r="CB78" s="67" t="e">
        <f t="array" ref="CB78">_xlfn.STDEV.P(IF($E$5:$E$27=$E77,CB$5:CB$27))</f>
        <v>#DIV/0!</v>
      </c>
      <c r="CC78" s="67" t="e">
        <f t="array" ref="CC78">_xlfn.STDEV.P(IF($E$5:$E$27=$E77,CC$5:CC$27))</f>
        <v>#DIV/0!</v>
      </c>
      <c r="CD78" s="67" t="e">
        <f t="array" ref="CD78">_xlfn.STDEV.P(IF($E$5:$E$27=$E77,CD$5:CD$27))</f>
        <v>#DIV/0!</v>
      </c>
      <c r="CE78" s="67" t="e">
        <f t="array" ref="CE78">_xlfn.STDEV.P(IF($E$5:$E$27=$E77,CE$5:CE$27))</f>
        <v>#DIV/0!</v>
      </c>
      <c r="CF78" s="67" t="e">
        <f t="array" ref="CF78">_xlfn.STDEV.P(IF($E$5:$E$27=$E77,CF$5:CF$27))</f>
        <v>#DIV/0!</v>
      </c>
      <c r="CG78" s="67" t="e">
        <f t="array" ref="CG78">_xlfn.STDEV.P(IF($E$5:$E$27=$E77,CG$5:CG$27))</f>
        <v>#DIV/0!</v>
      </c>
      <c r="CH78" s="67" t="e">
        <f t="array" ref="CH78">_xlfn.STDEV.P(IF($E$5:$E$27=$E77,CH$5:CH$27))</f>
        <v>#DIV/0!</v>
      </c>
      <c r="CI78" s="67" t="e">
        <f t="array" ref="CI78">_xlfn.STDEV.P(IF($E$5:$E$27=$E77,CI$5:CI$27))</f>
        <v>#DIV/0!</v>
      </c>
      <c r="CJ78" s="67" t="e">
        <f t="array" ref="CJ78">_xlfn.STDEV.P(IF($E$5:$E$27=$E77,CJ$5:CJ$27))</f>
        <v>#DIV/0!</v>
      </c>
      <c r="CK78" s="67" t="e">
        <f t="array" ref="CK78">_xlfn.STDEV.P(IF($E$5:$E$27=$E77,CK$5:CK$27))</f>
        <v>#DIV/0!</v>
      </c>
      <c r="CL78" s="67" t="e">
        <f t="array" ref="CL78">_xlfn.STDEV.P(IF($E$5:$E$27=$E77,CL$5:CL$27))</f>
        <v>#DIV/0!</v>
      </c>
      <c r="CM78" s="67" t="e">
        <f t="array" ref="CM78">_xlfn.STDEV.P(IF($E$5:$E$27=$E77,CM$5:CM$27))</f>
        <v>#DIV/0!</v>
      </c>
      <c r="CN78" s="67" t="e">
        <f t="array" ref="CN78">_xlfn.STDEV.P(IF($E$5:$E$27=$E77,CN$5:CN$27))</f>
        <v>#DIV/0!</v>
      </c>
      <c r="CO78" s="67" t="e">
        <f t="array" ref="CO78">_xlfn.STDEV.P(IF($E$5:$E$27=$E77,CO$5:CO$27))</f>
        <v>#DIV/0!</v>
      </c>
      <c r="CP78" s="67" t="e">
        <f t="array" ref="CP78">_xlfn.STDEV.P(IF($E$5:$E$27=$E77,CP$5:CP$27))</f>
        <v>#DIV/0!</v>
      </c>
      <c r="CQ78" s="67" t="e">
        <f t="array" ref="CQ78">_xlfn.STDEV.P(IF($E$5:$E$27=$E77,CQ$5:CQ$27))</f>
        <v>#DIV/0!</v>
      </c>
      <c r="CR78" s="67" t="e">
        <f t="array" ref="CR78">_xlfn.STDEV.P(IF($E$5:$E$27=$E77,CR$5:CR$27))</f>
        <v>#DIV/0!</v>
      </c>
      <c r="CS78" s="67" t="e">
        <f t="array" ref="CS78">_xlfn.STDEV.P(IF($E$5:$E$27=$E77,CS$5:CS$27))</f>
        <v>#DIV/0!</v>
      </c>
      <c r="CT78" s="67" t="e">
        <f t="array" ref="CT78">_xlfn.STDEV.P(IF($E$5:$E$27=$E77,CT$5:CT$27))</f>
        <v>#DIV/0!</v>
      </c>
      <c r="CU78" s="67" t="e">
        <f t="array" ref="CU78">_xlfn.STDEV.P(IF($E$5:$E$27=$E77,CU$5:CU$27))</f>
        <v>#DIV/0!</v>
      </c>
      <c r="CV78" s="67" t="e">
        <f t="array" ref="CV78">_xlfn.STDEV.P(IF($E$5:$E$27=$E77,CV$5:CV$27))</f>
        <v>#DIV/0!</v>
      </c>
      <c r="CW78" s="69"/>
    </row>
  </sheetData>
  <autoFilter ref="A4:CV27" xr:uid="{00000000-0009-0000-0000-000001000000}">
    <sortState xmlns:xlrd2="http://schemas.microsoft.com/office/spreadsheetml/2017/richdata2" ref="A5:AW27">
      <sortCondition ref="B4:B27"/>
    </sortState>
  </autoFilter>
  <mergeCells count="3">
    <mergeCell ref="F2:H2"/>
    <mergeCell ref="I2:J2"/>
    <mergeCell ref="I29:I30"/>
  </mergeCells>
  <conditionalFormatting sqref="BE5:CV27">
    <cfRule type="cellIs" dxfId="5" priority="5" operator="between">
      <formula>0.85</formula>
      <formula>0.88</formula>
    </cfRule>
    <cfRule type="cellIs" dxfId="4" priority="6" operator="lessThan">
      <formula>0.85</formula>
    </cfRule>
  </conditionalFormatting>
  <dataValidations count="1">
    <dataValidation type="list" allowBlank="1" showInputMessage="1" showErrorMessage="1" sqref="E32:E1048576 E5:E27" xr:uid="{00000000-0002-0000-01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'NAB_PTX Groups'!$C$6:$C$21</xm:f>
          </x14:formula1>
          <xm:sqref>I32:I78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03"/>
  <sheetViews>
    <sheetView showGridLines="0" workbookViewId="0">
      <pane xSplit="5" ySplit="4" topLeftCell="F5" activePane="bottomRight" state="frozen"/>
      <selection activeCell="F13" sqref="F13"/>
      <selection pane="topRight" activeCell="F13" sqref="F13"/>
      <selection pane="bottomLeft" activeCell="F13" sqref="F13"/>
      <selection pane="bottomRight"/>
    </sheetView>
  </sheetViews>
  <sheetFormatPr defaultRowHeight="12.75" outlineLevelCol="1"/>
  <cols>
    <col min="1" max="1" width="9.85546875" style="47" bestFit="1" customWidth="1"/>
    <col min="2" max="2" width="9.140625" style="37"/>
    <col min="3" max="3" width="17.28515625" style="48" hidden="1" customWidth="1" outlineLevel="1"/>
    <col min="4" max="4" width="19" style="37" hidden="1" customWidth="1" outlineLevel="1"/>
    <col min="5" max="5" width="17.5703125" style="46" customWidth="1" collapsed="1"/>
    <col min="6" max="6" width="10.28515625" style="49" customWidth="1"/>
    <col min="7" max="7" width="10.7109375" style="201" customWidth="1"/>
    <col min="8" max="8" width="8.7109375" style="72" hidden="1" customWidth="1" outlineLevel="1"/>
    <col min="9" max="9" width="14.85546875" style="49" customWidth="1" collapsed="1"/>
    <col min="10" max="10" width="10.42578125" style="50" customWidth="1" outlineLevel="1"/>
    <col min="11" max="11" width="10.42578125" style="37" customWidth="1"/>
    <col min="12" max="13" width="8.5703125" style="37" customWidth="1"/>
    <col min="14" max="32" width="8.5703125" style="37" customWidth="1" outlineLevel="1"/>
    <col min="33" max="33" width="14.140625" style="38" customWidth="1"/>
    <col min="34" max="35" width="8.5703125" style="37" customWidth="1"/>
    <col min="36" max="54" width="8.5703125" style="37" customWidth="1" outlineLevel="1"/>
    <col min="55" max="16384" width="9.140625" style="46"/>
  </cols>
  <sheetData>
    <row r="1" spans="1:55" s="5" customFormat="1" ht="28.5">
      <c r="A1" s="4" t="s">
        <v>79</v>
      </c>
      <c r="C1" s="6"/>
      <c r="D1" s="7"/>
      <c r="F1" s="8"/>
      <c r="G1" s="196"/>
      <c r="H1" s="202"/>
      <c r="I1" s="8"/>
      <c r="J1" s="9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1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5" s="43" customFormat="1" ht="15.75" customHeight="1">
      <c r="A2" s="112" t="s">
        <v>31</v>
      </c>
      <c r="B2" s="12"/>
      <c r="C2" s="13"/>
      <c r="D2" s="12"/>
      <c r="E2" s="14"/>
      <c r="F2" s="351" t="s">
        <v>12</v>
      </c>
      <c r="G2" s="352"/>
      <c r="H2" s="352"/>
      <c r="I2" s="351" t="s">
        <v>0</v>
      </c>
      <c r="J2" s="352"/>
      <c r="K2" s="15"/>
      <c r="L2" s="112" t="s">
        <v>33</v>
      </c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6"/>
      <c r="AG2" s="41"/>
      <c r="AH2" s="112" t="s">
        <v>54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6"/>
      <c r="BC2" s="42"/>
    </row>
    <row r="3" spans="1:55" s="57" customFormat="1" ht="15.75">
      <c r="A3" s="52"/>
      <c r="B3" s="53"/>
      <c r="C3" s="54"/>
      <c r="D3" s="53"/>
      <c r="E3" s="55"/>
      <c r="F3" s="194"/>
      <c r="G3" s="195"/>
      <c r="H3" s="195"/>
      <c r="I3" s="214"/>
      <c r="J3" s="207"/>
      <c r="K3" s="178" t="s">
        <v>13</v>
      </c>
      <c r="L3" s="87">
        <v>42861</v>
      </c>
      <c r="M3" s="87">
        <v>42862</v>
      </c>
      <c r="N3" s="87">
        <v>42863</v>
      </c>
      <c r="O3" s="87">
        <v>42865</v>
      </c>
      <c r="P3" s="87">
        <v>42868</v>
      </c>
      <c r="Q3" s="87">
        <v>42870</v>
      </c>
      <c r="R3" s="87">
        <v>42872</v>
      </c>
      <c r="S3" s="87">
        <v>42877</v>
      </c>
      <c r="T3" s="87">
        <v>42879</v>
      </c>
      <c r="U3" s="87">
        <v>42881</v>
      </c>
      <c r="V3" s="87">
        <v>42884</v>
      </c>
      <c r="W3" s="87">
        <v>42888</v>
      </c>
      <c r="X3" s="87"/>
      <c r="Y3" s="87"/>
      <c r="Z3" s="87"/>
      <c r="AA3" s="87"/>
      <c r="AB3" s="87"/>
      <c r="AC3" s="87"/>
      <c r="AD3" s="87"/>
      <c r="AE3" s="87"/>
      <c r="AF3" s="87"/>
      <c r="AG3" s="178" t="s">
        <v>58</v>
      </c>
      <c r="AH3" s="87">
        <f>IF(ISBLANK(L3)=TRUE,"",L3)</f>
        <v>42861</v>
      </c>
      <c r="AI3" s="87">
        <f t="shared" ref="AI3:AX4" si="0">IF(ISBLANK(M3)=TRUE,"",M3)</f>
        <v>42862</v>
      </c>
      <c r="AJ3" s="87">
        <f t="shared" si="0"/>
        <v>42863</v>
      </c>
      <c r="AK3" s="87">
        <f t="shared" si="0"/>
        <v>42865</v>
      </c>
      <c r="AL3" s="87">
        <f t="shared" si="0"/>
        <v>42868</v>
      </c>
      <c r="AM3" s="87">
        <f t="shared" si="0"/>
        <v>42870</v>
      </c>
      <c r="AN3" s="87">
        <f t="shared" si="0"/>
        <v>42872</v>
      </c>
      <c r="AO3" s="87">
        <f t="shared" si="0"/>
        <v>42877</v>
      </c>
      <c r="AP3" s="87">
        <f t="shared" si="0"/>
        <v>42879</v>
      </c>
      <c r="AQ3" s="87">
        <f t="shared" si="0"/>
        <v>42881</v>
      </c>
      <c r="AR3" s="87">
        <f t="shared" si="0"/>
        <v>42884</v>
      </c>
      <c r="AS3" s="87">
        <f t="shared" si="0"/>
        <v>42888</v>
      </c>
      <c r="AT3" s="87" t="str">
        <f t="shared" si="0"/>
        <v/>
      </c>
      <c r="AU3" s="87" t="str">
        <f t="shared" si="0"/>
        <v/>
      </c>
      <c r="AV3" s="87" t="str">
        <f t="shared" si="0"/>
        <v/>
      </c>
      <c r="AW3" s="87" t="str">
        <f t="shared" si="0"/>
        <v/>
      </c>
      <c r="AX3" s="87" t="str">
        <f t="shared" si="0"/>
        <v/>
      </c>
      <c r="AY3" s="87" t="str">
        <f t="shared" ref="AY3:BB4" si="1">IF(ISBLANK(AC3)=TRUE,"",AC3)</f>
        <v/>
      </c>
      <c r="AZ3" s="87" t="str">
        <f t="shared" si="1"/>
        <v/>
      </c>
      <c r="BA3" s="87" t="str">
        <f t="shared" si="1"/>
        <v/>
      </c>
      <c r="BB3" s="87" t="str">
        <f t="shared" si="1"/>
        <v/>
      </c>
      <c r="BC3" s="56"/>
    </row>
    <row r="4" spans="1:55" s="45" customFormat="1" ht="15.75" customHeight="1">
      <c r="A4" s="16" t="s">
        <v>5</v>
      </c>
      <c r="B4" s="17" t="s">
        <v>6</v>
      </c>
      <c r="C4" s="18" t="s">
        <v>7</v>
      </c>
      <c r="D4" s="16" t="s">
        <v>14</v>
      </c>
      <c r="E4" s="19" t="s">
        <v>10</v>
      </c>
      <c r="F4" s="20" t="s">
        <v>1</v>
      </c>
      <c r="G4" s="211" t="s">
        <v>67</v>
      </c>
      <c r="H4" s="212" t="s">
        <v>2</v>
      </c>
      <c r="I4" s="20" t="s">
        <v>1</v>
      </c>
      <c r="J4" s="21" t="s">
        <v>32</v>
      </c>
      <c r="K4" s="190" t="s">
        <v>8</v>
      </c>
      <c r="L4" s="173">
        <f t="shared" ref="L4:AF4" si="2">IF(ISBLANK(L3)=TRUE,"",L3-$I$5)</f>
        <v>0</v>
      </c>
      <c r="M4" s="173">
        <f t="shared" si="2"/>
        <v>1</v>
      </c>
      <c r="N4" s="173">
        <f t="shared" si="2"/>
        <v>2</v>
      </c>
      <c r="O4" s="173">
        <f t="shared" si="2"/>
        <v>4</v>
      </c>
      <c r="P4" s="173">
        <f t="shared" si="2"/>
        <v>7</v>
      </c>
      <c r="Q4" s="173">
        <f t="shared" si="2"/>
        <v>9</v>
      </c>
      <c r="R4" s="173">
        <f t="shared" si="2"/>
        <v>11</v>
      </c>
      <c r="S4" s="173">
        <f t="shared" si="2"/>
        <v>16</v>
      </c>
      <c r="T4" s="173">
        <f t="shared" si="2"/>
        <v>18</v>
      </c>
      <c r="U4" s="173">
        <f t="shared" si="2"/>
        <v>20</v>
      </c>
      <c r="V4" s="173">
        <f t="shared" si="2"/>
        <v>23</v>
      </c>
      <c r="W4" s="173">
        <f t="shared" si="2"/>
        <v>27</v>
      </c>
      <c r="X4" s="173" t="str">
        <f t="shared" si="2"/>
        <v/>
      </c>
      <c r="Y4" s="173" t="str">
        <f t="shared" si="2"/>
        <v/>
      </c>
      <c r="Z4" s="173" t="str">
        <f t="shared" si="2"/>
        <v/>
      </c>
      <c r="AA4" s="173" t="str">
        <f t="shared" si="2"/>
        <v/>
      </c>
      <c r="AB4" s="173" t="str">
        <f t="shared" si="2"/>
        <v/>
      </c>
      <c r="AC4" s="173" t="str">
        <f t="shared" si="2"/>
        <v/>
      </c>
      <c r="AD4" s="173" t="str">
        <f t="shared" si="2"/>
        <v/>
      </c>
      <c r="AE4" s="173" t="str">
        <f t="shared" si="2"/>
        <v/>
      </c>
      <c r="AF4" s="173" t="str">
        <f t="shared" si="2"/>
        <v/>
      </c>
      <c r="AG4" s="190" t="s">
        <v>57</v>
      </c>
      <c r="AH4" s="173">
        <f>IF(ISBLANK(L4)=TRUE,"",L4)</f>
        <v>0</v>
      </c>
      <c r="AI4" s="173">
        <f t="shared" si="0"/>
        <v>1</v>
      </c>
      <c r="AJ4" s="173">
        <f t="shared" si="0"/>
        <v>2</v>
      </c>
      <c r="AK4" s="173">
        <f t="shared" si="0"/>
        <v>4</v>
      </c>
      <c r="AL4" s="173">
        <f t="shared" si="0"/>
        <v>7</v>
      </c>
      <c r="AM4" s="173">
        <f t="shared" si="0"/>
        <v>9</v>
      </c>
      <c r="AN4" s="173">
        <f t="shared" si="0"/>
        <v>11</v>
      </c>
      <c r="AO4" s="173">
        <f t="shared" si="0"/>
        <v>16</v>
      </c>
      <c r="AP4" s="173">
        <f t="shared" si="0"/>
        <v>18</v>
      </c>
      <c r="AQ4" s="173">
        <f t="shared" si="0"/>
        <v>20</v>
      </c>
      <c r="AR4" s="173">
        <f t="shared" si="0"/>
        <v>23</v>
      </c>
      <c r="AS4" s="173">
        <f t="shared" si="0"/>
        <v>27</v>
      </c>
      <c r="AT4" s="173" t="str">
        <f t="shared" si="0"/>
        <v/>
      </c>
      <c r="AU4" s="173" t="str">
        <f t="shared" si="0"/>
        <v/>
      </c>
      <c r="AV4" s="173" t="str">
        <f t="shared" si="0"/>
        <v/>
      </c>
      <c r="AW4" s="173" t="str">
        <f t="shared" si="0"/>
        <v/>
      </c>
      <c r="AX4" s="173" t="str">
        <f t="shared" si="0"/>
        <v/>
      </c>
      <c r="AY4" s="173" t="str">
        <f t="shared" si="1"/>
        <v/>
      </c>
      <c r="AZ4" s="173" t="str">
        <f t="shared" si="1"/>
        <v/>
      </c>
      <c r="BA4" s="173" t="str">
        <f t="shared" si="1"/>
        <v/>
      </c>
      <c r="BB4" s="173" t="str">
        <f t="shared" si="1"/>
        <v/>
      </c>
      <c r="BC4" s="44"/>
    </row>
    <row r="5" spans="1:55">
      <c r="A5" s="23">
        <v>1066028</v>
      </c>
      <c r="B5" s="24">
        <v>11</v>
      </c>
      <c r="C5" s="25"/>
      <c r="D5" s="24"/>
      <c r="E5" s="26" t="s">
        <v>64</v>
      </c>
      <c r="F5" s="27">
        <v>42850</v>
      </c>
      <c r="G5" s="198" t="s">
        <v>66</v>
      </c>
      <c r="H5" s="71">
        <v>32.6</v>
      </c>
      <c r="I5" s="27">
        <v>42861</v>
      </c>
      <c r="J5" s="28">
        <v>0</v>
      </c>
      <c r="K5" s="30"/>
      <c r="L5" s="71">
        <v>0</v>
      </c>
      <c r="M5" s="71">
        <v>0</v>
      </c>
      <c r="N5" s="71">
        <v>0</v>
      </c>
      <c r="O5" s="71">
        <v>0</v>
      </c>
      <c r="P5" s="71">
        <v>0</v>
      </c>
      <c r="Q5" s="71">
        <v>0</v>
      </c>
      <c r="R5" s="71">
        <v>0</v>
      </c>
      <c r="S5" s="71">
        <v>0</v>
      </c>
      <c r="T5" s="71">
        <v>0</v>
      </c>
      <c r="U5" s="71">
        <v>0</v>
      </c>
      <c r="V5" s="71">
        <v>0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31"/>
      <c r="AH5" s="70" t="str">
        <f t="shared" ref="AH5:AH27" si="3">IF(OR(ISERROR(L5/$J5)=TRUE,ISBLANK(L5)=TRUE),"",L5/$J5)</f>
        <v/>
      </c>
      <c r="AI5" s="70" t="str">
        <f t="shared" ref="AI5:AI27" si="4">IF(OR(ISERROR(M5/$J5)=TRUE,ISBLANK(M5)=TRUE),"",M5/$J5)</f>
        <v/>
      </c>
      <c r="AJ5" s="70" t="str">
        <f t="shared" ref="AJ5:AJ27" si="5">IF(OR(ISERROR(N5/$J5)=TRUE,ISBLANK(N5)=TRUE),"",N5/$J5)</f>
        <v/>
      </c>
      <c r="AK5" s="70" t="str">
        <f t="shared" ref="AK5:AK27" si="6">IF(OR(ISERROR(O5/$J5)=TRUE,ISBLANK(O5)=TRUE),"",O5/$J5)</f>
        <v/>
      </c>
      <c r="AL5" s="70" t="str">
        <f t="shared" ref="AL5:AL27" si="7">IF(OR(ISERROR(P5/$J5)=TRUE,ISBLANK(P5)=TRUE),"",P5/$J5)</f>
        <v/>
      </c>
      <c r="AM5" s="70" t="str">
        <f t="shared" ref="AM5:AM27" si="8">IF(OR(ISERROR(Q5/$J5)=TRUE,ISBLANK(Q5)=TRUE),"",Q5/$J5)</f>
        <v/>
      </c>
      <c r="AN5" s="70" t="str">
        <f t="shared" ref="AN5:AN27" si="9">IF(OR(ISERROR(R5/$J5)=TRUE,ISBLANK(R5)=TRUE),"",R5/$J5)</f>
        <v/>
      </c>
      <c r="AO5" s="70" t="str">
        <f t="shared" ref="AO5:AO27" si="10">IF(OR(ISERROR(S5/$J5)=TRUE,ISBLANK(S5)=TRUE),"",S5/$J5)</f>
        <v/>
      </c>
      <c r="AP5" s="70" t="str">
        <f t="shared" ref="AP5:AP27" si="11">IF(OR(ISERROR(T5/$J5)=TRUE,ISBLANK(T5)=TRUE),"",T5/$J5)</f>
        <v/>
      </c>
      <c r="AQ5" s="70" t="str">
        <f t="shared" ref="AQ5:AQ27" si="12">IF(OR(ISERROR(U5/$J5)=TRUE,ISBLANK(U5)=TRUE),"",U5/$J5)</f>
        <v/>
      </c>
      <c r="AR5" s="70" t="str">
        <f t="shared" ref="AR5:AR27" si="13">IF(OR(ISERROR(V5/$J5)=TRUE,ISBLANK(V5)=TRUE),"",V5/$J5)</f>
        <v/>
      </c>
      <c r="AS5" s="70" t="str">
        <f t="shared" ref="AS5:AS27" si="14">IF(OR(ISERROR(W5/$J5)=TRUE,ISBLANK(W5)=TRUE),"",W5/$J5)</f>
        <v/>
      </c>
      <c r="AT5" s="70" t="str">
        <f t="shared" ref="AT5:AT27" si="15">IF(OR(ISERROR(X5/$J5)=TRUE,ISBLANK(X5)=TRUE),"",X5/$J5)</f>
        <v/>
      </c>
      <c r="AU5" s="70" t="str">
        <f t="shared" ref="AU5:AU27" si="16">IF(OR(ISERROR(Y5/$J5)=TRUE,ISBLANK(Y5)=TRUE),"",Y5/$J5)</f>
        <v/>
      </c>
      <c r="AV5" s="70" t="str">
        <f t="shared" ref="AV5:AV27" si="17">IF(OR(ISERROR(Z5/$J5)=TRUE,ISBLANK(Z5)=TRUE),"",Z5/$J5)</f>
        <v/>
      </c>
      <c r="AW5" s="70" t="str">
        <f t="shared" ref="AW5:AW27" si="18">IF(OR(ISERROR(AA5/$J5)=TRUE,ISBLANK(AA5)=TRUE),"",AA5/$J5)</f>
        <v/>
      </c>
      <c r="AX5" s="70" t="str">
        <f t="shared" ref="AX5:AX27" si="19">IF(OR(ISERROR(AB5/$J5)=TRUE,ISBLANK(AB5)=TRUE),"",AB5/$J5)</f>
        <v/>
      </c>
      <c r="AY5" s="70"/>
      <c r="AZ5" s="70"/>
      <c r="BA5" s="70" t="str">
        <f>IF(OR(ISERROR(AC5/$J5)=TRUE,ISBLANK(AC5)=TRUE),"",AC5/$J5)</f>
        <v/>
      </c>
      <c r="BB5" s="70" t="str">
        <f t="shared" ref="BB5:BB27" si="20">IF(OR(ISERROR(AF5/$J5)=TRUE,ISBLANK(AF5)=TRUE),"",AF5/$J5)</f>
        <v/>
      </c>
      <c r="BC5" s="3"/>
    </row>
    <row r="6" spans="1:55">
      <c r="A6" s="23">
        <v>1066028</v>
      </c>
      <c r="B6" s="1">
        <v>13</v>
      </c>
      <c r="C6" s="25"/>
      <c r="D6" s="24"/>
      <c r="E6" s="32" t="s">
        <v>62</v>
      </c>
      <c r="F6" s="27">
        <v>42850</v>
      </c>
      <c r="G6" s="198" t="s">
        <v>66</v>
      </c>
      <c r="H6" s="76">
        <v>31.5</v>
      </c>
      <c r="I6" s="27">
        <v>42861</v>
      </c>
      <c r="J6" s="33">
        <v>0</v>
      </c>
      <c r="K6" s="34"/>
      <c r="L6" s="71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  <c r="U6" s="76">
        <v>0</v>
      </c>
      <c r="V6" s="76">
        <v>0</v>
      </c>
      <c r="W6" s="76"/>
      <c r="X6" s="76"/>
      <c r="Y6" s="76"/>
      <c r="Z6" s="76"/>
      <c r="AA6" s="76"/>
      <c r="AB6" s="76"/>
      <c r="AC6" s="76"/>
      <c r="AD6" s="76"/>
      <c r="AE6" s="76"/>
      <c r="AF6" s="76"/>
      <c r="AG6" s="2"/>
      <c r="AH6" s="66" t="str">
        <f t="shared" si="3"/>
        <v/>
      </c>
      <c r="AI6" s="66" t="str">
        <f t="shared" si="4"/>
        <v/>
      </c>
      <c r="AJ6" s="66" t="str">
        <f t="shared" si="5"/>
        <v/>
      </c>
      <c r="AK6" s="66" t="str">
        <f t="shared" si="6"/>
        <v/>
      </c>
      <c r="AL6" s="66" t="str">
        <f t="shared" si="7"/>
        <v/>
      </c>
      <c r="AM6" s="66" t="str">
        <f t="shared" si="8"/>
        <v/>
      </c>
      <c r="AN6" s="66" t="str">
        <f t="shared" si="9"/>
        <v/>
      </c>
      <c r="AO6" s="66" t="str">
        <f t="shared" si="10"/>
        <v/>
      </c>
      <c r="AP6" s="66" t="str">
        <f t="shared" si="11"/>
        <v/>
      </c>
      <c r="AQ6" s="66" t="str">
        <f t="shared" si="12"/>
        <v/>
      </c>
      <c r="AR6" s="66" t="str">
        <f t="shared" si="13"/>
        <v/>
      </c>
      <c r="AS6" s="66" t="str">
        <f t="shared" si="14"/>
        <v/>
      </c>
      <c r="AT6" s="66" t="str">
        <f t="shared" si="15"/>
        <v/>
      </c>
      <c r="AU6" s="66" t="str">
        <f t="shared" si="16"/>
        <v/>
      </c>
      <c r="AV6" s="66" t="str">
        <f t="shared" si="17"/>
        <v/>
      </c>
      <c r="AW6" s="66" t="str">
        <f t="shared" si="18"/>
        <v/>
      </c>
      <c r="AX6" s="66" t="str">
        <f t="shared" si="19"/>
        <v/>
      </c>
      <c r="AY6" s="66" t="str">
        <f t="shared" ref="AY6:BA8" si="21">IF(OR(ISERROR(AC6/$J6)=TRUE,ISBLANK(AC6)=TRUE),"",AC6/$J6)</f>
        <v/>
      </c>
      <c r="AZ6" s="66" t="str">
        <f t="shared" si="21"/>
        <v/>
      </c>
      <c r="BA6" s="66" t="str">
        <f t="shared" si="21"/>
        <v/>
      </c>
      <c r="BB6" s="66" t="str">
        <f t="shared" si="20"/>
        <v/>
      </c>
      <c r="BC6" s="3"/>
    </row>
    <row r="7" spans="1:55">
      <c r="A7" s="23">
        <v>1066028</v>
      </c>
      <c r="B7" s="1">
        <v>14</v>
      </c>
      <c r="C7" s="25"/>
      <c r="D7" s="24"/>
      <c r="E7" s="32" t="s">
        <v>61</v>
      </c>
      <c r="F7" s="27">
        <v>42850</v>
      </c>
      <c r="G7" s="198" t="s">
        <v>66</v>
      </c>
      <c r="H7" s="76">
        <v>32.5</v>
      </c>
      <c r="I7" s="27">
        <v>42861</v>
      </c>
      <c r="J7" s="33">
        <v>698</v>
      </c>
      <c r="K7" s="34"/>
      <c r="L7" s="71">
        <v>698</v>
      </c>
      <c r="M7" s="76">
        <v>528</v>
      </c>
      <c r="N7" s="76">
        <v>456</v>
      </c>
      <c r="O7" s="76">
        <v>366</v>
      </c>
      <c r="P7" s="76">
        <v>263</v>
      </c>
      <c r="Q7" s="76">
        <v>210</v>
      </c>
      <c r="R7" s="76">
        <v>176</v>
      </c>
      <c r="S7" s="76">
        <v>121</v>
      </c>
      <c r="T7" s="76">
        <v>99</v>
      </c>
      <c r="U7" s="76">
        <v>84</v>
      </c>
      <c r="V7" s="76">
        <v>64</v>
      </c>
      <c r="W7" s="76">
        <v>39.4</v>
      </c>
      <c r="X7" s="76"/>
      <c r="Y7" s="76"/>
      <c r="Z7" s="76"/>
      <c r="AA7" s="76"/>
      <c r="AB7" s="76"/>
      <c r="AC7" s="76"/>
      <c r="AD7" s="76"/>
      <c r="AE7" s="76"/>
      <c r="AF7" s="76"/>
      <c r="AG7" s="2"/>
      <c r="AH7" s="66">
        <f t="shared" si="3"/>
        <v>1</v>
      </c>
      <c r="AI7" s="66">
        <f t="shared" si="4"/>
        <v>0.7564469914040115</v>
      </c>
      <c r="AJ7" s="66">
        <f t="shared" si="5"/>
        <v>0.65329512893982811</v>
      </c>
      <c r="AK7" s="66">
        <f t="shared" si="6"/>
        <v>0.52435530085959881</v>
      </c>
      <c r="AL7" s="66">
        <f t="shared" si="7"/>
        <v>0.37679083094555876</v>
      </c>
      <c r="AM7" s="66">
        <f t="shared" si="8"/>
        <v>0.3008595988538682</v>
      </c>
      <c r="AN7" s="66">
        <f t="shared" si="9"/>
        <v>0.25214899713467048</v>
      </c>
      <c r="AO7" s="66">
        <f t="shared" si="10"/>
        <v>0.17335243553008595</v>
      </c>
      <c r="AP7" s="66">
        <f t="shared" si="11"/>
        <v>0.14183381088825214</v>
      </c>
      <c r="AQ7" s="66">
        <f t="shared" si="12"/>
        <v>0.12034383954154727</v>
      </c>
      <c r="AR7" s="66">
        <f t="shared" si="13"/>
        <v>9.1690544412607447E-2</v>
      </c>
      <c r="AS7" s="66">
        <f t="shared" si="14"/>
        <v>5.6446991404011458E-2</v>
      </c>
      <c r="AT7" s="66" t="str">
        <f t="shared" si="15"/>
        <v/>
      </c>
      <c r="AU7" s="66" t="str">
        <f t="shared" si="16"/>
        <v/>
      </c>
      <c r="AV7" s="66" t="str">
        <f t="shared" si="17"/>
        <v/>
      </c>
      <c r="AW7" s="66" t="str">
        <f t="shared" si="18"/>
        <v/>
      </c>
      <c r="AX7" s="66" t="str">
        <f t="shared" si="19"/>
        <v/>
      </c>
      <c r="AY7" s="66" t="str">
        <f t="shared" si="21"/>
        <v/>
      </c>
      <c r="AZ7" s="66" t="str">
        <f t="shared" si="21"/>
        <v/>
      </c>
      <c r="BA7" s="66" t="str">
        <f t="shared" si="21"/>
        <v/>
      </c>
      <c r="BB7" s="66" t="str">
        <f t="shared" si="20"/>
        <v/>
      </c>
      <c r="BC7" s="3"/>
    </row>
    <row r="8" spans="1:55">
      <c r="A8" s="23">
        <v>1066028</v>
      </c>
      <c r="B8" s="1">
        <v>15</v>
      </c>
      <c r="C8" s="25"/>
      <c r="D8" s="24"/>
      <c r="E8" s="32" t="s">
        <v>61</v>
      </c>
      <c r="F8" s="27">
        <v>42850</v>
      </c>
      <c r="G8" s="198" t="s">
        <v>66</v>
      </c>
      <c r="H8" s="76">
        <v>29.1</v>
      </c>
      <c r="I8" s="27">
        <v>42861</v>
      </c>
      <c r="J8" s="33">
        <v>991</v>
      </c>
      <c r="K8" s="34"/>
      <c r="L8" s="71">
        <v>991</v>
      </c>
      <c r="M8" s="76">
        <v>714</v>
      </c>
      <c r="N8" s="76">
        <v>625</v>
      </c>
      <c r="O8" s="76">
        <v>495</v>
      </c>
      <c r="P8" s="76">
        <v>362</v>
      </c>
      <c r="Q8" s="76">
        <v>290</v>
      </c>
      <c r="R8" s="76">
        <v>248</v>
      </c>
      <c r="S8" s="76">
        <v>156</v>
      </c>
      <c r="T8" s="76">
        <v>129</v>
      </c>
      <c r="U8" s="76">
        <v>113</v>
      </c>
      <c r="V8" s="76">
        <v>87</v>
      </c>
      <c r="W8" s="76">
        <v>54.8</v>
      </c>
      <c r="X8" s="76"/>
      <c r="Y8" s="76"/>
      <c r="Z8" s="76"/>
      <c r="AA8" s="76"/>
      <c r="AB8" s="76"/>
      <c r="AC8" s="76"/>
      <c r="AD8" s="76"/>
      <c r="AE8" s="76"/>
      <c r="AF8" s="76"/>
      <c r="AG8" s="2"/>
      <c r="AH8" s="66">
        <f t="shared" si="3"/>
        <v>1</v>
      </c>
      <c r="AI8" s="66">
        <f t="shared" si="4"/>
        <v>0.72048435923309784</v>
      </c>
      <c r="AJ8" s="66">
        <f t="shared" si="5"/>
        <v>0.63067608476286574</v>
      </c>
      <c r="AK8" s="66">
        <f t="shared" si="6"/>
        <v>0.49949545913218973</v>
      </c>
      <c r="AL8" s="66">
        <f t="shared" si="7"/>
        <v>0.36528758829465185</v>
      </c>
      <c r="AM8" s="66">
        <f t="shared" si="8"/>
        <v>0.29263370332996974</v>
      </c>
      <c r="AN8" s="66">
        <f t="shared" si="9"/>
        <v>0.25025227043390513</v>
      </c>
      <c r="AO8" s="66">
        <f t="shared" si="10"/>
        <v>0.1574167507568113</v>
      </c>
      <c r="AP8" s="66">
        <f t="shared" si="11"/>
        <v>0.1301715438950555</v>
      </c>
      <c r="AQ8" s="66">
        <f t="shared" si="12"/>
        <v>0.11402623612512613</v>
      </c>
      <c r="AR8" s="66">
        <f t="shared" si="13"/>
        <v>8.7790110998990922E-2</v>
      </c>
      <c r="AS8" s="66">
        <f t="shared" si="14"/>
        <v>5.5297679112008072E-2</v>
      </c>
      <c r="AT8" s="66" t="str">
        <f t="shared" si="15"/>
        <v/>
      </c>
      <c r="AU8" s="66" t="str">
        <f t="shared" si="16"/>
        <v/>
      </c>
      <c r="AV8" s="66" t="str">
        <f t="shared" si="17"/>
        <v/>
      </c>
      <c r="AW8" s="66" t="str">
        <f t="shared" si="18"/>
        <v/>
      </c>
      <c r="AX8" s="66" t="str">
        <f t="shared" si="19"/>
        <v/>
      </c>
      <c r="AY8" s="66" t="str">
        <f t="shared" si="21"/>
        <v/>
      </c>
      <c r="AZ8" s="66" t="str">
        <f t="shared" si="21"/>
        <v/>
      </c>
      <c r="BA8" s="66" t="str">
        <f t="shared" si="21"/>
        <v/>
      </c>
      <c r="BB8" s="66" t="str">
        <f t="shared" si="20"/>
        <v/>
      </c>
      <c r="BC8" s="3"/>
    </row>
    <row r="9" spans="1:55">
      <c r="A9" s="35">
        <v>1066029</v>
      </c>
      <c r="B9" s="1">
        <v>21</v>
      </c>
      <c r="C9" s="25"/>
      <c r="D9" s="24"/>
      <c r="E9" s="32" t="s">
        <v>64</v>
      </c>
      <c r="F9" s="27">
        <v>42850</v>
      </c>
      <c r="G9" s="198" t="s">
        <v>66</v>
      </c>
      <c r="H9" s="76">
        <v>24.8</v>
      </c>
      <c r="I9" s="27">
        <v>42861</v>
      </c>
      <c r="J9" s="33">
        <v>0</v>
      </c>
      <c r="K9" s="34"/>
      <c r="L9" s="71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/>
      <c r="X9" s="76"/>
      <c r="Y9" s="76"/>
      <c r="Z9" s="76"/>
      <c r="AA9" s="76"/>
      <c r="AB9" s="76"/>
      <c r="AC9" s="76"/>
      <c r="AD9" s="76"/>
      <c r="AE9" s="76"/>
      <c r="AF9" s="76"/>
      <c r="AG9" s="2"/>
      <c r="AH9" s="66" t="str">
        <f t="shared" si="3"/>
        <v/>
      </c>
      <c r="AI9" s="66" t="str">
        <f t="shared" si="4"/>
        <v/>
      </c>
      <c r="AJ9" s="66" t="str">
        <f t="shared" si="5"/>
        <v/>
      </c>
      <c r="AK9" s="66" t="str">
        <f t="shared" si="6"/>
        <v/>
      </c>
      <c r="AL9" s="66" t="str">
        <f t="shared" si="7"/>
        <v/>
      </c>
      <c r="AM9" s="66" t="str">
        <f t="shared" si="8"/>
        <v/>
      </c>
      <c r="AN9" s="66" t="str">
        <f t="shared" si="9"/>
        <v/>
      </c>
      <c r="AO9" s="66" t="str">
        <f t="shared" si="10"/>
        <v/>
      </c>
      <c r="AP9" s="66" t="str">
        <f t="shared" si="11"/>
        <v/>
      </c>
      <c r="AQ9" s="66" t="str">
        <f t="shared" si="12"/>
        <v/>
      </c>
      <c r="AR9" s="66" t="str">
        <f t="shared" si="13"/>
        <v/>
      </c>
      <c r="AS9" s="66" t="str">
        <f t="shared" si="14"/>
        <v/>
      </c>
      <c r="AT9" s="66" t="str">
        <f t="shared" si="15"/>
        <v/>
      </c>
      <c r="AU9" s="66" t="str">
        <f t="shared" si="16"/>
        <v/>
      </c>
      <c r="AV9" s="66" t="str">
        <f t="shared" si="17"/>
        <v/>
      </c>
      <c r="AW9" s="66" t="str">
        <f t="shared" si="18"/>
        <v/>
      </c>
      <c r="AX9" s="66" t="str">
        <f t="shared" si="19"/>
        <v/>
      </c>
      <c r="AY9" s="66"/>
      <c r="AZ9" s="66"/>
      <c r="BA9" s="66" t="str">
        <f>IF(OR(ISERROR(AC9/$J9)=TRUE,ISBLANK(AC9)=TRUE),"",AC9/$J9)</f>
        <v/>
      </c>
      <c r="BB9" s="66" t="str">
        <f t="shared" si="20"/>
        <v/>
      </c>
      <c r="BC9" s="3"/>
    </row>
    <row r="10" spans="1:55">
      <c r="A10" s="35">
        <v>1066029</v>
      </c>
      <c r="B10" s="1">
        <v>22</v>
      </c>
      <c r="C10" s="25"/>
      <c r="D10" s="24"/>
      <c r="E10" s="32" t="s">
        <v>61</v>
      </c>
      <c r="F10" s="27">
        <v>42850</v>
      </c>
      <c r="G10" s="198" t="s">
        <v>66</v>
      </c>
      <c r="H10" s="76">
        <v>24.8</v>
      </c>
      <c r="I10" s="27">
        <v>42861</v>
      </c>
      <c r="J10" s="33">
        <v>1312</v>
      </c>
      <c r="K10" s="34"/>
      <c r="L10" s="71">
        <v>1312</v>
      </c>
      <c r="M10" s="76">
        <v>892</v>
      </c>
      <c r="N10" s="76">
        <v>765</v>
      </c>
      <c r="O10" s="76">
        <v>618</v>
      </c>
      <c r="P10" s="76">
        <v>445</v>
      </c>
      <c r="Q10" s="76">
        <v>367</v>
      </c>
      <c r="R10" s="76">
        <v>297</v>
      </c>
      <c r="S10" s="76">
        <v>198</v>
      </c>
      <c r="T10" s="76">
        <v>161</v>
      </c>
      <c r="U10" s="76">
        <v>146</v>
      </c>
      <c r="V10" s="76">
        <v>106</v>
      </c>
      <c r="W10" s="76">
        <v>68.400000000000006</v>
      </c>
      <c r="X10" s="76"/>
      <c r="Y10" s="76"/>
      <c r="Z10" s="76"/>
      <c r="AA10" s="76"/>
      <c r="AB10" s="76"/>
      <c r="AC10" s="76"/>
      <c r="AD10" s="76"/>
      <c r="AE10" s="76"/>
      <c r="AF10" s="76"/>
      <c r="AG10" s="2"/>
      <c r="AH10" s="66">
        <f t="shared" si="3"/>
        <v>1</v>
      </c>
      <c r="AI10" s="66">
        <f t="shared" si="4"/>
        <v>0.67987804878048785</v>
      </c>
      <c r="AJ10" s="66">
        <f t="shared" si="5"/>
        <v>0.58307926829268297</v>
      </c>
      <c r="AK10" s="66">
        <f t="shared" si="6"/>
        <v>0.47103658536585363</v>
      </c>
      <c r="AL10" s="66">
        <f t="shared" si="7"/>
        <v>0.33917682926829268</v>
      </c>
      <c r="AM10" s="66">
        <f t="shared" si="8"/>
        <v>0.27972560975609756</v>
      </c>
      <c r="AN10" s="66">
        <f t="shared" si="9"/>
        <v>0.2263719512195122</v>
      </c>
      <c r="AO10" s="66">
        <f t="shared" si="10"/>
        <v>0.15091463414634146</v>
      </c>
      <c r="AP10" s="66">
        <f t="shared" si="11"/>
        <v>0.12271341463414634</v>
      </c>
      <c r="AQ10" s="66">
        <f t="shared" si="12"/>
        <v>0.11128048780487805</v>
      </c>
      <c r="AR10" s="66">
        <f t="shared" si="13"/>
        <v>8.0792682926829271E-2</v>
      </c>
      <c r="AS10" s="66">
        <f t="shared" si="14"/>
        <v>5.2134146341463419E-2</v>
      </c>
      <c r="AT10" s="66" t="str">
        <f t="shared" si="15"/>
        <v/>
      </c>
      <c r="AU10" s="66" t="str">
        <f t="shared" si="16"/>
        <v/>
      </c>
      <c r="AV10" s="66" t="str">
        <f t="shared" si="17"/>
        <v/>
      </c>
      <c r="AW10" s="66" t="str">
        <f t="shared" si="18"/>
        <v/>
      </c>
      <c r="AX10" s="66" t="str">
        <f t="shared" si="19"/>
        <v/>
      </c>
      <c r="AY10" s="66" t="str">
        <f t="shared" ref="AY10:BA11" si="22">IF(OR(ISERROR(AC10/$J10)=TRUE,ISBLANK(AC10)=TRUE),"",AC10/$J10)</f>
        <v/>
      </c>
      <c r="AZ10" s="66" t="str">
        <f t="shared" si="22"/>
        <v/>
      </c>
      <c r="BA10" s="66" t="str">
        <f t="shared" si="22"/>
        <v/>
      </c>
      <c r="BB10" s="66" t="str">
        <f t="shared" si="20"/>
        <v/>
      </c>
      <c r="BC10" s="3"/>
    </row>
    <row r="11" spans="1:55">
      <c r="A11" s="35">
        <v>1066029</v>
      </c>
      <c r="B11" s="1">
        <v>23</v>
      </c>
      <c r="C11" s="25"/>
      <c r="D11" s="24"/>
      <c r="E11" s="32" t="s">
        <v>61</v>
      </c>
      <c r="F11" s="27">
        <v>42850</v>
      </c>
      <c r="G11" s="198" t="s">
        <v>66</v>
      </c>
      <c r="H11" s="76">
        <v>27.6</v>
      </c>
      <c r="I11" s="27">
        <v>42861</v>
      </c>
      <c r="J11" s="33">
        <v>1101</v>
      </c>
      <c r="K11" s="34"/>
      <c r="L11" s="71">
        <v>1101</v>
      </c>
      <c r="M11" s="76">
        <v>755</v>
      </c>
      <c r="N11" s="76">
        <v>663</v>
      </c>
      <c r="O11" s="76">
        <v>532</v>
      </c>
      <c r="P11" s="76">
        <v>385</v>
      </c>
      <c r="Q11" s="76">
        <v>316</v>
      </c>
      <c r="R11" s="76">
        <v>260</v>
      </c>
      <c r="S11" s="76">
        <v>169</v>
      </c>
      <c r="T11" s="76">
        <v>137</v>
      </c>
      <c r="U11" s="76">
        <v>122</v>
      </c>
      <c r="V11" s="76">
        <v>91</v>
      </c>
      <c r="W11" s="76">
        <v>59.7</v>
      </c>
      <c r="X11" s="76"/>
      <c r="Y11" s="76"/>
      <c r="Z11" s="76"/>
      <c r="AA11" s="76"/>
      <c r="AB11" s="76"/>
      <c r="AC11" s="76"/>
      <c r="AD11" s="76"/>
      <c r="AE11" s="76"/>
      <c r="AF11" s="76"/>
      <c r="AG11" s="2"/>
      <c r="AH11" s="66">
        <f t="shared" si="3"/>
        <v>1</v>
      </c>
      <c r="AI11" s="66">
        <f t="shared" si="4"/>
        <v>0.68574023614895552</v>
      </c>
      <c r="AJ11" s="66">
        <f t="shared" si="5"/>
        <v>0.60217983651226159</v>
      </c>
      <c r="AK11" s="66">
        <f t="shared" si="6"/>
        <v>0.48319709355131696</v>
      </c>
      <c r="AL11" s="66">
        <f t="shared" si="7"/>
        <v>0.34968210717529519</v>
      </c>
      <c r="AM11" s="66">
        <f t="shared" si="8"/>
        <v>0.28701180744777477</v>
      </c>
      <c r="AN11" s="66">
        <f t="shared" si="9"/>
        <v>0.23614895549500453</v>
      </c>
      <c r="AO11" s="66">
        <f t="shared" si="10"/>
        <v>0.15349682107175294</v>
      </c>
      <c r="AP11" s="66">
        <f t="shared" si="11"/>
        <v>0.12443233424159855</v>
      </c>
      <c r="AQ11" s="66">
        <f t="shared" si="12"/>
        <v>0.11080835603996367</v>
      </c>
      <c r="AR11" s="66">
        <f t="shared" si="13"/>
        <v>8.2652134423251589E-2</v>
      </c>
      <c r="AS11" s="66">
        <f t="shared" si="14"/>
        <v>5.4223433242506815E-2</v>
      </c>
      <c r="AT11" s="66" t="str">
        <f t="shared" si="15"/>
        <v/>
      </c>
      <c r="AU11" s="66" t="str">
        <f t="shared" si="16"/>
        <v/>
      </c>
      <c r="AV11" s="66" t="str">
        <f t="shared" si="17"/>
        <v/>
      </c>
      <c r="AW11" s="66" t="str">
        <f t="shared" si="18"/>
        <v/>
      </c>
      <c r="AX11" s="66" t="str">
        <f t="shared" si="19"/>
        <v/>
      </c>
      <c r="AY11" s="66" t="str">
        <f t="shared" si="22"/>
        <v/>
      </c>
      <c r="AZ11" s="66" t="str">
        <f t="shared" si="22"/>
        <v/>
      </c>
      <c r="BA11" s="66" t="str">
        <f t="shared" si="22"/>
        <v/>
      </c>
      <c r="BB11" s="66" t="str">
        <f t="shared" si="20"/>
        <v/>
      </c>
      <c r="BC11" s="3"/>
    </row>
    <row r="12" spans="1:55">
      <c r="A12" s="35">
        <v>1066029</v>
      </c>
      <c r="B12" s="1">
        <v>24</v>
      </c>
      <c r="C12" s="25"/>
      <c r="D12" s="24"/>
      <c r="E12" s="32" t="s">
        <v>62</v>
      </c>
      <c r="F12" s="27">
        <v>42850</v>
      </c>
      <c r="G12" s="198" t="s">
        <v>66</v>
      </c>
      <c r="H12" s="76">
        <v>29.7</v>
      </c>
      <c r="I12" s="27">
        <v>42861</v>
      </c>
      <c r="J12" s="33">
        <v>0</v>
      </c>
      <c r="K12" s="34"/>
      <c r="L12" s="71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2"/>
      <c r="AH12" s="66" t="str">
        <f t="shared" si="3"/>
        <v/>
      </c>
      <c r="AI12" s="66" t="str">
        <f t="shared" si="4"/>
        <v/>
      </c>
      <c r="AJ12" s="66" t="str">
        <f t="shared" si="5"/>
        <v/>
      </c>
      <c r="AK12" s="66" t="str">
        <f t="shared" si="6"/>
        <v/>
      </c>
      <c r="AL12" s="66" t="str">
        <f t="shared" si="7"/>
        <v/>
      </c>
      <c r="AM12" s="66" t="str">
        <f t="shared" si="8"/>
        <v/>
      </c>
      <c r="AN12" s="66" t="str">
        <f t="shared" si="9"/>
        <v/>
      </c>
      <c r="AO12" s="66" t="str">
        <f t="shared" si="10"/>
        <v/>
      </c>
      <c r="AP12" s="66" t="str">
        <f t="shared" si="11"/>
        <v/>
      </c>
      <c r="AQ12" s="66" t="str">
        <f t="shared" si="12"/>
        <v/>
      </c>
      <c r="AR12" s="66" t="str">
        <f t="shared" si="13"/>
        <v/>
      </c>
      <c r="AS12" s="66" t="str">
        <f t="shared" si="14"/>
        <v/>
      </c>
      <c r="AT12" s="66" t="str">
        <f t="shared" si="15"/>
        <v/>
      </c>
      <c r="AU12" s="66" t="str">
        <f t="shared" si="16"/>
        <v/>
      </c>
      <c r="AV12" s="66" t="str">
        <f t="shared" si="17"/>
        <v/>
      </c>
      <c r="AW12" s="66" t="str">
        <f t="shared" si="18"/>
        <v/>
      </c>
      <c r="AX12" s="66" t="str">
        <f t="shared" si="19"/>
        <v/>
      </c>
      <c r="AY12" s="66"/>
      <c r="AZ12" s="66"/>
      <c r="BA12" s="66" t="str">
        <f>IF(OR(ISERROR(AC12/$J12)=TRUE,ISBLANK(AC12)=TRUE),"",AC12/$J12)</f>
        <v/>
      </c>
      <c r="BB12" s="66" t="str">
        <f t="shared" si="20"/>
        <v/>
      </c>
      <c r="BC12" s="3"/>
    </row>
    <row r="13" spans="1:55">
      <c r="A13" s="35">
        <v>1066029</v>
      </c>
      <c r="B13" s="1">
        <v>25</v>
      </c>
      <c r="C13" s="25"/>
      <c r="D13" s="24"/>
      <c r="E13" s="32" t="s">
        <v>72</v>
      </c>
      <c r="F13" s="27">
        <v>42850</v>
      </c>
      <c r="G13" s="198" t="s">
        <v>66</v>
      </c>
      <c r="H13" s="76">
        <v>28.5</v>
      </c>
      <c r="I13" s="27">
        <v>42861</v>
      </c>
      <c r="J13" s="33">
        <v>1371</v>
      </c>
      <c r="K13" s="34"/>
      <c r="L13" s="71">
        <v>1371</v>
      </c>
      <c r="M13" s="76">
        <v>977</v>
      </c>
      <c r="N13" s="76">
        <v>853</v>
      </c>
      <c r="O13" s="76">
        <v>680</v>
      </c>
      <c r="P13" s="76">
        <v>480</v>
      </c>
      <c r="Q13" s="76">
        <v>396</v>
      </c>
      <c r="R13" s="76">
        <v>323</v>
      </c>
      <c r="S13" s="76">
        <v>211</v>
      </c>
      <c r="T13" s="76">
        <v>175</v>
      </c>
      <c r="U13" s="76">
        <v>149</v>
      </c>
      <c r="V13" s="76">
        <v>118</v>
      </c>
      <c r="W13" s="76">
        <v>76.3</v>
      </c>
      <c r="X13" s="76"/>
      <c r="Y13" s="76"/>
      <c r="Z13" s="76"/>
      <c r="AA13" s="76"/>
      <c r="AB13" s="76"/>
      <c r="AC13" s="76"/>
      <c r="AD13" s="76"/>
      <c r="AE13" s="76"/>
      <c r="AF13" s="76"/>
      <c r="AG13" s="2"/>
      <c r="AH13" s="66">
        <f t="shared" si="3"/>
        <v>1</v>
      </c>
      <c r="AI13" s="66">
        <f t="shared" si="4"/>
        <v>0.71261852662290304</v>
      </c>
      <c r="AJ13" s="66">
        <f t="shared" si="5"/>
        <v>0.62217359591539023</v>
      </c>
      <c r="AK13" s="66">
        <f t="shared" si="6"/>
        <v>0.49598832968636031</v>
      </c>
      <c r="AL13" s="66">
        <f t="shared" si="7"/>
        <v>0.35010940919037198</v>
      </c>
      <c r="AM13" s="66">
        <f t="shared" si="8"/>
        <v>0.28884026258205692</v>
      </c>
      <c r="AN13" s="66">
        <f t="shared" si="9"/>
        <v>0.23559445660102116</v>
      </c>
      <c r="AO13" s="66">
        <f t="shared" si="10"/>
        <v>0.15390226112326769</v>
      </c>
      <c r="AP13" s="66">
        <f t="shared" si="11"/>
        <v>0.12764405543398979</v>
      </c>
      <c r="AQ13" s="66">
        <f t="shared" si="12"/>
        <v>0.10867979576951131</v>
      </c>
      <c r="AR13" s="66">
        <f t="shared" si="13"/>
        <v>8.606856309263311E-2</v>
      </c>
      <c r="AS13" s="66">
        <f t="shared" si="14"/>
        <v>5.5652808169219546E-2</v>
      </c>
      <c r="AT13" s="66" t="str">
        <f t="shared" si="15"/>
        <v/>
      </c>
      <c r="AU13" s="66" t="str">
        <f t="shared" si="16"/>
        <v/>
      </c>
      <c r="AV13" s="66" t="str">
        <f t="shared" si="17"/>
        <v/>
      </c>
      <c r="AW13" s="66" t="str">
        <f t="shared" si="18"/>
        <v/>
      </c>
      <c r="AX13" s="66" t="str">
        <f t="shared" si="19"/>
        <v/>
      </c>
      <c r="AY13" s="66" t="str">
        <f t="shared" ref="AY13:BA17" si="23">IF(OR(ISERROR(AC13/$J13)=TRUE,ISBLANK(AC13)=TRUE),"",AC13/$J13)</f>
        <v/>
      </c>
      <c r="AZ13" s="66" t="str">
        <f t="shared" si="23"/>
        <v/>
      </c>
      <c r="BA13" s="66" t="str">
        <f t="shared" si="23"/>
        <v/>
      </c>
      <c r="BB13" s="66" t="str">
        <f t="shared" si="20"/>
        <v/>
      </c>
      <c r="BC13" s="3"/>
    </row>
    <row r="14" spans="1:55">
      <c r="A14" s="35">
        <v>1066030</v>
      </c>
      <c r="B14" s="1">
        <v>31</v>
      </c>
      <c r="C14" s="25"/>
      <c r="D14" s="24"/>
      <c r="E14" s="32" t="s">
        <v>64</v>
      </c>
      <c r="F14" s="27">
        <v>42850</v>
      </c>
      <c r="G14" s="198" t="s">
        <v>66</v>
      </c>
      <c r="H14" s="76">
        <v>27.3</v>
      </c>
      <c r="I14" s="27">
        <v>42861</v>
      </c>
      <c r="J14" s="33">
        <v>0</v>
      </c>
      <c r="K14" s="34"/>
      <c r="L14" s="71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/>
      <c r="Y14" s="76"/>
      <c r="Z14" s="76"/>
      <c r="AA14" s="76"/>
      <c r="AB14" s="76"/>
      <c r="AC14" s="76"/>
      <c r="AD14" s="76"/>
      <c r="AE14" s="76"/>
      <c r="AF14" s="76"/>
      <c r="AG14" s="2"/>
      <c r="AH14" s="66" t="str">
        <f t="shared" si="3"/>
        <v/>
      </c>
      <c r="AI14" s="66" t="str">
        <f t="shared" si="4"/>
        <v/>
      </c>
      <c r="AJ14" s="66" t="str">
        <f t="shared" si="5"/>
        <v/>
      </c>
      <c r="AK14" s="66" t="str">
        <f t="shared" si="6"/>
        <v/>
      </c>
      <c r="AL14" s="66" t="str">
        <f t="shared" si="7"/>
        <v/>
      </c>
      <c r="AM14" s="66" t="str">
        <f t="shared" si="8"/>
        <v/>
      </c>
      <c r="AN14" s="66" t="str">
        <f t="shared" si="9"/>
        <v/>
      </c>
      <c r="AO14" s="66" t="str">
        <f t="shared" si="10"/>
        <v/>
      </c>
      <c r="AP14" s="66" t="str">
        <f t="shared" si="11"/>
        <v/>
      </c>
      <c r="AQ14" s="66" t="str">
        <f t="shared" si="12"/>
        <v/>
      </c>
      <c r="AR14" s="66" t="str">
        <f t="shared" si="13"/>
        <v/>
      </c>
      <c r="AS14" s="66" t="str">
        <f t="shared" si="14"/>
        <v/>
      </c>
      <c r="AT14" s="66" t="str">
        <f t="shared" si="15"/>
        <v/>
      </c>
      <c r="AU14" s="66" t="str">
        <f t="shared" si="16"/>
        <v/>
      </c>
      <c r="AV14" s="66" t="str">
        <f t="shared" si="17"/>
        <v/>
      </c>
      <c r="AW14" s="66" t="str">
        <f t="shared" si="18"/>
        <v/>
      </c>
      <c r="AX14" s="66" t="str">
        <f t="shared" si="19"/>
        <v/>
      </c>
      <c r="AY14" s="66" t="str">
        <f t="shared" si="23"/>
        <v/>
      </c>
      <c r="AZ14" s="66" t="str">
        <f t="shared" si="23"/>
        <v/>
      </c>
      <c r="BA14" s="66" t="str">
        <f t="shared" si="23"/>
        <v/>
      </c>
      <c r="BB14" s="66" t="str">
        <f t="shared" si="20"/>
        <v/>
      </c>
      <c r="BC14" s="3"/>
    </row>
    <row r="15" spans="1:55">
      <c r="A15" s="35">
        <v>1066030</v>
      </c>
      <c r="B15" s="1">
        <v>32</v>
      </c>
      <c r="C15" s="25"/>
      <c r="D15" s="24"/>
      <c r="E15" s="32" t="s">
        <v>64</v>
      </c>
      <c r="F15" s="27">
        <v>42850</v>
      </c>
      <c r="G15" s="198" t="s">
        <v>66</v>
      </c>
      <c r="H15" s="76">
        <v>26.5</v>
      </c>
      <c r="I15" s="27">
        <v>42861</v>
      </c>
      <c r="J15" s="33">
        <v>0</v>
      </c>
      <c r="K15" s="34"/>
      <c r="L15" s="71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/>
      <c r="Y15" s="76"/>
      <c r="Z15" s="76"/>
      <c r="AA15" s="76"/>
      <c r="AB15" s="76"/>
      <c r="AC15" s="76"/>
      <c r="AD15" s="76"/>
      <c r="AE15" s="76"/>
      <c r="AF15" s="76"/>
      <c r="AG15" s="2"/>
      <c r="AH15" s="66" t="str">
        <f t="shared" si="3"/>
        <v/>
      </c>
      <c r="AI15" s="66" t="str">
        <f t="shared" si="4"/>
        <v/>
      </c>
      <c r="AJ15" s="66" t="str">
        <f t="shared" si="5"/>
        <v/>
      </c>
      <c r="AK15" s="66" t="str">
        <f t="shared" si="6"/>
        <v/>
      </c>
      <c r="AL15" s="66" t="str">
        <f t="shared" si="7"/>
        <v/>
      </c>
      <c r="AM15" s="66" t="str">
        <f t="shared" si="8"/>
        <v/>
      </c>
      <c r="AN15" s="66" t="str">
        <f t="shared" si="9"/>
        <v/>
      </c>
      <c r="AO15" s="66" t="str">
        <f t="shared" si="10"/>
        <v/>
      </c>
      <c r="AP15" s="66" t="str">
        <f t="shared" si="11"/>
        <v/>
      </c>
      <c r="AQ15" s="66" t="str">
        <f t="shared" si="12"/>
        <v/>
      </c>
      <c r="AR15" s="66" t="str">
        <f t="shared" si="13"/>
        <v/>
      </c>
      <c r="AS15" s="66" t="str">
        <f t="shared" si="14"/>
        <v/>
      </c>
      <c r="AT15" s="66" t="str">
        <f t="shared" si="15"/>
        <v/>
      </c>
      <c r="AU15" s="66" t="str">
        <f t="shared" si="16"/>
        <v/>
      </c>
      <c r="AV15" s="66" t="str">
        <f t="shared" si="17"/>
        <v/>
      </c>
      <c r="AW15" s="66" t="str">
        <f t="shared" si="18"/>
        <v/>
      </c>
      <c r="AX15" s="66" t="str">
        <f t="shared" si="19"/>
        <v/>
      </c>
      <c r="AY15" s="66" t="str">
        <f t="shared" si="23"/>
        <v/>
      </c>
      <c r="AZ15" s="66" t="str">
        <f t="shared" si="23"/>
        <v/>
      </c>
      <c r="BA15" s="66" t="str">
        <f t="shared" si="23"/>
        <v/>
      </c>
      <c r="BB15" s="66" t="str">
        <f t="shared" si="20"/>
        <v/>
      </c>
      <c r="BC15" s="3"/>
    </row>
    <row r="16" spans="1:55">
      <c r="A16" s="35">
        <v>1066030</v>
      </c>
      <c r="B16" s="1">
        <v>33</v>
      </c>
      <c r="C16" s="25"/>
      <c r="D16" s="24"/>
      <c r="E16" s="32" t="s">
        <v>72</v>
      </c>
      <c r="F16" s="27">
        <v>42850</v>
      </c>
      <c r="G16" s="198" t="s">
        <v>66</v>
      </c>
      <c r="H16" s="76">
        <v>27.1</v>
      </c>
      <c r="I16" s="27">
        <v>42861</v>
      </c>
      <c r="J16" s="33">
        <v>1228</v>
      </c>
      <c r="K16" s="34"/>
      <c r="L16" s="71">
        <v>1228</v>
      </c>
      <c r="M16" s="76">
        <v>909</v>
      </c>
      <c r="N16" s="76">
        <v>780</v>
      </c>
      <c r="O16" s="76">
        <v>624</v>
      </c>
      <c r="P16" s="76">
        <v>436</v>
      </c>
      <c r="Q16" s="76">
        <v>367</v>
      </c>
      <c r="R16" s="76">
        <v>289</v>
      </c>
      <c r="S16" s="76">
        <v>197</v>
      </c>
      <c r="T16" s="76">
        <v>157</v>
      </c>
      <c r="U16" s="76">
        <v>131</v>
      </c>
      <c r="V16" s="76">
        <v>102</v>
      </c>
      <c r="W16" s="76">
        <v>66.2</v>
      </c>
      <c r="X16" s="76"/>
      <c r="Y16" s="76"/>
      <c r="Z16" s="76"/>
      <c r="AA16" s="76"/>
      <c r="AB16" s="76"/>
      <c r="AC16" s="76"/>
      <c r="AD16" s="76"/>
      <c r="AE16" s="76"/>
      <c r="AF16" s="76"/>
      <c r="AG16" s="2"/>
      <c r="AH16" s="66">
        <f t="shared" si="3"/>
        <v>1</v>
      </c>
      <c r="AI16" s="66">
        <f t="shared" si="4"/>
        <v>0.74022801302931596</v>
      </c>
      <c r="AJ16" s="66">
        <f t="shared" si="5"/>
        <v>0.63517915309446249</v>
      </c>
      <c r="AK16" s="66">
        <f t="shared" si="6"/>
        <v>0.50814332247557004</v>
      </c>
      <c r="AL16" s="66">
        <f t="shared" si="7"/>
        <v>0.35504885993485341</v>
      </c>
      <c r="AM16" s="66">
        <f t="shared" si="8"/>
        <v>0.29885993485342022</v>
      </c>
      <c r="AN16" s="66">
        <f t="shared" si="9"/>
        <v>0.23534201954397393</v>
      </c>
      <c r="AO16" s="66">
        <f t="shared" si="10"/>
        <v>0.16042345276872963</v>
      </c>
      <c r="AP16" s="66">
        <f t="shared" si="11"/>
        <v>0.12785016286644951</v>
      </c>
      <c r="AQ16" s="66">
        <f t="shared" si="12"/>
        <v>0.10667752442996743</v>
      </c>
      <c r="AR16" s="66">
        <f t="shared" si="13"/>
        <v>8.3061889250814328E-2</v>
      </c>
      <c r="AS16" s="66">
        <f t="shared" si="14"/>
        <v>5.3908794788273616E-2</v>
      </c>
      <c r="AT16" s="66" t="str">
        <f t="shared" si="15"/>
        <v/>
      </c>
      <c r="AU16" s="66" t="str">
        <f t="shared" si="16"/>
        <v/>
      </c>
      <c r="AV16" s="66" t="str">
        <f t="shared" si="17"/>
        <v/>
      </c>
      <c r="AW16" s="66" t="str">
        <f t="shared" si="18"/>
        <v/>
      </c>
      <c r="AX16" s="66" t="str">
        <f t="shared" si="19"/>
        <v/>
      </c>
      <c r="AY16" s="66" t="str">
        <f t="shared" si="23"/>
        <v/>
      </c>
      <c r="AZ16" s="66" t="str">
        <f t="shared" si="23"/>
        <v/>
      </c>
      <c r="BA16" s="66" t="str">
        <f t="shared" si="23"/>
        <v/>
      </c>
      <c r="BB16" s="66" t="str">
        <f t="shared" si="20"/>
        <v/>
      </c>
      <c r="BC16" s="3"/>
    </row>
    <row r="17" spans="1:55">
      <c r="A17" s="35">
        <v>1066030</v>
      </c>
      <c r="B17" s="1">
        <v>34</v>
      </c>
      <c r="C17" s="25"/>
      <c r="D17" s="24"/>
      <c r="E17" s="32" t="s">
        <v>62</v>
      </c>
      <c r="F17" s="27">
        <v>42850</v>
      </c>
      <c r="G17" s="198" t="s">
        <v>66</v>
      </c>
      <c r="H17" s="76">
        <v>25.9</v>
      </c>
      <c r="I17" s="27">
        <v>42861</v>
      </c>
      <c r="J17" s="33">
        <v>0</v>
      </c>
      <c r="K17" s="34"/>
      <c r="L17" s="71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2"/>
      <c r="AH17" s="66" t="str">
        <f t="shared" si="3"/>
        <v/>
      </c>
      <c r="AI17" s="66" t="str">
        <f t="shared" si="4"/>
        <v/>
      </c>
      <c r="AJ17" s="66" t="str">
        <f t="shared" si="5"/>
        <v/>
      </c>
      <c r="AK17" s="66" t="str">
        <f t="shared" si="6"/>
        <v/>
      </c>
      <c r="AL17" s="66" t="str">
        <f t="shared" si="7"/>
        <v/>
      </c>
      <c r="AM17" s="66" t="str">
        <f t="shared" si="8"/>
        <v/>
      </c>
      <c r="AN17" s="66" t="str">
        <f t="shared" si="9"/>
        <v/>
      </c>
      <c r="AO17" s="66" t="str">
        <f t="shared" si="10"/>
        <v/>
      </c>
      <c r="AP17" s="66" t="str">
        <f t="shared" si="11"/>
        <v/>
      </c>
      <c r="AQ17" s="66" t="str">
        <f t="shared" si="12"/>
        <v/>
      </c>
      <c r="AR17" s="66" t="str">
        <f t="shared" si="13"/>
        <v/>
      </c>
      <c r="AS17" s="66" t="str">
        <f t="shared" si="14"/>
        <v/>
      </c>
      <c r="AT17" s="66" t="str">
        <f t="shared" si="15"/>
        <v/>
      </c>
      <c r="AU17" s="66" t="str">
        <f t="shared" si="16"/>
        <v/>
      </c>
      <c r="AV17" s="66" t="str">
        <f t="shared" si="17"/>
        <v/>
      </c>
      <c r="AW17" s="66" t="str">
        <f t="shared" si="18"/>
        <v/>
      </c>
      <c r="AX17" s="66" t="str">
        <f t="shared" si="19"/>
        <v/>
      </c>
      <c r="AY17" s="66" t="str">
        <f t="shared" si="23"/>
        <v/>
      </c>
      <c r="AZ17" s="66" t="str">
        <f t="shared" si="23"/>
        <v/>
      </c>
      <c r="BA17" s="66" t="str">
        <f t="shared" si="23"/>
        <v/>
      </c>
      <c r="BB17" s="66" t="str">
        <f t="shared" si="20"/>
        <v/>
      </c>
      <c r="BC17" s="3"/>
    </row>
    <row r="18" spans="1:55">
      <c r="A18" s="35">
        <v>1066030</v>
      </c>
      <c r="B18" s="1">
        <v>35</v>
      </c>
      <c r="C18" s="25"/>
      <c r="D18" s="24"/>
      <c r="E18" s="32" t="s">
        <v>72</v>
      </c>
      <c r="F18" s="27">
        <v>42850</v>
      </c>
      <c r="G18" s="198" t="s">
        <v>66</v>
      </c>
      <c r="H18" s="76">
        <v>23.5</v>
      </c>
      <c r="I18" s="27">
        <v>42861</v>
      </c>
      <c r="J18" s="33">
        <v>1296</v>
      </c>
      <c r="K18" s="34"/>
      <c r="L18" s="71">
        <v>1296</v>
      </c>
      <c r="M18" s="76">
        <v>947</v>
      </c>
      <c r="N18" s="76">
        <v>814</v>
      </c>
      <c r="O18" s="76">
        <v>646</v>
      </c>
      <c r="P18" s="76">
        <v>458</v>
      </c>
      <c r="Q18" s="76">
        <v>371</v>
      </c>
      <c r="R18" s="76">
        <v>302</v>
      </c>
      <c r="S18" s="76">
        <v>198</v>
      </c>
      <c r="T18" s="76">
        <v>156</v>
      </c>
      <c r="U18" s="76">
        <v>138</v>
      </c>
      <c r="V18" s="76">
        <v>105</v>
      </c>
      <c r="W18" s="76">
        <v>68.3</v>
      </c>
      <c r="X18" s="76"/>
      <c r="Y18" s="76"/>
      <c r="Z18" s="76"/>
      <c r="AA18" s="76"/>
      <c r="AB18" s="76"/>
      <c r="AC18" s="76"/>
      <c r="AD18" s="76"/>
      <c r="AE18" s="76"/>
      <c r="AF18" s="76"/>
      <c r="AG18" s="2"/>
      <c r="AH18" s="66">
        <f t="shared" si="3"/>
        <v>1</v>
      </c>
      <c r="AI18" s="66">
        <f t="shared" si="4"/>
        <v>0.73070987654320985</v>
      </c>
      <c r="AJ18" s="66">
        <f t="shared" si="5"/>
        <v>0.62808641975308643</v>
      </c>
      <c r="AK18" s="66">
        <f t="shared" si="6"/>
        <v>0.49845679012345678</v>
      </c>
      <c r="AL18" s="66">
        <f t="shared" si="7"/>
        <v>0.35339506172839508</v>
      </c>
      <c r="AM18" s="66">
        <f t="shared" si="8"/>
        <v>0.28626543209876543</v>
      </c>
      <c r="AN18" s="66">
        <f t="shared" si="9"/>
        <v>0.2330246913580247</v>
      </c>
      <c r="AO18" s="66">
        <f t="shared" si="10"/>
        <v>0.15277777777777779</v>
      </c>
      <c r="AP18" s="66">
        <f t="shared" si="11"/>
        <v>0.12037037037037036</v>
      </c>
      <c r="AQ18" s="66">
        <f t="shared" si="12"/>
        <v>0.10648148148148148</v>
      </c>
      <c r="AR18" s="66">
        <f t="shared" si="13"/>
        <v>8.1018518518518517E-2</v>
      </c>
      <c r="AS18" s="66">
        <f t="shared" si="14"/>
        <v>5.2700617283950618E-2</v>
      </c>
      <c r="AT18" s="66" t="str">
        <f t="shared" si="15"/>
        <v/>
      </c>
      <c r="AU18" s="66" t="str">
        <f t="shared" si="16"/>
        <v/>
      </c>
      <c r="AV18" s="66" t="str">
        <f t="shared" si="17"/>
        <v/>
      </c>
      <c r="AW18" s="66" t="str">
        <f t="shared" si="18"/>
        <v/>
      </c>
      <c r="AX18" s="66" t="str">
        <f t="shared" si="19"/>
        <v/>
      </c>
      <c r="AY18" s="66"/>
      <c r="AZ18" s="66"/>
      <c r="BA18" s="66" t="str">
        <f>IF(OR(ISERROR(AC18/$J18)=TRUE,ISBLANK(AC18)=TRUE),"",AC18/$J18)</f>
        <v/>
      </c>
      <c r="BB18" s="66" t="str">
        <f t="shared" si="20"/>
        <v/>
      </c>
      <c r="BC18" s="3"/>
    </row>
    <row r="19" spans="1:55">
      <c r="A19" s="35">
        <v>1066031</v>
      </c>
      <c r="B19" s="1">
        <v>41</v>
      </c>
      <c r="C19" s="25"/>
      <c r="D19" s="24"/>
      <c r="E19" s="32" t="s">
        <v>62</v>
      </c>
      <c r="F19" s="27">
        <v>42850</v>
      </c>
      <c r="G19" s="198" t="s">
        <v>66</v>
      </c>
      <c r="H19" s="76">
        <v>27.8</v>
      </c>
      <c r="I19" s="27">
        <v>42861</v>
      </c>
      <c r="J19" s="33">
        <v>0</v>
      </c>
      <c r="K19" s="34"/>
      <c r="L19" s="71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2"/>
      <c r="AH19" s="66" t="str">
        <f t="shared" si="3"/>
        <v/>
      </c>
      <c r="AI19" s="66" t="str">
        <f t="shared" si="4"/>
        <v/>
      </c>
      <c r="AJ19" s="66" t="str">
        <f t="shared" si="5"/>
        <v/>
      </c>
      <c r="AK19" s="66" t="str">
        <f t="shared" si="6"/>
        <v/>
      </c>
      <c r="AL19" s="66" t="str">
        <f t="shared" si="7"/>
        <v/>
      </c>
      <c r="AM19" s="66" t="str">
        <f t="shared" si="8"/>
        <v/>
      </c>
      <c r="AN19" s="66" t="str">
        <f t="shared" si="9"/>
        <v/>
      </c>
      <c r="AO19" s="66" t="str">
        <f t="shared" si="10"/>
        <v/>
      </c>
      <c r="AP19" s="66" t="str">
        <f t="shared" si="11"/>
        <v/>
      </c>
      <c r="AQ19" s="66" t="str">
        <f t="shared" si="12"/>
        <v/>
      </c>
      <c r="AR19" s="66" t="str">
        <f t="shared" si="13"/>
        <v/>
      </c>
      <c r="AS19" s="66" t="str">
        <f t="shared" si="14"/>
        <v/>
      </c>
      <c r="AT19" s="66" t="str">
        <f t="shared" si="15"/>
        <v/>
      </c>
      <c r="AU19" s="66" t="str">
        <f t="shared" si="16"/>
        <v/>
      </c>
      <c r="AV19" s="66" t="str">
        <f t="shared" si="17"/>
        <v/>
      </c>
      <c r="AW19" s="66" t="str">
        <f t="shared" si="18"/>
        <v/>
      </c>
      <c r="AX19" s="66" t="str">
        <f t="shared" si="19"/>
        <v/>
      </c>
      <c r="AY19" s="66" t="str">
        <f>IF(OR(ISERROR(AC19/$J19)=TRUE,ISBLANK(AC19)=TRUE),"",AC19/$J19)</f>
        <v/>
      </c>
      <c r="AZ19" s="66" t="str">
        <f>IF(OR(ISERROR(AD19/$J19)=TRUE,ISBLANK(AD19)=TRUE),"",AD19/$J19)</f>
        <v/>
      </c>
      <c r="BA19" s="66" t="str">
        <f>IF(OR(ISERROR(AE19/$J19)=TRUE,ISBLANK(AE19)=TRUE),"",AE19/$J19)</f>
        <v/>
      </c>
      <c r="BB19" s="66" t="str">
        <f t="shared" si="20"/>
        <v/>
      </c>
      <c r="BC19" s="3"/>
    </row>
    <row r="20" spans="1:55">
      <c r="A20" s="35">
        <v>1066031</v>
      </c>
      <c r="B20" s="1">
        <v>42</v>
      </c>
      <c r="C20" s="25"/>
      <c r="D20" s="24"/>
      <c r="E20" s="32" t="s">
        <v>64</v>
      </c>
      <c r="F20" s="27">
        <v>42850</v>
      </c>
      <c r="G20" s="198" t="s">
        <v>66</v>
      </c>
      <c r="H20" s="76">
        <v>26.1</v>
      </c>
      <c r="I20" s="27">
        <v>42861</v>
      </c>
      <c r="J20" s="33">
        <v>0</v>
      </c>
      <c r="K20" s="34"/>
      <c r="L20" s="71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2"/>
      <c r="AH20" s="66" t="str">
        <f t="shared" si="3"/>
        <v/>
      </c>
      <c r="AI20" s="66" t="str">
        <f t="shared" si="4"/>
        <v/>
      </c>
      <c r="AJ20" s="66" t="str">
        <f t="shared" si="5"/>
        <v/>
      </c>
      <c r="AK20" s="66" t="str">
        <f t="shared" si="6"/>
        <v/>
      </c>
      <c r="AL20" s="66" t="str">
        <f t="shared" si="7"/>
        <v/>
      </c>
      <c r="AM20" s="66" t="str">
        <f t="shared" si="8"/>
        <v/>
      </c>
      <c r="AN20" s="66" t="str">
        <f t="shared" si="9"/>
        <v/>
      </c>
      <c r="AO20" s="66" t="str">
        <f t="shared" si="10"/>
        <v/>
      </c>
      <c r="AP20" s="66" t="str">
        <f t="shared" si="11"/>
        <v/>
      </c>
      <c r="AQ20" s="66" t="str">
        <f t="shared" si="12"/>
        <v/>
      </c>
      <c r="AR20" s="66" t="str">
        <f t="shared" si="13"/>
        <v/>
      </c>
      <c r="AS20" s="66" t="str">
        <f t="shared" si="14"/>
        <v/>
      </c>
      <c r="AT20" s="66" t="str">
        <f t="shared" si="15"/>
        <v/>
      </c>
      <c r="AU20" s="66" t="str">
        <f t="shared" si="16"/>
        <v/>
      </c>
      <c r="AV20" s="66" t="str">
        <f t="shared" si="17"/>
        <v/>
      </c>
      <c r="AW20" s="66" t="str">
        <f t="shared" si="18"/>
        <v/>
      </c>
      <c r="AX20" s="66" t="str">
        <f t="shared" si="19"/>
        <v/>
      </c>
      <c r="AY20" s="66"/>
      <c r="AZ20" s="66"/>
      <c r="BA20" s="66" t="str">
        <f>IF(OR(ISERROR(AC20/$J20)=TRUE,ISBLANK(AC20)=TRUE),"",AC20/$J20)</f>
        <v/>
      </c>
      <c r="BB20" s="66" t="str">
        <f t="shared" si="20"/>
        <v/>
      </c>
      <c r="BC20" s="3"/>
    </row>
    <row r="21" spans="1:55">
      <c r="A21" s="35">
        <v>1066031</v>
      </c>
      <c r="B21" s="1">
        <v>43</v>
      </c>
      <c r="C21" s="25"/>
      <c r="D21" s="24"/>
      <c r="E21" s="32" t="s">
        <v>61</v>
      </c>
      <c r="F21" s="27">
        <v>42850</v>
      </c>
      <c r="G21" s="198" t="s">
        <v>66</v>
      </c>
      <c r="H21" s="76">
        <v>24</v>
      </c>
      <c r="I21" s="27">
        <v>42861</v>
      </c>
      <c r="J21" s="33">
        <v>1396</v>
      </c>
      <c r="K21" s="34"/>
      <c r="L21" s="71">
        <v>1396</v>
      </c>
      <c r="M21" s="76">
        <v>1017</v>
      </c>
      <c r="N21" s="76">
        <v>871</v>
      </c>
      <c r="O21" s="76">
        <v>698</v>
      </c>
      <c r="P21" s="76">
        <v>506</v>
      </c>
      <c r="Q21" s="76">
        <v>410</v>
      </c>
      <c r="R21" s="76">
        <v>332</v>
      </c>
      <c r="S21" s="76">
        <v>211</v>
      </c>
      <c r="T21" s="76">
        <v>179</v>
      </c>
      <c r="U21" s="76">
        <v>155</v>
      </c>
      <c r="V21" s="76">
        <v>118</v>
      </c>
      <c r="W21" s="76">
        <v>75</v>
      </c>
      <c r="X21" s="76"/>
      <c r="Y21" s="76"/>
      <c r="Z21" s="76"/>
      <c r="AA21" s="76"/>
      <c r="AB21" s="76"/>
      <c r="AC21" s="76"/>
      <c r="AD21" s="76"/>
      <c r="AE21" s="76"/>
      <c r="AF21" s="76"/>
      <c r="AG21" s="2"/>
      <c r="AH21" s="66">
        <f t="shared" si="3"/>
        <v>1</v>
      </c>
      <c r="AI21" s="66">
        <f t="shared" si="4"/>
        <v>0.72851002865329517</v>
      </c>
      <c r="AJ21" s="66">
        <f t="shared" si="5"/>
        <v>0.62392550143266479</v>
      </c>
      <c r="AK21" s="66">
        <f t="shared" si="6"/>
        <v>0.5</v>
      </c>
      <c r="AL21" s="66">
        <f t="shared" si="7"/>
        <v>0.36246418338108882</v>
      </c>
      <c r="AM21" s="66">
        <f t="shared" si="8"/>
        <v>0.29369627507163326</v>
      </c>
      <c r="AN21" s="66">
        <f t="shared" si="9"/>
        <v>0.23782234957020057</v>
      </c>
      <c r="AO21" s="66">
        <f t="shared" si="10"/>
        <v>0.1511461318051576</v>
      </c>
      <c r="AP21" s="66">
        <f t="shared" si="11"/>
        <v>0.12822349570200572</v>
      </c>
      <c r="AQ21" s="66">
        <f t="shared" si="12"/>
        <v>0.11103151862464183</v>
      </c>
      <c r="AR21" s="66">
        <f t="shared" si="13"/>
        <v>8.452722063037249E-2</v>
      </c>
      <c r="AS21" s="66">
        <f t="shared" si="14"/>
        <v>5.3724928366762174E-2</v>
      </c>
      <c r="AT21" s="66" t="str">
        <f t="shared" si="15"/>
        <v/>
      </c>
      <c r="AU21" s="66" t="str">
        <f t="shared" si="16"/>
        <v/>
      </c>
      <c r="AV21" s="66" t="str">
        <f t="shared" si="17"/>
        <v/>
      </c>
      <c r="AW21" s="66" t="str">
        <f t="shared" si="18"/>
        <v/>
      </c>
      <c r="AX21" s="66" t="str">
        <f t="shared" si="19"/>
        <v/>
      </c>
      <c r="AY21" s="66" t="str">
        <f t="shared" ref="AY21:BA24" si="24">IF(OR(ISERROR(AC21/$J21)=TRUE,ISBLANK(AC21)=TRUE),"",AC21/$J21)</f>
        <v/>
      </c>
      <c r="AZ21" s="66" t="str">
        <f t="shared" si="24"/>
        <v/>
      </c>
      <c r="BA21" s="66" t="str">
        <f t="shared" si="24"/>
        <v/>
      </c>
      <c r="BB21" s="66" t="str">
        <f t="shared" si="20"/>
        <v/>
      </c>
      <c r="BC21" s="3"/>
    </row>
    <row r="22" spans="1:55">
      <c r="A22" s="35">
        <v>1066031</v>
      </c>
      <c r="B22" s="1">
        <v>44</v>
      </c>
      <c r="C22" s="25"/>
      <c r="D22" s="24"/>
      <c r="E22" s="32" t="s">
        <v>62</v>
      </c>
      <c r="F22" s="27">
        <v>42850</v>
      </c>
      <c r="G22" s="198" t="s">
        <v>66</v>
      </c>
      <c r="H22" s="76">
        <v>26.8</v>
      </c>
      <c r="I22" s="27">
        <v>42861</v>
      </c>
      <c r="J22" s="33">
        <v>0</v>
      </c>
      <c r="K22" s="34"/>
      <c r="L22" s="71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2"/>
      <c r="AH22" s="66" t="str">
        <f t="shared" si="3"/>
        <v/>
      </c>
      <c r="AI22" s="66" t="str">
        <f t="shared" si="4"/>
        <v/>
      </c>
      <c r="AJ22" s="66" t="str">
        <f t="shared" si="5"/>
        <v/>
      </c>
      <c r="AK22" s="66" t="str">
        <f t="shared" si="6"/>
        <v/>
      </c>
      <c r="AL22" s="66" t="str">
        <f t="shared" si="7"/>
        <v/>
      </c>
      <c r="AM22" s="66" t="str">
        <f t="shared" si="8"/>
        <v/>
      </c>
      <c r="AN22" s="66" t="str">
        <f t="shared" si="9"/>
        <v/>
      </c>
      <c r="AO22" s="66" t="str">
        <f t="shared" si="10"/>
        <v/>
      </c>
      <c r="AP22" s="66" t="str">
        <f t="shared" si="11"/>
        <v/>
      </c>
      <c r="AQ22" s="66" t="str">
        <f t="shared" si="12"/>
        <v/>
      </c>
      <c r="AR22" s="66" t="str">
        <f t="shared" si="13"/>
        <v/>
      </c>
      <c r="AS22" s="66" t="str">
        <f t="shared" si="14"/>
        <v/>
      </c>
      <c r="AT22" s="66" t="str">
        <f t="shared" si="15"/>
        <v/>
      </c>
      <c r="AU22" s="66" t="str">
        <f t="shared" si="16"/>
        <v/>
      </c>
      <c r="AV22" s="66" t="str">
        <f t="shared" si="17"/>
        <v/>
      </c>
      <c r="AW22" s="66" t="str">
        <f t="shared" si="18"/>
        <v/>
      </c>
      <c r="AX22" s="66" t="str">
        <f t="shared" si="19"/>
        <v/>
      </c>
      <c r="AY22" s="66" t="str">
        <f t="shared" si="24"/>
        <v/>
      </c>
      <c r="AZ22" s="66" t="str">
        <f t="shared" si="24"/>
        <v/>
      </c>
      <c r="BA22" s="66" t="str">
        <f t="shared" si="24"/>
        <v/>
      </c>
      <c r="BB22" s="66" t="str">
        <f t="shared" si="20"/>
        <v/>
      </c>
      <c r="BC22" s="3"/>
    </row>
    <row r="23" spans="1:55">
      <c r="A23" s="35">
        <v>1066031</v>
      </c>
      <c r="B23" s="1">
        <v>45</v>
      </c>
      <c r="C23" s="25"/>
      <c r="D23" s="24"/>
      <c r="E23" s="26" t="s">
        <v>61</v>
      </c>
      <c r="F23" s="27">
        <v>42850</v>
      </c>
      <c r="G23" s="198" t="s">
        <v>66</v>
      </c>
      <c r="H23" s="76">
        <v>27.4</v>
      </c>
      <c r="I23" s="27">
        <v>42861</v>
      </c>
      <c r="J23" s="33">
        <v>1479</v>
      </c>
      <c r="K23" s="34"/>
      <c r="L23" s="71">
        <v>1479</v>
      </c>
      <c r="M23" s="76">
        <v>1092</v>
      </c>
      <c r="N23" s="76">
        <v>925</v>
      </c>
      <c r="O23" s="76">
        <v>763</v>
      </c>
      <c r="P23" s="76">
        <v>552</v>
      </c>
      <c r="Q23" s="76">
        <v>457</v>
      </c>
      <c r="R23" s="76">
        <v>361</v>
      </c>
      <c r="S23" s="76">
        <v>231</v>
      </c>
      <c r="T23" s="76">
        <v>192</v>
      </c>
      <c r="U23" s="76">
        <v>169</v>
      </c>
      <c r="V23" s="76">
        <v>122</v>
      </c>
      <c r="W23" s="76">
        <v>85.9</v>
      </c>
      <c r="X23" s="76"/>
      <c r="Y23" s="76"/>
      <c r="Z23" s="76"/>
      <c r="AA23" s="76"/>
      <c r="AB23" s="76"/>
      <c r="AC23" s="76"/>
      <c r="AD23" s="76"/>
      <c r="AE23" s="76"/>
      <c r="AF23" s="76"/>
      <c r="AG23" s="2"/>
      <c r="AH23" s="66">
        <f t="shared" si="3"/>
        <v>1</v>
      </c>
      <c r="AI23" s="66">
        <f t="shared" si="4"/>
        <v>0.73833671399594325</v>
      </c>
      <c r="AJ23" s="66">
        <f t="shared" si="5"/>
        <v>0.62542258282623397</v>
      </c>
      <c r="AK23" s="66">
        <f t="shared" si="6"/>
        <v>0.51588911426639616</v>
      </c>
      <c r="AL23" s="66">
        <f t="shared" si="7"/>
        <v>0.37322515212981744</v>
      </c>
      <c r="AM23" s="66">
        <f t="shared" si="8"/>
        <v>0.30899256254225826</v>
      </c>
      <c r="AN23" s="66">
        <f t="shared" si="9"/>
        <v>0.24408384043272482</v>
      </c>
      <c r="AO23" s="66">
        <f t="shared" si="10"/>
        <v>0.15618661257606492</v>
      </c>
      <c r="AP23" s="66">
        <f t="shared" si="11"/>
        <v>0.12981744421906694</v>
      </c>
      <c r="AQ23" s="66">
        <f t="shared" si="12"/>
        <v>0.11426639621365788</v>
      </c>
      <c r="AR23" s="66">
        <f t="shared" si="13"/>
        <v>8.2488167680865448E-2</v>
      </c>
      <c r="AS23" s="66">
        <f t="shared" si="14"/>
        <v>5.8079783637592974E-2</v>
      </c>
      <c r="AT23" s="66" t="str">
        <f t="shared" si="15"/>
        <v/>
      </c>
      <c r="AU23" s="66" t="str">
        <f t="shared" si="16"/>
        <v/>
      </c>
      <c r="AV23" s="66" t="str">
        <f t="shared" si="17"/>
        <v/>
      </c>
      <c r="AW23" s="66" t="str">
        <f t="shared" si="18"/>
        <v/>
      </c>
      <c r="AX23" s="66" t="str">
        <f t="shared" si="19"/>
        <v/>
      </c>
      <c r="AY23" s="66" t="str">
        <f t="shared" si="24"/>
        <v/>
      </c>
      <c r="AZ23" s="66" t="str">
        <f t="shared" si="24"/>
        <v/>
      </c>
      <c r="BA23" s="66" t="str">
        <f t="shared" si="24"/>
        <v/>
      </c>
      <c r="BB23" s="66" t="str">
        <f t="shared" si="20"/>
        <v/>
      </c>
      <c r="BC23" s="3"/>
    </row>
    <row r="24" spans="1:55">
      <c r="A24" s="35">
        <v>1066032</v>
      </c>
      <c r="B24" s="1">
        <v>51</v>
      </c>
      <c r="C24" s="25"/>
      <c r="D24" s="24"/>
      <c r="E24" s="26" t="s">
        <v>72</v>
      </c>
      <c r="F24" s="27">
        <v>42850</v>
      </c>
      <c r="G24" s="198" t="s">
        <v>66</v>
      </c>
      <c r="H24" s="76">
        <v>27.3</v>
      </c>
      <c r="I24" s="27">
        <v>42861</v>
      </c>
      <c r="J24" s="33">
        <v>1217</v>
      </c>
      <c r="K24" s="34"/>
      <c r="L24" s="71">
        <v>1217</v>
      </c>
      <c r="M24" s="76">
        <v>905</v>
      </c>
      <c r="N24" s="76">
        <v>794</v>
      </c>
      <c r="O24" s="76">
        <v>636</v>
      </c>
      <c r="P24" s="76">
        <v>457</v>
      </c>
      <c r="Q24" s="76">
        <v>385</v>
      </c>
      <c r="R24" s="76">
        <v>308</v>
      </c>
      <c r="S24" s="76">
        <v>204</v>
      </c>
      <c r="T24" s="76">
        <v>164</v>
      </c>
      <c r="U24" s="76">
        <v>142</v>
      </c>
      <c r="V24" s="76">
        <v>107</v>
      </c>
      <c r="W24" s="76">
        <v>70.900000000000006</v>
      </c>
      <c r="X24" s="76"/>
      <c r="Y24" s="76"/>
      <c r="Z24" s="76"/>
      <c r="AA24" s="76"/>
      <c r="AB24" s="76"/>
      <c r="AC24" s="76"/>
      <c r="AD24" s="76"/>
      <c r="AE24" s="76"/>
      <c r="AF24" s="76"/>
      <c r="AG24" s="2"/>
      <c r="AH24" s="66">
        <f t="shared" si="3"/>
        <v>1</v>
      </c>
      <c r="AI24" s="66">
        <f t="shared" si="4"/>
        <v>0.74363188167625305</v>
      </c>
      <c r="AJ24" s="66">
        <f t="shared" si="5"/>
        <v>0.65242399342645852</v>
      </c>
      <c r="AK24" s="66">
        <f t="shared" si="6"/>
        <v>0.52259654889071483</v>
      </c>
      <c r="AL24" s="66">
        <f t="shared" si="7"/>
        <v>0.37551355792933444</v>
      </c>
      <c r="AM24" s="66">
        <f t="shared" si="8"/>
        <v>0.31635168447000822</v>
      </c>
      <c r="AN24" s="66">
        <f t="shared" si="9"/>
        <v>0.25308134757600659</v>
      </c>
      <c r="AO24" s="66">
        <f t="shared" si="10"/>
        <v>0.16762530813475759</v>
      </c>
      <c r="AP24" s="66">
        <f t="shared" si="11"/>
        <v>0.13475760065735415</v>
      </c>
      <c r="AQ24" s="66">
        <f t="shared" si="12"/>
        <v>0.11668036154478226</v>
      </c>
      <c r="AR24" s="66">
        <f t="shared" si="13"/>
        <v>8.7921117502054238E-2</v>
      </c>
      <c r="AS24" s="66">
        <f t="shared" si="14"/>
        <v>5.8258011503697624E-2</v>
      </c>
      <c r="AT24" s="66" t="str">
        <f t="shared" si="15"/>
        <v/>
      </c>
      <c r="AU24" s="66" t="str">
        <f t="shared" si="16"/>
        <v/>
      </c>
      <c r="AV24" s="66" t="str">
        <f t="shared" si="17"/>
        <v/>
      </c>
      <c r="AW24" s="66" t="str">
        <f t="shared" si="18"/>
        <v/>
      </c>
      <c r="AX24" s="66" t="str">
        <f t="shared" si="19"/>
        <v/>
      </c>
      <c r="AY24" s="66" t="str">
        <f t="shared" si="24"/>
        <v/>
      </c>
      <c r="AZ24" s="66" t="str">
        <f t="shared" si="24"/>
        <v/>
      </c>
      <c r="BA24" s="66" t="str">
        <f t="shared" si="24"/>
        <v/>
      </c>
      <c r="BB24" s="66" t="str">
        <f t="shared" si="20"/>
        <v/>
      </c>
      <c r="BC24" s="3"/>
    </row>
    <row r="25" spans="1:55">
      <c r="A25" s="35">
        <v>1066032</v>
      </c>
      <c r="B25" s="1">
        <v>52</v>
      </c>
      <c r="C25" s="25"/>
      <c r="D25" s="24"/>
      <c r="E25" s="32" t="s">
        <v>72</v>
      </c>
      <c r="F25" s="27">
        <v>42850</v>
      </c>
      <c r="G25" s="198" t="s">
        <v>66</v>
      </c>
      <c r="H25" s="76">
        <v>28.2</v>
      </c>
      <c r="I25" s="27">
        <v>42861</v>
      </c>
      <c r="J25" s="33">
        <v>670</v>
      </c>
      <c r="K25" s="34"/>
      <c r="L25" s="71">
        <v>670</v>
      </c>
      <c r="M25" s="76">
        <v>492</v>
      </c>
      <c r="N25" s="76">
        <v>430</v>
      </c>
      <c r="O25" s="76">
        <v>338</v>
      </c>
      <c r="P25" s="76">
        <v>249</v>
      </c>
      <c r="Q25" s="76">
        <v>198</v>
      </c>
      <c r="R25" s="76">
        <v>166</v>
      </c>
      <c r="S25" s="76">
        <v>110</v>
      </c>
      <c r="T25" s="76">
        <v>92</v>
      </c>
      <c r="U25" s="76">
        <v>80</v>
      </c>
      <c r="V25" s="76">
        <v>62</v>
      </c>
      <c r="W25" s="76">
        <v>38.299999999999997</v>
      </c>
      <c r="X25" s="76"/>
      <c r="Y25" s="76"/>
      <c r="Z25" s="76"/>
      <c r="AA25" s="76"/>
      <c r="AB25" s="76"/>
      <c r="AC25" s="76"/>
      <c r="AD25" s="76"/>
      <c r="AE25" s="76"/>
      <c r="AF25" s="76"/>
      <c r="AG25" s="2"/>
      <c r="AH25" s="66">
        <f t="shared" si="3"/>
        <v>1</v>
      </c>
      <c r="AI25" s="66">
        <f t="shared" si="4"/>
        <v>0.73432835820895526</v>
      </c>
      <c r="AJ25" s="66">
        <f t="shared" si="5"/>
        <v>0.64179104477611937</v>
      </c>
      <c r="AK25" s="66">
        <f t="shared" si="6"/>
        <v>0.5044776119402985</v>
      </c>
      <c r="AL25" s="66">
        <f t="shared" si="7"/>
        <v>0.37164179104477613</v>
      </c>
      <c r="AM25" s="66">
        <f t="shared" si="8"/>
        <v>0.29552238805970149</v>
      </c>
      <c r="AN25" s="66">
        <f t="shared" si="9"/>
        <v>0.24776119402985075</v>
      </c>
      <c r="AO25" s="66">
        <f t="shared" si="10"/>
        <v>0.16417910447761194</v>
      </c>
      <c r="AP25" s="66">
        <f t="shared" si="11"/>
        <v>0.1373134328358209</v>
      </c>
      <c r="AQ25" s="66">
        <f t="shared" si="12"/>
        <v>0.11940298507462686</v>
      </c>
      <c r="AR25" s="66">
        <f t="shared" si="13"/>
        <v>9.2537313432835819E-2</v>
      </c>
      <c r="AS25" s="66">
        <f t="shared" si="14"/>
        <v>5.716417910447761E-2</v>
      </c>
      <c r="AT25" s="66" t="str">
        <f t="shared" si="15"/>
        <v/>
      </c>
      <c r="AU25" s="66" t="str">
        <f t="shared" si="16"/>
        <v/>
      </c>
      <c r="AV25" s="66" t="str">
        <f t="shared" si="17"/>
        <v/>
      </c>
      <c r="AW25" s="66" t="str">
        <f t="shared" si="18"/>
        <v/>
      </c>
      <c r="AX25" s="66" t="str">
        <f t="shared" si="19"/>
        <v/>
      </c>
      <c r="AY25" s="66"/>
      <c r="AZ25" s="66"/>
      <c r="BA25" s="66" t="str">
        <f>IF(OR(ISERROR(AC25/$J25)=TRUE,ISBLANK(AC25)=TRUE),"",AC25/$J25)</f>
        <v/>
      </c>
      <c r="BB25" s="66" t="str">
        <f t="shared" si="20"/>
        <v/>
      </c>
      <c r="BC25" s="3"/>
    </row>
    <row r="26" spans="1:55">
      <c r="A26" s="35">
        <v>1066032</v>
      </c>
      <c r="B26" s="1">
        <v>53</v>
      </c>
      <c r="C26" s="25"/>
      <c r="D26" s="24"/>
      <c r="E26" s="32" t="s">
        <v>62</v>
      </c>
      <c r="F26" s="27">
        <v>42850</v>
      </c>
      <c r="G26" s="198" t="s">
        <v>66</v>
      </c>
      <c r="H26" s="76">
        <v>27.6</v>
      </c>
      <c r="I26" s="27">
        <v>42861</v>
      </c>
      <c r="J26" s="33">
        <v>0</v>
      </c>
      <c r="K26" s="34"/>
      <c r="L26" s="71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2"/>
      <c r="AH26" s="66" t="str">
        <f t="shared" si="3"/>
        <v/>
      </c>
      <c r="AI26" s="66" t="str">
        <f t="shared" si="4"/>
        <v/>
      </c>
      <c r="AJ26" s="66" t="str">
        <f t="shared" si="5"/>
        <v/>
      </c>
      <c r="AK26" s="66" t="str">
        <f t="shared" si="6"/>
        <v/>
      </c>
      <c r="AL26" s="66" t="str">
        <f t="shared" si="7"/>
        <v/>
      </c>
      <c r="AM26" s="66" t="str">
        <f t="shared" si="8"/>
        <v/>
      </c>
      <c r="AN26" s="66" t="str">
        <f t="shared" si="9"/>
        <v/>
      </c>
      <c r="AO26" s="66" t="str">
        <f t="shared" si="10"/>
        <v/>
      </c>
      <c r="AP26" s="66" t="str">
        <f t="shared" si="11"/>
        <v/>
      </c>
      <c r="AQ26" s="66" t="str">
        <f t="shared" si="12"/>
        <v/>
      </c>
      <c r="AR26" s="66" t="str">
        <f t="shared" si="13"/>
        <v/>
      </c>
      <c r="AS26" s="66" t="str">
        <f t="shared" si="14"/>
        <v/>
      </c>
      <c r="AT26" s="66" t="str">
        <f t="shared" si="15"/>
        <v/>
      </c>
      <c r="AU26" s="66" t="str">
        <f t="shared" si="16"/>
        <v/>
      </c>
      <c r="AV26" s="66" t="str">
        <f t="shared" si="17"/>
        <v/>
      </c>
      <c r="AW26" s="66" t="str">
        <f t="shared" si="18"/>
        <v/>
      </c>
      <c r="AX26" s="66" t="str">
        <f t="shared" si="19"/>
        <v/>
      </c>
      <c r="AY26" s="66" t="str">
        <f t="shared" ref="AY26:BA27" si="25">IF(OR(ISERROR(AC26/$J26)=TRUE,ISBLANK(AC26)=TRUE),"",AC26/$J26)</f>
        <v/>
      </c>
      <c r="AZ26" s="66" t="str">
        <f t="shared" si="25"/>
        <v/>
      </c>
      <c r="BA26" s="66" t="str">
        <f t="shared" si="25"/>
        <v/>
      </c>
      <c r="BB26" s="66" t="str">
        <f t="shared" si="20"/>
        <v/>
      </c>
      <c r="BC26" s="3"/>
    </row>
    <row r="27" spans="1:55">
      <c r="A27" s="35">
        <v>1066032</v>
      </c>
      <c r="B27" s="1">
        <v>54</v>
      </c>
      <c r="C27" s="25"/>
      <c r="D27" s="24"/>
      <c r="E27" s="32" t="s">
        <v>72</v>
      </c>
      <c r="F27" s="27">
        <v>42850</v>
      </c>
      <c r="G27" s="198" t="s">
        <v>66</v>
      </c>
      <c r="H27" s="76">
        <v>26.7</v>
      </c>
      <c r="I27" s="27">
        <v>42861</v>
      </c>
      <c r="J27" s="33">
        <v>1495</v>
      </c>
      <c r="K27" s="34"/>
      <c r="L27" s="71">
        <v>1495</v>
      </c>
      <c r="M27" s="76">
        <v>1054</v>
      </c>
      <c r="N27" s="76">
        <v>924</v>
      </c>
      <c r="O27" s="76">
        <v>735</v>
      </c>
      <c r="P27" s="76">
        <v>519</v>
      </c>
      <c r="Q27" s="76">
        <v>416</v>
      </c>
      <c r="R27" s="76">
        <v>348</v>
      </c>
      <c r="S27" s="76">
        <v>232</v>
      </c>
      <c r="T27" s="76">
        <v>184</v>
      </c>
      <c r="U27" s="76">
        <v>159</v>
      </c>
      <c r="V27" s="76">
        <v>124</v>
      </c>
      <c r="W27" s="76">
        <v>82.6</v>
      </c>
      <c r="X27" s="76"/>
      <c r="Y27" s="76"/>
      <c r="Z27" s="76"/>
      <c r="AA27" s="76"/>
      <c r="AB27" s="76"/>
      <c r="AC27" s="76"/>
      <c r="AD27" s="76"/>
      <c r="AE27" s="76"/>
      <c r="AF27" s="76"/>
      <c r="AG27" s="2"/>
      <c r="AH27" s="66">
        <f t="shared" si="3"/>
        <v>1</v>
      </c>
      <c r="AI27" s="66">
        <f t="shared" si="4"/>
        <v>0.70501672240802671</v>
      </c>
      <c r="AJ27" s="66">
        <f t="shared" si="5"/>
        <v>0.61806020066889633</v>
      </c>
      <c r="AK27" s="66">
        <f t="shared" si="6"/>
        <v>0.49163879598662208</v>
      </c>
      <c r="AL27" s="66">
        <f t="shared" si="7"/>
        <v>0.34715719063545153</v>
      </c>
      <c r="AM27" s="66">
        <f t="shared" si="8"/>
        <v>0.27826086956521739</v>
      </c>
      <c r="AN27" s="66">
        <f t="shared" si="9"/>
        <v>0.23277591973244147</v>
      </c>
      <c r="AO27" s="66">
        <f t="shared" si="10"/>
        <v>0.15518394648829431</v>
      </c>
      <c r="AP27" s="66">
        <f t="shared" si="11"/>
        <v>0.12307692307692308</v>
      </c>
      <c r="AQ27" s="66">
        <f t="shared" si="12"/>
        <v>0.10635451505016723</v>
      </c>
      <c r="AR27" s="66">
        <f t="shared" si="13"/>
        <v>8.2943143812709036E-2</v>
      </c>
      <c r="AS27" s="66">
        <f t="shared" si="14"/>
        <v>5.5250836120401332E-2</v>
      </c>
      <c r="AT27" s="66" t="str">
        <f t="shared" si="15"/>
        <v/>
      </c>
      <c r="AU27" s="66" t="str">
        <f t="shared" si="16"/>
        <v/>
      </c>
      <c r="AV27" s="66" t="str">
        <f t="shared" si="17"/>
        <v/>
      </c>
      <c r="AW27" s="66" t="str">
        <f t="shared" si="18"/>
        <v/>
      </c>
      <c r="AX27" s="66" t="str">
        <f t="shared" si="19"/>
        <v/>
      </c>
      <c r="AY27" s="66" t="str">
        <f t="shared" si="25"/>
        <v/>
      </c>
      <c r="AZ27" s="66" t="str">
        <f t="shared" si="25"/>
        <v/>
      </c>
      <c r="BA27" s="66" t="str">
        <f t="shared" si="25"/>
        <v/>
      </c>
      <c r="BB27" s="66" t="str">
        <f t="shared" si="20"/>
        <v/>
      </c>
      <c r="BC27" s="3"/>
    </row>
    <row r="28" spans="1:55" s="80" customFormat="1">
      <c r="A28" s="98"/>
      <c r="B28" s="81"/>
      <c r="C28" s="99"/>
      <c r="D28" s="81"/>
      <c r="E28" s="90"/>
      <c r="F28" s="100"/>
      <c r="G28" s="199"/>
      <c r="H28" s="89"/>
      <c r="I28" s="100"/>
      <c r="J28" s="101"/>
      <c r="K28" s="81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</row>
    <row r="29" spans="1:55" s="80" customFormat="1" ht="15" customHeight="1">
      <c r="A29" s="113"/>
      <c r="B29" s="79"/>
      <c r="C29" s="114"/>
      <c r="D29" s="79"/>
      <c r="E29" s="84" t="s">
        <v>17</v>
      </c>
      <c r="F29" s="115"/>
      <c r="G29" s="215"/>
      <c r="H29" s="117"/>
      <c r="I29" s="355" t="s">
        <v>18</v>
      </c>
      <c r="J29" s="355"/>
      <c r="K29" s="356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9" t="s">
        <v>18</v>
      </c>
      <c r="AH29" s="134">
        <f t="shared" ref="AH29:BB29" si="26">EXP(AH4*-LN(2)/8.0197)</f>
        <v>1</v>
      </c>
      <c r="AI29" s="134">
        <f t="shared" si="26"/>
        <v>0.91719923476942955</v>
      </c>
      <c r="AJ29" s="134">
        <f t="shared" si="26"/>
        <v>0.8412544362616271</v>
      </c>
      <c r="AK29" s="134">
        <f t="shared" si="26"/>
        <v>0.707709026529868</v>
      </c>
      <c r="AL29" s="134">
        <f t="shared" si="26"/>
        <v>0.54606681650553313</v>
      </c>
      <c r="AM29" s="134">
        <f t="shared" si="26"/>
        <v>0.45938113188054369</v>
      </c>
      <c r="AN29" s="134">
        <f t="shared" si="26"/>
        <v>0.38645641512939494</v>
      </c>
      <c r="AO29" s="134">
        <f t="shared" si="26"/>
        <v>0.25085279224871693</v>
      </c>
      <c r="AP29" s="134">
        <f t="shared" si="26"/>
        <v>0.21103102432784945</v>
      </c>
      <c r="AQ29" s="134">
        <f t="shared" si="26"/>
        <v>0.17753078540463868</v>
      </c>
      <c r="AR29" s="134">
        <f t="shared" si="26"/>
        <v>0.13698238567478072</v>
      </c>
      <c r="AS29" s="134">
        <f t="shared" si="26"/>
        <v>9.6943670817638009E-2</v>
      </c>
      <c r="AT29" s="134" t="e">
        <f t="shared" si="26"/>
        <v>#VALUE!</v>
      </c>
      <c r="AU29" s="134" t="e">
        <f t="shared" si="26"/>
        <v>#VALUE!</v>
      </c>
      <c r="AV29" s="134" t="e">
        <f t="shared" si="26"/>
        <v>#VALUE!</v>
      </c>
      <c r="AW29" s="134" t="e">
        <f t="shared" si="26"/>
        <v>#VALUE!</v>
      </c>
      <c r="AX29" s="134" t="e">
        <f t="shared" si="26"/>
        <v>#VALUE!</v>
      </c>
      <c r="AY29" s="134" t="e">
        <f t="shared" si="26"/>
        <v>#VALUE!</v>
      </c>
      <c r="AZ29" s="134" t="e">
        <f t="shared" si="26"/>
        <v>#VALUE!</v>
      </c>
      <c r="BA29" s="134" t="e">
        <f t="shared" si="26"/>
        <v>#VALUE!</v>
      </c>
      <c r="BB29" s="134" t="e">
        <f t="shared" si="26"/>
        <v>#VALUE!</v>
      </c>
      <c r="BC29" s="88"/>
    </row>
    <row r="30" spans="1:55" s="80" customFormat="1">
      <c r="A30" s="113"/>
      <c r="B30" s="79"/>
      <c r="C30" s="114"/>
      <c r="D30" s="79"/>
      <c r="F30" s="115"/>
      <c r="G30" s="215"/>
      <c r="H30" s="117"/>
      <c r="I30" s="118"/>
      <c r="J30" s="116"/>
      <c r="K30" s="79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2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88"/>
    </row>
    <row r="31" spans="1:55" ht="14.25" customHeight="1">
      <c r="A31" s="77"/>
      <c r="B31" s="77"/>
      <c r="C31" s="77"/>
      <c r="D31" s="38"/>
      <c r="E31" s="84" t="s">
        <v>16</v>
      </c>
      <c r="F31" s="78"/>
      <c r="G31" s="200"/>
      <c r="H31" s="75"/>
      <c r="I31" s="353" t="s">
        <v>16</v>
      </c>
      <c r="J31" s="36">
        <f>AVERAGE(J5:J27)</f>
        <v>619.73913043478262</v>
      </c>
      <c r="K31" s="96" t="s">
        <v>9</v>
      </c>
      <c r="L31" s="71">
        <f t="shared" ref="L31:AF31" si="27">AVERAGE(L5:L27)</f>
        <v>619.73913043478262</v>
      </c>
      <c r="M31" s="71">
        <f t="shared" si="27"/>
        <v>447.04347826086956</v>
      </c>
      <c r="N31" s="71">
        <f t="shared" si="27"/>
        <v>386.95652173913044</v>
      </c>
      <c r="O31" s="71">
        <f t="shared" si="27"/>
        <v>310.04347826086956</v>
      </c>
      <c r="P31" s="71">
        <f t="shared" si="27"/>
        <v>222.2608695652174</v>
      </c>
      <c r="Q31" s="71">
        <f t="shared" si="27"/>
        <v>181.86956521739131</v>
      </c>
      <c r="R31" s="71">
        <f t="shared" si="27"/>
        <v>148.2608695652174</v>
      </c>
      <c r="S31" s="71">
        <f t="shared" si="27"/>
        <v>97.304347826086953</v>
      </c>
      <c r="T31" s="71">
        <f t="shared" si="27"/>
        <v>82.954545454545453</v>
      </c>
      <c r="U31" s="71">
        <f t="shared" si="27"/>
        <v>75.61904761904762</v>
      </c>
      <c r="V31" s="71">
        <f t="shared" si="27"/>
        <v>60.3</v>
      </c>
      <c r="W31" s="71">
        <f t="shared" si="27"/>
        <v>56.128571428571426</v>
      </c>
      <c r="X31" s="71" t="e">
        <f t="shared" si="27"/>
        <v>#DIV/0!</v>
      </c>
      <c r="Y31" s="71" t="e">
        <f t="shared" si="27"/>
        <v>#DIV/0!</v>
      </c>
      <c r="Z31" s="71" t="e">
        <f t="shared" si="27"/>
        <v>#DIV/0!</v>
      </c>
      <c r="AA31" s="71" t="e">
        <f t="shared" si="27"/>
        <v>#DIV/0!</v>
      </c>
      <c r="AB31" s="71" t="e">
        <f t="shared" si="27"/>
        <v>#DIV/0!</v>
      </c>
      <c r="AC31" s="71" t="e">
        <f t="shared" si="27"/>
        <v>#DIV/0!</v>
      </c>
      <c r="AD31" s="71" t="e">
        <f t="shared" si="27"/>
        <v>#DIV/0!</v>
      </c>
      <c r="AE31" s="71" t="e">
        <f t="shared" si="27"/>
        <v>#DIV/0!</v>
      </c>
      <c r="AF31" s="71" t="e">
        <f t="shared" si="27"/>
        <v>#DIV/0!</v>
      </c>
      <c r="AG31" s="119" t="s">
        <v>9</v>
      </c>
      <c r="AH31" s="66">
        <f t="shared" ref="AH31:BB31" si="28">AVERAGE(AH5:AH27)</f>
        <v>1</v>
      </c>
      <c r="AI31" s="66">
        <f t="shared" si="28"/>
        <v>0.72299414639203796</v>
      </c>
      <c r="AJ31" s="66">
        <f t="shared" si="28"/>
        <v>0.62635773420007912</v>
      </c>
      <c r="AK31" s="66">
        <f t="shared" si="28"/>
        <v>0.50127291268986485</v>
      </c>
      <c r="AL31" s="66">
        <f t="shared" si="28"/>
        <v>0.35995771347149058</v>
      </c>
      <c r="AM31" s="66">
        <f t="shared" si="28"/>
        <v>0.29391834405256434</v>
      </c>
      <c r="AN31" s="66">
        <f t="shared" si="28"/>
        <v>0.24036733276061137</v>
      </c>
      <c r="AO31" s="66">
        <f t="shared" si="28"/>
        <v>0.15805043638805444</v>
      </c>
      <c r="AP31" s="66">
        <f t="shared" si="28"/>
        <v>0.12901704906841943</v>
      </c>
      <c r="AQ31" s="66">
        <f t="shared" si="28"/>
        <v>0.11216945814169593</v>
      </c>
      <c r="AR31" s="66">
        <f t="shared" si="28"/>
        <v>8.529095055687351E-2</v>
      </c>
      <c r="AS31" s="66">
        <f t="shared" si="28"/>
        <v>5.5236850756197102E-2</v>
      </c>
      <c r="AT31" s="66" t="e">
        <f t="shared" si="28"/>
        <v>#DIV/0!</v>
      </c>
      <c r="AU31" s="66" t="e">
        <f t="shared" si="28"/>
        <v>#DIV/0!</v>
      </c>
      <c r="AV31" s="66" t="e">
        <f t="shared" si="28"/>
        <v>#DIV/0!</v>
      </c>
      <c r="AW31" s="66" t="e">
        <f t="shared" si="28"/>
        <v>#DIV/0!</v>
      </c>
      <c r="AX31" s="66" t="e">
        <f t="shared" si="28"/>
        <v>#DIV/0!</v>
      </c>
      <c r="AY31" s="66" t="e">
        <f t="shared" si="28"/>
        <v>#DIV/0!</v>
      </c>
      <c r="AZ31" s="66" t="e">
        <f t="shared" si="28"/>
        <v>#DIV/0!</v>
      </c>
      <c r="BA31" s="66" t="e">
        <f t="shared" si="28"/>
        <v>#DIV/0!</v>
      </c>
      <c r="BB31" s="66" t="e">
        <f t="shared" si="28"/>
        <v>#DIV/0!</v>
      </c>
      <c r="BC31" s="69"/>
    </row>
    <row r="32" spans="1:55" ht="14.25" customHeight="1">
      <c r="A32" s="39"/>
      <c r="B32" s="38"/>
      <c r="C32" s="40"/>
      <c r="D32" s="38"/>
      <c r="E32" s="82"/>
      <c r="F32" s="64"/>
      <c r="G32" s="200"/>
      <c r="H32" s="75"/>
      <c r="I32" s="353"/>
      <c r="J32" s="36">
        <f>_xlfn.STDEV.P(J5:J27)</f>
        <v>623.37023804974876</v>
      </c>
      <c r="K32" s="96" t="s">
        <v>11</v>
      </c>
      <c r="L32" s="74">
        <f t="shared" ref="L32:AF32" si="29">STDEVA(L5:L27)</f>
        <v>637.38030729422621</v>
      </c>
      <c r="M32" s="74">
        <f t="shared" si="29"/>
        <v>458.95855212553778</v>
      </c>
      <c r="N32" s="74">
        <f t="shared" si="29"/>
        <v>396.65791057750937</v>
      </c>
      <c r="O32" s="74">
        <f t="shared" si="29"/>
        <v>318.40789709554366</v>
      </c>
      <c r="P32" s="74">
        <f t="shared" si="29"/>
        <v>227.78343330918202</v>
      </c>
      <c r="Q32" s="74">
        <f t="shared" si="29"/>
        <v>186.90841324218519</v>
      </c>
      <c r="R32" s="74">
        <f t="shared" si="29"/>
        <v>151.63389444535161</v>
      </c>
      <c r="S32" s="74">
        <f t="shared" si="29"/>
        <v>99.300020499223692</v>
      </c>
      <c r="T32" s="74">
        <f t="shared" si="29"/>
        <v>80.908812441760205</v>
      </c>
      <c r="U32" s="74">
        <f t="shared" si="29"/>
        <v>70.277646652741723</v>
      </c>
      <c r="V32" s="74">
        <f t="shared" si="29"/>
        <v>52.959865638245844</v>
      </c>
      <c r="W32" s="74">
        <f t="shared" si="29"/>
        <v>27.570202102198031</v>
      </c>
      <c r="X32" s="74" t="e">
        <f t="shared" si="29"/>
        <v>#DIV/0!</v>
      </c>
      <c r="Y32" s="74" t="e">
        <f t="shared" si="29"/>
        <v>#DIV/0!</v>
      </c>
      <c r="Z32" s="74" t="e">
        <f t="shared" si="29"/>
        <v>#DIV/0!</v>
      </c>
      <c r="AA32" s="74" t="e">
        <f t="shared" si="29"/>
        <v>#DIV/0!</v>
      </c>
      <c r="AB32" s="74" t="e">
        <f t="shared" si="29"/>
        <v>#DIV/0!</v>
      </c>
      <c r="AC32" s="74" t="e">
        <f t="shared" si="29"/>
        <v>#DIV/0!</v>
      </c>
      <c r="AD32" s="74" t="e">
        <f t="shared" si="29"/>
        <v>#DIV/0!</v>
      </c>
      <c r="AE32" s="74" t="e">
        <f t="shared" si="29"/>
        <v>#DIV/0!</v>
      </c>
      <c r="AF32" s="74" t="e">
        <f t="shared" si="29"/>
        <v>#DIV/0!</v>
      </c>
      <c r="AG32" s="125" t="s">
        <v>11</v>
      </c>
      <c r="AH32" s="67">
        <f t="shared" ref="AH32:BB32" si="30">STDEVA(AH5:AH27)</f>
        <v>0.5107539184552492</v>
      </c>
      <c r="AI32" s="67">
        <f t="shared" si="30"/>
        <v>0.36963994512568971</v>
      </c>
      <c r="AJ32" s="67">
        <f t="shared" si="30"/>
        <v>0.32021953618039939</v>
      </c>
      <c r="AK32" s="67">
        <f t="shared" si="30"/>
        <v>0.25626072871831007</v>
      </c>
      <c r="AL32" s="67">
        <f t="shared" si="30"/>
        <v>0.18406453796172012</v>
      </c>
      <c r="AM32" s="67">
        <f t="shared" si="30"/>
        <v>0.1503296323279702</v>
      </c>
      <c r="AN32" s="67">
        <f t="shared" si="30"/>
        <v>0.12292513929287814</v>
      </c>
      <c r="AO32" s="67">
        <f t="shared" si="30"/>
        <v>8.0878298733928419E-2</v>
      </c>
      <c r="AP32" s="67">
        <f t="shared" si="30"/>
        <v>6.6048475494623907E-2</v>
      </c>
      <c r="AQ32" s="67">
        <f t="shared" si="30"/>
        <v>5.7393952569017012E-2</v>
      </c>
      <c r="AR32" s="67">
        <f t="shared" si="30"/>
        <v>4.3652123673952971E-2</v>
      </c>
      <c r="AS32" s="67">
        <f t="shared" si="30"/>
        <v>2.8247620958154866E-2</v>
      </c>
      <c r="AT32" s="67">
        <f t="shared" si="30"/>
        <v>0</v>
      </c>
      <c r="AU32" s="67">
        <f t="shared" si="30"/>
        <v>0</v>
      </c>
      <c r="AV32" s="67">
        <f t="shared" si="30"/>
        <v>0</v>
      </c>
      <c r="AW32" s="67">
        <f t="shared" si="30"/>
        <v>0</v>
      </c>
      <c r="AX32" s="67">
        <f t="shared" si="30"/>
        <v>0</v>
      </c>
      <c r="AY32" s="67">
        <f t="shared" si="30"/>
        <v>0</v>
      </c>
      <c r="AZ32" s="67">
        <f t="shared" si="30"/>
        <v>0</v>
      </c>
      <c r="BA32" s="67">
        <f t="shared" si="30"/>
        <v>0</v>
      </c>
      <c r="BB32" s="67">
        <f t="shared" si="30"/>
        <v>0</v>
      </c>
      <c r="BC32" s="69"/>
    </row>
    <row r="33" spans="1:55" ht="12.75" customHeight="1">
      <c r="A33" s="103"/>
      <c r="E33" s="83"/>
      <c r="K33" s="12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122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120"/>
    </row>
    <row r="34" spans="1:55" ht="14.25" customHeight="1">
      <c r="A34" s="103"/>
      <c r="E34" s="108" t="str">
        <f>'NAB_PTX Groups'!C6</f>
        <v>BxPc3 - Control</v>
      </c>
      <c r="I34" s="108" t="str">
        <f>E34</f>
        <v>BxPc3 - Control</v>
      </c>
      <c r="J34" s="97">
        <f>AVERAGEIF($E$5:$E$27,$E34,J$5:J$27)</f>
        <v>0</v>
      </c>
      <c r="K34" s="96" t="s">
        <v>9</v>
      </c>
      <c r="L34" s="71">
        <f t="shared" ref="L34:AF34" si="31">AVERAGEIF($E$5:$E$27,$E34,L$5:L$27)</f>
        <v>0</v>
      </c>
      <c r="M34" s="71">
        <f t="shared" si="31"/>
        <v>0</v>
      </c>
      <c r="N34" s="71">
        <f t="shared" si="31"/>
        <v>0</v>
      </c>
      <c r="O34" s="71">
        <f t="shared" si="31"/>
        <v>0</v>
      </c>
      <c r="P34" s="71">
        <f t="shared" si="31"/>
        <v>0</v>
      </c>
      <c r="Q34" s="71">
        <f t="shared" si="31"/>
        <v>0</v>
      </c>
      <c r="R34" s="71">
        <f t="shared" si="31"/>
        <v>0</v>
      </c>
      <c r="S34" s="71">
        <f t="shared" si="31"/>
        <v>0</v>
      </c>
      <c r="T34" s="71">
        <f t="shared" si="31"/>
        <v>0</v>
      </c>
      <c r="U34" s="71">
        <f t="shared" si="31"/>
        <v>0</v>
      </c>
      <c r="V34" s="71">
        <f t="shared" si="31"/>
        <v>0</v>
      </c>
      <c r="W34" s="71" t="e">
        <f t="shared" si="31"/>
        <v>#DIV/0!</v>
      </c>
      <c r="X34" s="71" t="e">
        <f t="shared" si="31"/>
        <v>#DIV/0!</v>
      </c>
      <c r="Y34" s="71" t="e">
        <f t="shared" si="31"/>
        <v>#DIV/0!</v>
      </c>
      <c r="Z34" s="71" t="e">
        <f t="shared" si="31"/>
        <v>#DIV/0!</v>
      </c>
      <c r="AA34" s="71" t="e">
        <f t="shared" si="31"/>
        <v>#DIV/0!</v>
      </c>
      <c r="AB34" s="71" t="e">
        <f t="shared" si="31"/>
        <v>#DIV/0!</v>
      </c>
      <c r="AC34" s="71" t="e">
        <f t="shared" si="31"/>
        <v>#DIV/0!</v>
      </c>
      <c r="AD34" s="71" t="e">
        <f t="shared" si="31"/>
        <v>#DIV/0!</v>
      </c>
      <c r="AE34" s="71" t="e">
        <f t="shared" si="31"/>
        <v>#DIV/0!</v>
      </c>
      <c r="AF34" s="71" t="e">
        <f t="shared" si="31"/>
        <v>#DIV/0!</v>
      </c>
      <c r="AG34" s="126" t="s">
        <v>9</v>
      </c>
      <c r="AH34" s="66" t="e">
        <f t="shared" ref="AH34:BB34" si="32">AVERAGEIF($E$5:$E$27,$E34,AH$5:AH$27)</f>
        <v>#DIV/0!</v>
      </c>
      <c r="AI34" s="66" t="e">
        <f t="shared" si="32"/>
        <v>#DIV/0!</v>
      </c>
      <c r="AJ34" s="66" t="e">
        <f t="shared" si="32"/>
        <v>#DIV/0!</v>
      </c>
      <c r="AK34" s="66" t="e">
        <f t="shared" si="32"/>
        <v>#DIV/0!</v>
      </c>
      <c r="AL34" s="66" t="e">
        <f t="shared" si="32"/>
        <v>#DIV/0!</v>
      </c>
      <c r="AM34" s="66" t="e">
        <f t="shared" si="32"/>
        <v>#DIV/0!</v>
      </c>
      <c r="AN34" s="66" t="e">
        <f t="shared" si="32"/>
        <v>#DIV/0!</v>
      </c>
      <c r="AO34" s="66" t="e">
        <f t="shared" si="32"/>
        <v>#DIV/0!</v>
      </c>
      <c r="AP34" s="66" t="e">
        <f t="shared" si="32"/>
        <v>#DIV/0!</v>
      </c>
      <c r="AQ34" s="66" t="e">
        <f t="shared" si="32"/>
        <v>#DIV/0!</v>
      </c>
      <c r="AR34" s="66" t="e">
        <f t="shared" si="32"/>
        <v>#DIV/0!</v>
      </c>
      <c r="AS34" s="66" t="e">
        <f t="shared" si="32"/>
        <v>#DIV/0!</v>
      </c>
      <c r="AT34" s="66" t="e">
        <f t="shared" si="32"/>
        <v>#DIV/0!</v>
      </c>
      <c r="AU34" s="66" t="e">
        <f t="shared" si="32"/>
        <v>#DIV/0!</v>
      </c>
      <c r="AV34" s="66" t="e">
        <f t="shared" si="32"/>
        <v>#DIV/0!</v>
      </c>
      <c r="AW34" s="66" t="e">
        <f t="shared" si="32"/>
        <v>#DIV/0!</v>
      </c>
      <c r="AX34" s="66" t="e">
        <f t="shared" si="32"/>
        <v>#DIV/0!</v>
      </c>
      <c r="AY34" s="66" t="e">
        <f t="shared" si="32"/>
        <v>#DIV/0!</v>
      </c>
      <c r="AZ34" s="66" t="e">
        <f t="shared" si="32"/>
        <v>#DIV/0!</v>
      </c>
      <c r="BA34" s="66" t="e">
        <f t="shared" si="32"/>
        <v>#DIV/0!</v>
      </c>
      <c r="BB34" s="66" t="e">
        <f t="shared" si="32"/>
        <v>#DIV/0!</v>
      </c>
      <c r="BC34" s="69"/>
    </row>
    <row r="35" spans="1:55" ht="14.25" customHeight="1">
      <c r="A35" s="103"/>
      <c r="E35" s="83"/>
      <c r="I35" s="83"/>
      <c r="J35" s="97">
        <f t="array" ref="J35">_xlfn.STDEV.P(IF($E$5:$E$27=$E34,J$5:J$27))</f>
        <v>0</v>
      </c>
      <c r="K35" s="96" t="s">
        <v>11</v>
      </c>
      <c r="L35" s="71">
        <f t="array" ref="L35">_xlfn.STDEV.P(IF($E$5:$E$27=$E34,L$5:L$27))</f>
        <v>0</v>
      </c>
      <c r="M35" s="71">
        <f t="array" ref="M35">_xlfn.STDEV.P(IF($E$5:$E$27=$E34,M$5:M$27))</f>
        <v>0</v>
      </c>
      <c r="N35" s="71">
        <f t="array" ref="N35">_xlfn.STDEV.P(IF($E$5:$E$27=$E34,N$5:N$27))</f>
        <v>0</v>
      </c>
      <c r="O35" s="71">
        <f t="array" ref="O35">_xlfn.STDEV.P(IF($E$5:$E$27=$E34,O$5:O$27))</f>
        <v>0</v>
      </c>
      <c r="P35" s="71">
        <f t="array" ref="P35">_xlfn.STDEV.P(IF($E$5:$E$27=$E34,P$5:P$27))</f>
        <v>0</v>
      </c>
      <c r="Q35" s="71">
        <f t="array" ref="Q35">_xlfn.STDEV.P(IF($E$5:$E$27=$E34,Q$5:Q$27))</f>
        <v>0</v>
      </c>
      <c r="R35" s="71">
        <f t="array" ref="R35">_xlfn.STDEV.P(IF($E$5:$E$27=$E34,R$5:R$27))</f>
        <v>0</v>
      </c>
      <c r="S35" s="71">
        <f t="array" ref="S35">_xlfn.STDEV.P(IF($E$5:$E$27=$E34,S$5:S$27))</f>
        <v>0</v>
      </c>
      <c r="T35" s="71">
        <f t="array" ref="T35">_xlfn.STDEV.P(IF($E$5:$E$27=$E34,T$5:T$27))</f>
        <v>0</v>
      </c>
      <c r="U35" s="71">
        <f t="array" ref="U35">_xlfn.STDEV.P(IF($E$5:$E$27=$E34,U$5:U$27))</f>
        <v>0</v>
      </c>
      <c r="V35" s="71">
        <f t="array" ref="V35">_xlfn.STDEV.P(IF($E$5:$E$27=$E34,V$5:V$27))</f>
        <v>0</v>
      </c>
      <c r="W35" s="71">
        <f t="array" ref="W35">_xlfn.STDEV.P(IF($E$5:$E$27=$E34,W$5:W$27))</f>
        <v>0</v>
      </c>
      <c r="X35" s="71">
        <f t="array" ref="X35">_xlfn.STDEV.P(IF($E$5:$E$27=$E34,X$5:X$27))</f>
        <v>0</v>
      </c>
      <c r="Y35" s="71">
        <f t="array" ref="Y35">_xlfn.STDEV.P(IF($E$5:$E$27=$E34,Y$5:Y$27))</f>
        <v>0</v>
      </c>
      <c r="Z35" s="71">
        <f t="array" ref="Z35">_xlfn.STDEV.P(IF($E$5:$E$27=$E34,Z$5:Z$27))</f>
        <v>0</v>
      </c>
      <c r="AA35" s="71">
        <f t="array" ref="AA35">_xlfn.STDEV.P(IF($E$5:$E$27=$E34,AA$5:AA$27))</f>
        <v>0</v>
      </c>
      <c r="AB35" s="71">
        <f t="array" ref="AB35">_xlfn.STDEV.P(IF($E$5:$E$27=$E34,AB$5:AB$27))</f>
        <v>0</v>
      </c>
      <c r="AC35" s="71">
        <f t="array" ref="AC35">_xlfn.STDEV.P(IF($E$5:$E$27=$E34,AC$5:AC$27))</f>
        <v>0</v>
      </c>
      <c r="AD35" s="71">
        <f t="array" ref="AD35">_xlfn.STDEV.P(IF($E$5:$E$27=$E34,AD$5:AD$27))</f>
        <v>0</v>
      </c>
      <c r="AE35" s="71">
        <f t="array" ref="AE35">_xlfn.STDEV.P(IF($E$5:$E$27=$E34,AE$5:AE$27))</f>
        <v>0</v>
      </c>
      <c r="AF35" s="71">
        <f t="array" ref="AF35">_xlfn.STDEV.P(IF($E$5:$E$27=$E34,AF$5:AF$27))</f>
        <v>0</v>
      </c>
      <c r="AG35" s="127" t="s">
        <v>11</v>
      </c>
      <c r="AH35" s="67" t="e">
        <f t="array" ref="AH35">_xlfn.STDEV.P(IF($E$5:$E$27=$E34,AH$5:AH$27))</f>
        <v>#DIV/0!</v>
      </c>
      <c r="AI35" s="67" t="e">
        <f t="array" ref="AI35">_xlfn.STDEV.P(IF($E$5:$E$27=$E34,AI$5:AI$27))</f>
        <v>#DIV/0!</v>
      </c>
      <c r="AJ35" s="67" t="e">
        <f t="array" ref="AJ35">_xlfn.STDEV.P(IF($E$5:$E$27=$E34,AJ$5:AJ$27))</f>
        <v>#DIV/0!</v>
      </c>
      <c r="AK35" s="67" t="e">
        <f t="array" ref="AK35">_xlfn.STDEV.P(IF($E$5:$E$27=$E34,AK$5:AK$27))</f>
        <v>#DIV/0!</v>
      </c>
      <c r="AL35" s="67" t="e">
        <f t="array" ref="AL35">_xlfn.STDEV.P(IF($E$5:$E$27=$E34,AL$5:AL$27))</f>
        <v>#DIV/0!</v>
      </c>
      <c r="AM35" s="67" t="e">
        <f t="array" ref="AM35">_xlfn.STDEV.P(IF($E$5:$E$27=$E34,AM$5:AM$27))</f>
        <v>#DIV/0!</v>
      </c>
      <c r="AN35" s="67" t="e">
        <f t="array" ref="AN35">_xlfn.STDEV.P(IF($E$5:$E$27=$E34,AN$5:AN$27))</f>
        <v>#DIV/0!</v>
      </c>
      <c r="AO35" s="67" t="e">
        <f t="array" ref="AO35">_xlfn.STDEV.P(IF($E$5:$E$27=$E34,AO$5:AO$27))</f>
        <v>#DIV/0!</v>
      </c>
      <c r="AP35" s="67" t="e">
        <f t="array" ref="AP35">_xlfn.STDEV.P(IF($E$5:$E$27=$E34,AP$5:AP$27))</f>
        <v>#DIV/0!</v>
      </c>
      <c r="AQ35" s="67" t="e">
        <f t="array" ref="AQ35">_xlfn.STDEV.P(IF($E$5:$E$27=$E34,AQ$5:AQ$27))</f>
        <v>#DIV/0!</v>
      </c>
      <c r="AR35" s="67" t="e">
        <f t="array" ref="AR35">_xlfn.STDEV.P(IF($E$5:$E$27=$E34,AR$5:AR$27))</f>
        <v>#DIV/0!</v>
      </c>
      <c r="AS35" s="67" t="e">
        <f t="array" ref="AS35">_xlfn.STDEV.P(IF($E$5:$E$27=$E34,AS$5:AS$27))</f>
        <v>#DIV/0!</v>
      </c>
      <c r="AT35" s="67" t="e">
        <f t="array" ref="AT35">_xlfn.STDEV.P(IF($E$5:$E$27=$E34,AT$5:AT$27))</f>
        <v>#DIV/0!</v>
      </c>
      <c r="AU35" s="67" t="e">
        <f t="array" ref="AU35">_xlfn.STDEV.P(IF($E$5:$E$27=$E34,AU$5:AU$27))</f>
        <v>#DIV/0!</v>
      </c>
      <c r="AV35" s="67" t="e">
        <f t="array" ref="AV35">_xlfn.STDEV.P(IF($E$5:$E$27=$E34,AV$5:AV$27))</f>
        <v>#DIV/0!</v>
      </c>
      <c r="AW35" s="67" t="e">
        <f t="array" ref="AW35">_xlfn.STDEV.P(IF($E$5:$E$27=$E34,AW$5:AW$27))</f>
        <v>#DIV/0!</v>
      </c>
      <c r="AX35" s="67" t="e">
        <f t="array" ref="AX35">_xlfn.STDEV.P(IF($E$5:$E$27=$E34,AX$5:AX$27))</f>
        <v>#DIV/0!</v>
      </c>
      <c r="AY35" s="67">
        <f t="array" ref="AY35">_xlfn.STDEV.P(IF($E$5:$E$27=$E34,AY$5:AY$27))</f>
        <v>0</v>
      </c>
      <c r="AZ35" s="67">
        <f t="array" ref="AZ35">_xlfn.STDEV.P(IF($E$5:$E$27=$E34,AZ$5:AZ$27))</f>
        <v>0</v>
      </c>
      <c r="BA35" s="67" t="e">
        <f t="array" ref="BA35">_xlfn.STDEV.P(IF($E$5:$E$27=$E34,BA$5:BA$27))</f>
        <v>#DIV/0!</v>
      </c>
      <c r="BB35" s="67" t="e">
        <f t="array" ref="BB35">_xlfn.STDEV.P(IF($E$5:$E$27=$E34,BB$5:BB$27))</f>
        <v>#DIV/0!</v>
      </c>
      <c r="BC35" s="69"/>
    </row>
    <row r="36" spans="1:55" ht="14.25" customHeight="1">
      <c r="A36" s="103"/>
      <c r="E36" s="83"/>
      <c r="I36" s="83"/>
      <c r="J36" s="97"/>
      <c r="K36" s="121" t="s">
        <v>34</v>
      </c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121" t="s">
        <v>34</v>
      </c>
      <c r="AH36" s="66" t="e">
        <f>AH34-AH$29</f>
        <v>#DIV/0!</v>
      </c>
      <c r="AI36" s="66" t="e">
        <f>AI34-AI$29</f>
        <v>#DIV/0!</v>
      </c>
      <c r="AJ36" s="66" t="e">
        <f t="shared" ref="AJ36:AX36" si="33">AJ34-AJ$29</f>
        <v>#DIV/0!</v>
      </c>
      <c r="AK36" s="66" t="e">
        <f t="shared" si="33"/>
        <v>#DIV/0!</v>
      </c>
      <c r="AL36" s="66" t="e">
        <f t="shared" si="33"/>
        <v>#DIV/0!</v>
      </c>
      <c r="AM36" s="66" t="e">
        <f t="shared" si="33"/>
        <v>#DIV/0!</v>
      </c>
      <c r="AN36" s="66" t="e">
        <f t="shared" si="33"/>
        <v>#DIV/0!</v>
      </c>
      <c r="AO36" s="66" t="e">
        <f t="shared" si="33"/>
        <v>#DIV/0!</v>
      </c>
      <c r="AP36" s="66" t="e">
        <f t="shared" si="33"/>
        <v>#DIV/0!</v>
      </c>
      <c r="AQ36" s="66" t="e">
        <f t="shared" si="33"/>
        <v>#DIV/0!</v>
      </c>
      <c r="AR36" s="66" t="e">
        <f t="shared" si="33"/>
        <v>#DIV/0!</v>
      </c>
      <c r="AS36" s="66" t="e">
        <f t="shared" si="33"/>
        <v>#DIV/0!</v>
      </c>
      <c r="AT36" s="66" t="e">
        <f t="shared" si="33"/>
        <v>#DIV/0!</v>
      </c>
      <c r="AU36" s="66" t="e">
        <f t="shared" si="33"/>
        <v>#DIV/0!</v>
      </c>
      <c r="AV36" s="66" t="e">
        <f t="shared" si="33"/>
        <v>#DIV/0!</v>
      </c>
      <c r="AW36" s="66" t="e">
        <f t="shared" si="33"/>
        <v>#DIV/0!</v>
      </c>
      <c r="AX36" s="66" t="e">
        <f t="shared" si="33"/>
        <v>#DIV/0!</v>
      </c>
      <c r="AY36" s="66" t="e">
        <f>AY34-AY$29</f>
        <v>#DIV/0!</v>
      </c>
      <c r="AZ36" s="66" t="e">
        <f>AZ34-AZ$29</f>
        <v>#DIV/0!</v>
      </c>
      <c r="BA36" s="66" t="e">
        <f>BA34-BA$29</f>
        <v>#DIV/0!</v>
      </c>
      <c r="BB36" s="66" t="e">
        <f>BB34-BB$29</f>
        <v>#DIV/0!</v>
      </c>
      <c r="BC36" s="120"/>
    </row>
    <row r="37" spans="1:55" ht="14.25" customHeight="1">
      <c r="A37" s="103"/>
      <c r="E37" s="83"/>
      <c r="I37" s="83"/>
      <c r="J37" s="97"/>
      <c r="K37" s="95" t="s">
        <v>48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95" t="s">
        <v>48</v>
      </c>
      <c r="AH37" s="66"/>
      <c r="AI37" s="66" t="e">
        <f>AH34*EXP((AI$4-AH$4)*-LN(2)/8.091)</f>
        <v>#DIV/0!</v>
      </c>
      <c r="AJ37" s="66" t="e">
        <f>AI34*EXP((AJ$4-AI$4)*-LN(2)/8.091)</f>
        <v>#DIV/0!</v>
      </c>
      <c r="AK37" s="66" t="e">
        <f t="shared" ref="AK37:AX37" si="34">AJ34*EXP((AK$4-AJ$4)*-LN(2)/8.091)</f>
        <v>#DIV/0!</v>
      </c>
      <c r="AL37" s="66" t="e">
        <f t="shared" si="34"/>
        <v>#DIV/0!</v>
      </c>
      <c r="AM37" s="66" t="e">
        <f t="shared" si="34"/>
        <v>#DIV/0!</v>
      </c>
      <c r="AN37" s="66" t="e">
        <f t="shared" si="34"/>
        <v>#DIV/0!</v>
      </c>
      <c r="AO37" s="66" t="e">
        <f t="shared" si="34"/>
        <v>#DIV/0!</v>
      </c>
      <c r="AP37" s="66" t="e">
        <f t="shared" si="34"/>
        <v>#DIV/0!</v>
      </c>
      <c r="AQ37" s="66" t="e">
        <f t="shared" si="34"/>
        <v>#DIV/0!</v>
      </c>
      <c r="AR37" s="66" t="e">
        <f t="shared" si="34"/>
        <v>#DIV/0!</v>
      </c>
      <c r="AS37" s="66" t="e">
        <f t="shared" si="34"/>
        <v>#DIV/0!</v>
      </c>
      <c r="AT37" s="66" t="e">
        <f t="shared" si="34"/>
        <v>#DIV/0!</v>
      </c>
      <c r="AU37" s="66" t="e">
        <f t="shared" si="34"/>
        <v>#DIV/0!</v>
      </c>
      <c r="AV37" s="66" t="e">
        <f t="shared" si="34"/>
        <v>#DIV/0!</v>
      </c>
      <c r="AW37" s="66" t="e">
        <f t="shared" si="34"/>
        <v>#DIV/0!</v>
      </c>
      <c r="AX37" s="66" t="e">
        <f t="shared" si="34"/>
        <v>#DIV/0!</v>
      </c>
      <c r="AY37" s="66" t="e">
        <f>AX34*EXP((AY$4-AX$4)*-LN(2)/8.091)</f>
        <v>#DIV/0!</v>
      </c>
      <c r="AZ37" s="66" t="e">
        <f>AY34*EXP((AZ$4-AY$4)*-LN(2)/8.091)</f>
        <v>#DIV/0!</v>
      </c>
      <c r="BA37" s="66" t="e">
        <f>AZ34*EXP((BA$4-AZ$4)*-LN(2)/8.091)</f>
        <v>#DIV/0!</v>
      </c>
      <c r="BB37" s="66" t="e">
        <f>BA34*EXP((BB$4-BA$4)*-LN(2)/8.091)</f>
        <v>#DIV/0!</v>
      </c>
      <c r="BC37" s="120"/>
    </row>
    <row r="38" spans="1:55" ht="14.25" customHeight="1">
      <c r="A38" s="103"/>
      <c r="E38" s="83"/>
      <c r="I38" s="83"/>
      <c r="J38" s="97"/>
      <c r="K38" s="95" t="s">
        <v>35</v>
      </c>
      <c r="L38" s="73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95" t="s">
        <v>35</v>
      </c>
      <c r="AH38" s="135"/>
      <c r="AI38" s="67" t="e">
        <f>AI34-AI37</f>
        <v>#DIV/0!</v>
      </c>
      <c r="AJ38" s="67" t="e">
        <f>AJ34-AJ37</f>
        <v>#DIV/0!</v>
      </c>
      <c r="AK38" s="67" t="e">
        <f t="shared" ref="AK38:AX38" si="35">AK34-AK37</f>
        <v>#DIV/0!</v>
      </c>
      <c r="AL38" s="67" t="e">
        <f t="shared" si="35"/>
        <v>#DIV/0!</v>
      </c>
      <c r="AM38" s="67" t="e">
        <f t="shared" si="35"/>
        <v>#DIV/0!</v>
      </c>
      <c r="AN38" s="67" t="e">
        <f t="shared" si="35"/>
        <v>#DIV/0!</v>
      </c>
      <c r="AO38" s="67" t="e">
        <f t="shared" si="35"/>
        <v>#DIV/0!</v>
      </c>
      <c r="AP38" s="67" t="e">
        <f t="shared" si="35"/>
        <v>#DIV/0!</v>
      </c>
      <c r="AQ38" s="67" t="e">
        <f t="shared" si="35"/>
        <v>#DIV/0!</v>
      </c>
      <c r="AR38" s="67" t="e">
        <f t="shared" si="35"/>
        <v>#DIV/0!</v>
      </c>
      <c r="AS38" s="67" t="e">
        <f t="shared" si="35"/>
        <v>#DIV/0!</v>
      </c>
      <c r="AT38" s="67" t="e">
        <f t="shared" si="35"/>
        <v>#DIV/0!</v>
      </c>
      <c r="AU38" s="67" t="e">
        <f t="shared" si="35"/>
        <v>#DIV/0!</v>
      </c>
      <c r="AV38" s="67" t="e">
        <f t="shared" si="35"/>
        <v>#DIV/0!</v>
      </c>
      <c r="AW38" s="67" t="e">
        <f t="shared" si="35"/>
        <v>#DIV/0!</v>
      </c>
      <c r="AX38" s="67" t="e">
        <f t="shared" si="35"/>
        <v>#DIV/0!</v>
      </c>
      <c r="AY38" s="67" t="e">
        <f>AY34-AY37</f>
        <v>#DIV/0!</v>
      </c>
      <c r="AZ38" s="67" t="e">
        <f>AZ34-AZ37</f>
        <v>#DIV/0!</v>
      </c>
      <c r="BA38" s="67" t="e">
        <f>BA34-BA37</f>
        <v>#DIV/0!</v>
      </c>
      <c r="BB38" s="67" t="e">
        <f>BB34-BB37</f>
        <v>#DIV/0!</v>
      </c>
      <c r="BC38" s="120"/>
    </row>
    <row r="39" spans="1:55" ht="14.25" customHeight="1">
      <c r="A39" s="103"/>
      <c r="E39" s="83"/>
      <c r="I39" s="83"/>
      <c r="J39" s="97"/>
      <c r="K39" s="95" t="s">
        <v>49</v>
      </c>
      <c r="L39" s="73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95" t="s">
        <v>49</v>
      </c>
      <c r="AH39" s="135" t="e">
        <f>AH34/AH$29</f>
        <v>#DIV/0!</v>
      </c>
      <c r="AI39" s="67" t="e">
        <f>AI34/AI$29</f>
        <v>#DIV/0!</v>
      </c>
      <c r="AJ39" s="67" t="e">
        <f>AJ34/AJ$29</f>
        <v>#DIV/0!</v>
      </c>
      <c r="AK39" s="67" t="e">
        <f t="shared" ref="AK39:AX39" si="36">AK34/AK$29</f>
        <v>#DIV/0!</v>
      </c>
      <c r="AL39" s="67" t="e">
        <f t="shared" si="36"/>
        <v>#DIV/0!</v>
      </c>
      <c r="AM39" s="67" t="e">
        <f t="shared" si="36"/>
        <v>#DIV/0!</v>
      </c>
      <c r="AN39" s="67" t="e">
        <f t="shared" si="36"/>
        <v>#DIV/0!</v>
      </c>
      <c r="AO39" s="67" t="e">
        <f t="shared" si="36"/>
        <v>#DIV/0!</v>
      </c>
      <c r="AP39" s="67" t="e">
        <f t="shared" si="36"/>
        <v>#DIV/0!</v>
      </c>
      <c r="AQ39" s="67" t="e">
        <f t="shared" si="36"/>
        <v>#DIV/0!</v>
      </c>
      <c r="AR39" s="67" t="e">
        <f t="shared" si="36"/>
        <v>#DIV/0!</v>
      </c>
      <c r="AS39" s="67" t="e">
        <f t="shared" si="36"/>
        <v>#DIV/0!</v>
      </c>
      <c r="AT39" s="67" t="e">
        <f t="shared" si="36"/>
        <v>#DIV/0!</v>
      </c>
      <c r="AU39" s="67" t="e">
        <f t="shared" si="36"/>
        <v>#DIV/0!</v>
      </c>
      <c r="AV39" s="67" t="e">
        <f t="shared" si="36"/>
        <v>#DIV/0!</v>
      </c>
      <c r="AW39" s="67" t="e">
        <f t="shared" si="36"/>
        <v>#DIV/0!</v>
      </c>
      <c r="AX39" s="67" t="e">
        <f t="shared" si="36"/>
        <v>#DIV/0!</v>
      </c>
      <c r="AY39" s="67" t="e">
        <f>AY34/AY$29</f>
        <v>#DIV/0!</v>
      </c>
      <c r="AZ39" s="67" t="e">
        <f>AZ34/AZ$29</f>
        <v>#DIV/0!</v>
      </c>
      <c r="BA39" s="67" t="e">
        <f>BA34/BA$29</f>
        <v>#DIV/0!</v>
      </c>
      <c r="BB39" s="67" t="e">
        <f>BB34/BB$29</f>
        <v>#DIV/0!</v>
      </c>
      <c r="BC39" s="120"/>
    </row>
    <row r="40" spans="1:55" ht="15">
      <c r="A40" s="103"/>
      <c r="E40" s="45"/>
      <c r="I40" s="45"/>
      <c r="K40" s="123"/>
      <c r="AG40" s="122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136"/>
    </row>
    <row r="41" spans="1:55" ht="14.25" customHeight="1">
      <c r="A41" s="103"/>
      <c r="E41" s="108" t="str">
        <f>'NAB_PTX Groups'!C7</f>
        <v>BxPc3 - 131I-ELP only</v>
      </c>
      <c r="I41" s="108" t="str">
        <f>E41</f>
        <v>BxPc3 - 131I-ELP only</v>
      </c>
      <c r="J41" s="97">
        <f>AVERAGEIF($E$5:$E$27,$E41,J$5:J$27)</f>
        <v>1212.8333333333333</v>
      </c>
      <c r="K41" s="96" t="s">
        <v>9</v>
      </c>
      <c r="L41" s="71">
        <f t="shared" ref="L41:AF41" si="37">AVERAGEIF($E$5:$E$27,$E41,L$5:L$27)</f>
        <v>1212.8333333333333</v>
      </c>
      <c r="M41" s="71">
        <f t="shared" si="37"/>
        <v>880.66666666666663</v>
      </c>
      <c r="N41" s="71">
        <f t="shared" si="37"/>
        <v>765.83333333333337</v>
      </c>
      <c r="O41" s="71">
        <f t="shared" si="37"/>
        <v>609.83333333333337</v>
      </c>
      <c r="P41" s="71">
        <f t="shared" si="37"/>
        <v>433.16666666666669</v>
      </c>
      <c r="Q41" s="71">
        <f t="shared" si="37"/>
        <v>355.5</v>
      </c>
      <c r="R41" s="71">
        <f t="shared" si="37"/>
        <v>289.33333333333331</v>
      </c>
      <c r="S41" s="71">
        <f t="shared" si="37"/>
        <v>192</v>
      </c>
      <c r="T41" s="71">
        <f t="shared" si="37"/>
        <v>154.66666666666666</v>
      </c>
      <c r="U41" s="71">
        <f t="shared" si="37"/>
        <v>133.16666666666666</v>
      </c>
      <c r="V41" s="71">
        <f t="shared" si="37"/>
        <v>103</v>
      </c>
      <c r="W41" s="71">
        <f t="shared" si="37"/>
        <v>67.100000000000009</v>
      </c>
      <c r="X41" s="71" t="e">
        <f t="shared" si="37"/>
        <v>#DIV/0!</v>
      </c>
      <c r="Y41" s="71" t="e">
        <f t="shared" si="37"/>
        <v>#DIV/0!</v>
      </c>
      <c r="Z41" s="71" t="e">
        <f t="shared" si="37"/>
        <v>#DIV/0!</v>
      </c>
      <c r="AA41" s="71" t="e">
        <f t="shared" si="37"/>
        <v>#DIV/0!</v>
      </c>
      <c r="AB41" s="71" t="e">
        <f t="shared" si="37"/>
        <v>#DIV/0!</v>
      </c>
      <c r="AC41" s="71" t="e">
        <f t="shared" si="37"/>
        <v>#DIV/0!</v>
      </c>
      <c r="AD41" s="71" t="e">
        <f t="shared" si="37"/>
        <v>#DIV/0!</v>
      </c>
      <c r="AE41" s="71" t="e">
        <f t="shared" si="37"/>
        <v>#DIV/0!</v>
      </c>
      <c r="AF41" s="71" t="e">
        <f t="shared" si="37"/>
        <v>#DIV/0!</v>
      </c>
      <c r="AG41" s="126" t="s">
        <v>9</v>
      </c>
      <c r="AH41" s="66">
        <f t="shared" ref="AH41:BB41" si="38">AVERAGEIF($E$5:$E$27,$E41,AH$5:AH$27)</f>
        <v>1</v>
      </c>
      <c r="AI41" s="66">
        <f t="shared" si="38"/>
        <v>0.72775556308144385</v>
      </c>
      <c r="AJ41" s="66">
        <f t="shared" si="38"/>
        <v>0.63295240127240227</v>
      </c>
      <c r="AK41" s="66">
        <f t="shared" si="38"/>
        <v>0.50355023318383707</v>
      </c>
      <c r="AL41" s="66">
        <f t="shared" si="38"/>
        <v>0.35881097841053045</v>
      </c>
      <c r="AM41" s="66">
        <f t="shared" si="38"/>
        <v>0.29401676193819498</v>
      </c>
      <c r="AN41" s="66">
        <f t="shared" si="38"/>
        <v>0.23959660480688647</v>
      </c>
      <c r="AO41" s="66">
        <f t="shared" si="38"/>
        <v>0.15901530846173983</v>
      </c>
      <c r="AP41" s="66">
        <f t="shared" si="38"/>
        <v>0.1285020908734846</v>
      </c>
      <c r="AQ41" s="66">
        <f t="shared" si="38"/>
        <v>0.11071277722508943</v>
      </c>
      <c r="AR41" s="66">
        <f t="shared" si="38"/>
        <v>8.5591757601594168E-2</v>
      </c>
      <c r="AS41" s="66">
        <f t="shared" si="38"/>
        <v>5.5489207828336724E-2</v>
      </c>
      <c r="AT41" s="66" t="e">
        <f t="shared" si="38"/>
        <v>#DIV/0!</v>
      </c>
      <c r="AU41" s="66" t="e">
        <f t="shared" si="38"/>
        <v>#DIV/0!</v>
      </c>
      <c r="AV41" s="66" t="e">
        <f t="shared" si="38"/>
        <v>#DIV/0!</v>
      </c>
      <c r="AW41" s="66" t="e">
        <f t="shared" si="38"/>
        <v>#DIV/0!</v>
      </c>
      <c r="AX41" s="66" t="e">
        <f t="shared" si="38"/>
        <v>#DIV/0!</v>
      </c>
      <c r="AY41" s="66" t="e">
        <f t="shared" si="38"/>
        <v>#DIV/0!</v>
      </c>
      <c r="AZ41" s="66" t="e">
        <f t="shared" si="38"/>
        <v>#DIV/0!</v>
      </c>
      <c r="BA41" s="66" t="e">
        <f t="shared" si="38"/>
        <v>#DIV/0!</v>
      </c>
      <c r="BB41" s="66" t="e">
        <f t="shared" si="38"/>
        <v>#DIV/0!</v>
      </c>
      <c r="BC41" s="69"/>
    </row>
    <row r="42" spans="1:55" ht="14.25" customHeight="1">
      <c r="A42" s="103"/>
      <c r="E42" s="83"/>
      <c r="I42" s="83"/>
      <c r="J42" s="97">
        <f t="array" ref="J42">_xlfn.STDEV.P(IF($E$5:$E$27=$E41,J$5:J$27))</f>
        <v>260.27768291235077</v>
      </c>
      <c r="K42" s="96" t="s">
        <v>11</v>
      </c>
      <c r="L42" s="74">
        <f t="array" ref="L42">_xlfn.STDEV.P(IF($E$5:$E$27=$E41,L$5:L$27))</f>
        <v>260.27768291235077</v>
      </c>
      <c r="M42" s="74">
        <f t="array" ref="M42">_xlfn.STDEV.P(IF($E$5:$E$27=$E41,M$5:M$27))</f>
        <v>180.82281075375664</v>
      </c>
      <c r="N42" s="74">
        <f t="array" ref="N42">_xlfn.STDEV.P(IF($E$5:$E$27=$E41,N$5:N$27))</f>
        <v>157.43402498260096</v>
      </c>
      <c r="O42" s="74">
        <f t="array" ref="O42">_xlfn.STDEV.P(IF($E$5:$E$27=$E41,O$5:O$27))</f>
        <v>126.93622633257834</v>
      </c>
      <c r="P42" s="74">
        <f t="array" ref="P42">_xlfn.STDEV.P(IF($E$5:$E$27=$E41,P$5:P$27))</f>
        <v>86.285218252542478</v>
      </c>
      <c r="Q42" s="74">
        <f t="array" ref="Q42">_xlfn.STDEV.P(IF($E$5:$E$27=$E41,Q$5:Q$27))</f>
        <v>72.28358504298653</v>
      </c>
      <c r="R42" s="74">
        <f t="array" ref="R42">_xlfn.STDEV.P(IF($E$5:$E$27=$E41,R$5:R$27))</f>
        <v>58.159741708122773</v>
      </c>
      <c r="S42" s="74">
        <f t="array" ref="S42">_xlfn.STDEV.P(IF($E$5:$E$27=$E41,S$5:S$27))</f>
        <v>38.492423496925561</v>
      </c>
      <c r="T42" s="74">
        <f t="array" ref="T42">_xlfn.STDEV.P(IF($E$5:$E$27=$E41,T$5:T$27))</f>
        <v>29.707836601737856</v>
      </c>
      <c r="U42" s="74">
        <f t="array" ref="U42">_xlfn.STDEV.P(IF($E$5:$E$27=$E41,U$5:U$27))</f>
        <v>25.33388157301513</v>
      </c>
      <c r="V42" s="74">
        <f t="array" ref="V42">_xlfn.STDEV.P(IF($E$5:$E$27=$E41,V$5:V$27))</f>
        <v>19.866219234335119</v>
      </c>
      <c r="W42" s="74">
        <f t="array" ref="W42">_xlfn.STDEV.P(IF($E$5:$E$27=$E41,W$5:W$27))</f>
        <v>13.970325694127531</v>
      </c>
      <c r="X42" s="74">
        <f t="array" ref="X42">_xlfn.STDEV.P(IF($E$5:$E$27=$E41,X$5:X$27))</f>
        <v>0</v>
      </c>
      <c r="Y42" s="74">
        <f t="array" ref="Y42">_xlfn.STDEV.P(IF($E$5:$E$27=$E41,Y$5:Y$27))</f>
        <v>0</v>
      </c>
      <c r="Z42" s="74">
        <f t="array" ref="Z42">_xlfn.STDEV.P(IF($E$5:$E$27=$E41,Z$5:Z$27))</f>
        <v>0</v>
      </c>
      <c r="AA42" s="74">
        <f t="array" ref="AA42">_xlfn.STDEV.P(IF($E$5:$E$27=$E41,AA$5:AA$27))</f>
        <v>0</v>
      </c>
      <c r="AB42" s="74">
        <f t="array" ref="AB42">_xlfn.STDEV.P(IF($E$5:$E$27=$E41,AB$5:AB$27))</f>
        <v>0</v>
      </c>
      <c r="AC42" s="74">
        <f t="array" ref="AC42">_xlfn.STDEV.P(IF($E$5:$E$27=$E41,AC$5:AC$27))</f>
        <v>0</v>
      </c>
      <c r="AD42" s="74">
        <f t="array" ref="AD42">_xlfn.STDEV.P(IF($E$5:$E$27=$E41,AD$5:AD$27))</f>
        <v>0</v>
      </c>
      <c r="AE42" s="74">
        <f t="array" ref="AE42">_xlfn.STDEV.P(IF($E$5:$E$27=$E41,AE$5:AE$27))</f>
        <v>0</v>
      </c>
      <c r="AF42" s="74">
        <f t="array" ref="AF42">_xlfn.STDEV.P(IF($E$5:$E$27=$E41,AF$5:AF$27))</f>
        <v>0</v>
      </c>
      <c r="AG42" s="127" t="s">
        <v>11</v>
      </c>
      <c r="AH42" s="67">
        <f t="array" ref="AH42">_xlfn.STDEV.P(IF($E$5:$E$27=$E41,AH$5:AH$27))</f>
        <v>0</v>
      </c>
      <c r="AI42" s="67">
        <f t="array" ref="AI42">_xlfn.STDEV.P(IF($E$5:$E$27=$E41,AI$5:AI$27))</f>
        <v>1.4175882403827708E-2</v>
      </c>
      <c r="AJ42" s="67">
        <f t="array" ref="AJ42">_xlfn.STDEV.P(IF($E$5:$E$27=$E41,AJ$5:AJ$27))</f>
        <v>1.1717942108596337E-2</v>
      </c>
      <c r="AK42" s="67">
        <f t="array" ref="AK42">_xlfn.STDEV.P(IF($E$5:$E$27=$E41,AK$5:AK$27))</f>
        <v>1.0080728523801498E-2</v>
      </c>
      <c r="AL42" s="67">
        <f t="array" ref="AL42">_xlfn.STDEV.P(IF($E$5:$E$27=$E41,AL$5:AL$27))</f>
        <v>1.0790579848257615E-2</v>
      </c>
      <c r="AM42" s="67">
        <f t="array" ref="AM42">_xlfn.STDEV.P(IF($E$5:$E$27=$E41,AM$5:AM$27))</f>
        <v>1.197009748455998E-2</v>
      </c>
      <c r="AN42" s="67">
        <f t="array" ref="AN42">_xlfn.STDEV.P(IF($E$5:$E$27=$E41,AN$5:AN$27))</f>
        <v>7.8774920079751308E-3</v>
      </c>
      <c r="AO42" s="67">
        <f t="array" ref="AO42">_xlfn.STDEV.P(IF($E$5:$E$27=$E41,AO$5:AO$27))</f>
        <v>5.5152686659037725E-3</v>
      </c>
      <c r="AP42" s="67">
        <f t="array" ref="AP42">_xlfn.STDEV.P(IF($E$5:$E$27=$E41,AP$5:AP$27))</f>
        <v>5.9650329523638348E-3</v>
      </c>
      <c r="AQ42" s="67">
        <f t="array" ref="AQ42">_xlfn.STDEV.P(IF($E$5:$E$27=$E41,AQ$5:AQ$27))</f>
        <v>5.2985275730669194E-3</v>
      </c>
      <c r="AR42" s="67">
        <f t="array" ref="AR42">_xlfn.STDEV.P(IF($E$5:$E$27=$E41,AR$5:AR$27))</f>
        <v>3.8345775824066052E-3</v>
      </c>
      <c r="AS42" s="67">
        <f t="array" ref="AS42">_xlfn.STDEV.P(IF($E$5:$E$27=$E41,AS$5:AS$27))</f>
        <v>1.8632109968506508E-3</v>
      </c>
      <c r="AT42" s="67" t="e">
        <f t="array" ref="AT42">_xlfn.STDEV.P(IF($E$5:$E$27=$E41,AT$5:AT$27))</f>
        <v>#DIV/0!</v>
      </c>
      <c r="AU42" s="67" t="e">
        <f t="array" ref="AU42">_xlfn.STDEV.P(IF($E$5:$E$27=$E41,AU$5:AU$27))</f>
        <v>#DIV/0!</v>
      </c>
      <c r="AV42" s="67" t="e">
        <f t="array" ref="AV42">_xlfn.STDEV.P(IF($E$5:$E$27=$E41,AV$5:AV$27))</f>
        <v>#DIV/0!</v>
      </c>
      <c r="AW42" s="67" t="e">
        <f t="array" ref="AW42">_xlfn.STDEV.P(IF($E$5:$E$27=$E41,AW$5:AW$27))</f>
        <v>#DIV/0!</v>
      </c>
      <c r="AX42" s="67" t="e">
        <f t="array" ref="AX42">_xlfn.STDEV.P(IF($E$5:$E$27=$E41,AX$5:AX$27))</f>
        <v>#DIV/0!</v>
      </c>
      <c r="AY42" s="67">
        <f t="array" ref="AY42">_xlfn.STDEV.P(IF($E$5:$E$27=$E41,AY$5:AY$27))</f>
        <v>0</v>
      </c>
      <c r="AZ42" s="67">
        <f t="array" ref="AZ42">_xlfn.STDEV.P(IF($E$5:$E$27=$E41,AZ$5:AZ$27))</f>
        <v>0</v>
      </c>
      <c r="BA42" s="67" t="e">
        <f t="array" ref="BA42">_xlfn.STDEV.P(IF($E$5:$E$27=$E41,BA$5:BA$27))</f>
        <v>#DIV/0!</v>
      </c>
      <c r="BB42" s="67" t="e">
        <f t="array" ref="BB42">_xlfn.STDEV.P(IF($E$5:$E$27=$E41,BB$5:BB$27))</f>
        <v>#DIV/0!</v>
      </c>
      <c r="BC42" s="69"/>
    </row>
    <row r="43" spans="1:55" ht="14.25" customHeight="1">
      <c r="A43" s="103"/>
      <c r="E43" s="83"/>
      <c r="I43" s="83"/>
      <c r="J43" s="97"/>
      <c r="K43" s="121" t="s">
        <v>34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121" t="s">
        <v>34</v>
      </c>
      <c r="AH43" s="66">
        <f>AH41-AH$29</f>
        <v>0</v>
      </c>
      <c r="AI43" s="66">
        <f>AI41-AI$29</f>
        <v>-0.1894436716879857</v>
      </c>
      <c r="AJ43" s="66">
        <f t="shared" ref="AJ43:AX43" si="39">AJ41-AJ$29</f>
        <v>-0.20830203498922484</v>
      </c>
      <c r="AK43" s="66">
        <f t="shared" si="39"/>
        <v>-0.20415879334603093</v>
      </c>
      <c r="AL43" s="66">
        <f t="shared" si="39"/>
        <v>-0.18725583809500268</v>
      </c>
      <c r="AM43" s="66">
        <f t="shared" si="39"/>
        <v>-0.16536436994234871</v>
      </c>
      <c r="AN43" s="66">
        <f t="shared" si="39"/>
        <v>-0.14685981032250847</v>
      </c>
      <c r="AO43" s="66">
        <f t="shared" si="39"/>
        <v>-9.1837483786977092E-2</v>
      </c>
      <c r="AP43" s="66">
        <f t="shared" si="39"/>
        <v>-8.252893345436485E-2</v>
      </c>
      <c r="AQ43" s="66">
        <f t="shared" si="39"/>
        <v>-6.6818008179549249E-2</v>
      </c>
      <c r="AR43" s="66">
        <f t="shared" si="39"/>
        <v>-5.1390628073186548E-2</v>
      </c>
      <c r="AS43" s="66">
        <f t="shared" si="39"/>
        <v>-4.1454462989301284E-2</v>
      </c>
      <c r="AT43" s="66" t="e">
        <f t="shared" si="39"/>
        <v>#DIV/0!</v>
      </c>
      <c r="AU43" s="66" t="e">
        <f t="shared" si="39"/>
        <v>#DIV/0!</v>
      </c>
      <c r="AV43" s="66" t="e">
        <f t="shared" si="39"/>
        <v>#DIV/0!</v>
      </c>
      <c r="AW43" s="66" t="e">
        <f t="shared" si="39"/>
        <v>#DIV/0!</v>
      </c>
      <c r="AX43" s="66" t="e">
        <f t="shared" si="39"/>
        <v>#DIV/0!</v>
      </c>
      <c r="AY43" s="66" t="e">
        <f>AY41-AY$29</f>
        <v>#DIV/0!</v>
      </c>
      <c r="AZ43" s="66" t="e">
        <f>AZ41-AZ$29</f>
        <v>#DIV/0!</v>
      </c>
      <c r="BA43" s="66" t="e">
        <f>BA41-BA$29</f>
        <v>#DIV/0!</v>
      </c>
      <c r="BB43" s="66" t="e">
        <f>BB41-BB$29</f>
        <v>#DIV/0!</v>
      </c>
      <c r="BC43" s="120"/>
    </row>
    <row r="44" spans="1:55" ht="14.25" customHeight="1">
      <c r="A44" s="103"/>
      <c r="E44" s="83"/>
      <c r="I44" s="83"/>
      <c r="J44" s="97"/>
      <c r="K44" s="95" t="s">
        <v>48</v>
      </c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95" t="s">
        <v>48</v>
      </c>
      <c r="AH44" s="66"/>
      <c r="AI44" s="66">
        <f>AH41*EXP((AI$4-AH$4)*-LN(2)/8.091)</f>
        <v>0.91789808441829013</v>
      </c>
      <c r="AJ44" s="66">
        <f>AI41*EXP((AJ$4-AI$4)*-LN(2)/8.091)</f>
        <v>0.6680054372772114</v>
      </c>
      <c r="AK44" s="66">
        <f t="shared" ref="AK44:AX44" si="40">AJ41*EXP((AK$4-AJ$4)*-LN(2)/8.091)</f>
        <v>0.53328574982468024</v>
      </c>
      <c r="AL44" s="66">
        <f t="shared" si="40"/>
        <v>0.38942711922952394</v>
      </c>
      <c r="AM44" s="66">
        <f t="shared" si="40"/>
        <v>0.30231148706020394</v>
      </c>
      <c r="AN44" s="66">
        <f t="shared" si="40"/>
        <v>0.24771996920469114</v>
      </c>
      <c r="AO44" s="66">
        <f t="shared" si="40"/>
        <v>0.15611799936449827</v>
      </c>
      <c r="AP44" s="66">
        <f t="shared" si="40"/>
        <v>0.13397626399102056</v>
      </c>
      <c r="AQ44" s="66">
        <f t="shared" si="40"/>
        <v>0.10826775243722166</v>
      </c>
      <c r="AR44" s="66">
        <f t="shared" si="40"/>
        <v>8.5621165586723655E-2</v>
      </c>
      <c r="AS44" s="66">
        <f t="shared" si="40"/>
        <v>6.0758885451585552E-2</v>
      </c>
      <c r="AT44" s="66" t="e">
        <f t="shared" si="40"/>
        <v>#VALUE!</v>
      </c>
      <c r="AU44" s="66" t="e">
        <f t="shared" si="40"/>
        <v>#DIV/0!</v>
      </c>
      <c r="AV44" s="66" t="e">
        <f t="shared" si="40"/>
        <v>#DIV/0!</v>
      </c>
      <c r="AW44" s="66" t="e">
        <f t="shared" si="40"/>
        <v>#DIV/0!</v>
      </c>
      <c r="AX44" s="66" t="e">
        <f t="shared" si="40"/>
        <v>#DIV/0!</v>
      </c>
      <c r="AY44" s="66" t="e">
        <f>AX41*EXP((AY$4-AX$4)*-LN(2)/8.091)</f>
        <v>#DIV/0!</v>
      </c>
      <c r="AZ44" s="66" t="e">
        <f>AY41*EXP((AZ$4-AY$4)*-LN(2)/8.091)</f>
        <v>#DIV/0!</v>
      </c>
      <c r="BA44" s="66" t="e">
        <f>AZ41*EXP((BA$4-AZ$4)*-LN(2)/8.091)</f>
        <v>#DIV/0!</v>
      </c>
      <c r="BB44" s="66" t="e">
        <f>BA41*EXP((BB$4-BA$4)*-LN(2)/8.091)</f>
        <v>#DIV/0!</v>
      </c>
      <c r="BC44" s="120"/>
    </row>
    <row r="45" spans="1:55" ht="14.25" customHeight="1">
      <c r="A45" s="103"/>
      <c r="E45" s="83"/>
      <c r="I45" s="83"/>
      <c r="J45" s="97"/>
      <c r="K45" s="95" t="s">
        <v>35</v>
      </c>
      <c r="L45" s="73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95" t="s">
        <v>35</v>
      </c>
      <c r="AH45" s="135"/>
      <c r="AI45" s="67">
        <f t="shared" ref="AI45:BB45" si="41">AI41-AI44</f>
        <v>-0.19014252133684628</v>
      </c>
      <c r="AJ45" s="67">
        <f t="shared" si="41"/>
        <v>-3.5053036004809135E-2</v>
      </c>
      <c r="AK45" s="67">
        <f t="shared" si="41"/>
        <v>-2.9735516640843174E-2</v>
      </c>
      <c r="AL45" s="67">
        <f t="shared" si="41"/>
        <v>-3.0616140818993498E-2</v>
      </c>
      <c r="AM45" s="67">
        <f t="shared" si="41"/>
        <v>-8.2947251220089613E-3</v>
      </c>
      <c r="AN45" s="67">
        <f t="shared" si="41"/>
        <v>-8.1233643978046721E-3</v>
      </c>
      <c r="AO45" s="67">
        <f t="shared" si="41"/>
        <v>2.8973090972415627E-3</v>
      </c>
      <c r="AP45" s="67">
        <f t="shared" si="41"/>
        <v>-5.474173117535952E-3</v>
      </c>
      <c r="AQ45" s="67">
        <f t="shared" si="41"/>
        <v>2.445024787867775E-3</v>
      </c>
      <c r="AR45" s="67">
        <f t="shared" si="41"/>
        <v>-2.9407985129487058E-5</v>
      </c>
      <c r="AS45" s="67">
        <f t="shared" si="41"/>
        <v>-5.2696776232488279E-3</v>
      </c>
      <c r="AT45" s="67" t="e">
        <f t="shared" si="41"/>
        <v>#DIV/0!</v>
      </c>
      <c r="AU45" s="67" t="e">
        <f t="shared" si="41"/>
        <v>#DIV/0!</v>
      </c>
      <c r="AV45" s="67" t="e">
        <f t="shared" si="41"/>
        <v>#DIV/0!</v>
      </c>
      <c r="AW45" s="67" t="e">
        <f t="shared" si="41"/>
        <v>#DIV/0!</v>
      </c>
      <c r="AX45" s="67" t="e">
        <f t="shared" si="41"/>
        <v>#DIV/0!</v>
      </c>
      <c r="AY45" s="67" t="e">
        <f t="shared" si="41"/>
        <v>#DIV/0!</v>
      </c>
      <c r="AZ45" s="67" t="e">
        <f t="shared" si="41"/>
        <v>#DIV/0!</v>
      </c>
      <c r="BA45" s="67" t="e">
        <f t="shared" si="41"/>
        <v>#DIV/0!</v>
      </c>
      <c r="BB45" s="67" t="e">
        <f t="shared" si="41"/>
        <v>#DIV/0!</v>
      </c>
      <c r="BC45" s="120"/>
    </row>
    <row r="46" spans="1:55" ht="14.25" customHeight="1">
      <c r="A46" s="103"/>
      <c r="E46" s="83"/>
      <c r="I46" s="83"/>
      <c r="J46" s="97"/>
      <c r="K46" s="95" t="s">
        <v>49</v>
      </c>
      <c r="L46" s="73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95" t="s">
        <v>49</v>
      </c>
      <c r="AH46" s="135">
        <f>AH41/AH$29</f>
        <v>1</v>
      </c>
      <c r="AI46" s="67">
        <f>AI41/AI$29</f>
        <v>0.79345417603231094</v>
      </c>
      <c r="AJ46" s="67">
        <f>AJ41/AJ$29</f>
        <v>0.75239116014070728</v>
      </c>
      <c r="AK46" s="67">
        <f t="shared" ref="AK46:AX46" si="42">AK41/AK$29</f>
        <v>0.71152156367555575</v>
      </c>
      <c r="AL46" s="67">
        <f t="shared" si="42"/>
        <v>0.65708255393851556</v>
      </c>
      <c r="AM46" s="67">
        <f t="shared" si="42"/>
        <v>0.64002794528063112</v>
      </c>
      <c r="AN46" s="67">
        <f t="shared" si="42"/>
        <v>0.61998351024051113</v>
      </c>
      <c r="AO46" s="67">
        <f t="shared" si="42"/>
        <v>0.63389889758164797</v>
      </c>
      <c r="AP46" s="67">
        <f t="shared" si="42"/>
        <v>0.60892511555006645</v>
      </c>
      <c r="AQ46" s="67">
        <f t="shared" si="42"/>
        <v>0.62362579522614237</v>
      </c>
      <c r="AR46" s="67">
        <f t="shared" si="42"/>
        <v>0.62483769121092281</v>
      </c>
      <c r="AS46" s="67">
        <f t="shared" si="42"/>
        <v>0.57238608111630296</v>
      </c>
      <c r="AT46" s="67" t="e">
        <f t="shared" si="42"/>
        <v>#DIV/0!</v>
      </c>
      <c r="AU46" s="67" t="e">
        <f t="shared" si="42"/>
        <v>#DIV/0!</v>
      </c>
      <c r="AV46" s="67" t="e">
        <f t="shared" si="42"/>
        <v>#DIV/0!</v>
      </c>
      <c r="AW46" s="67" t="e">
        <f t="shared" si="42"/>
        <v>#DIV/0!</v>
      </c>
      <c r="AX46" s="67" t="e">
        <f t="shared" si="42"/>
        <v>#DIV/0!</v>
      </c>
      <c r="AY46" s="67" t="e">
        <f>AY41/AY$29</f>
        <v>#DIV/0!</v>
      </c>
      <c r="AZ46" s="67" t="e">
        <f>AZ41/AZ$29</f>
        <v>#DIV/0!</v>
      </c>
      <c r="BA46" s="67" t="e">
        <f>BA41/BA$29</f>
        <v>#DIV/0!</v>
      </c>
      <c r="BB46" s="67" t="e">
        <f>BB41/BB$29</f>
        <v>#DIV/0!</v>
      </c>
      <c r="BC46" s="120"/>
    </row>
    <row r="47" spans="1:55" ht="15">
      <c r="A47" s="103"/>
      <c r="E47" s="45"/>
      <c r="I47" s="45"/>
      <c r="K47" s="123"/>
      <c r="AG47" s="122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136"/>
    </row>
    <row r="48" spans="1:55" ht="14.25" customHeight="1">
      <c r="A48" s="103"/>
      <c r="E48" s="108" t="str">
        <f>'NAB_PTX Groups'!C8</f>
        <v>BxPc3 - Abraxane only</v>
      </c>
      <c r="I48" s="108" t="str">
        <f>E48</f>
        <v>BxPc3 - Abraxane only</v>
      </c>
      <c r="J48" s="97">
        <f>AVERAGEIF($E$5:$E$27,$E48,J$5:J$27)</f>
        <v>0</v>
      </c>
      <c r="K48" s="96" t="s">
        <v>9</v>
      </c>
      <c r="L48" s="71">
        <f t="shared" ref="L48:AF48" si="43">AVERAGEIF($E$5:$E$27,$E48,L$5:L$27)</f>
        <v>0</v>
      </c>
      <c r="M48" s="71">
        <f t="shared" si="43"/>
        <v>0</v>
      </c>
      <c r="N48" s="71">
        <f t="shared" si="43"/>
        <v>0</v>
      </c>
      <c r="O48" s="71">
        <f t="shared" si="43"/>
        <v>0</v>
      </c>
      <c r="P48" s="71">
        <f t="shared" si="43"/>
        <v>0</v>
      </c>
      <c r="Q48" s="71">
        <f t="shared" si="43"/>
        <v>0</v>
      </c>
      <c r="R48" s="71">
        <f t="shared" si="43"/>
        <v>0</v>
      </c>
      <c r="S48" s="71">
        <f t="shared" si="43"/>
        <v>0</v>
      </c>
      <c r="T48" s="71">
        <f t="shared" si="43"/>
        <v>0</v>
      </c>
      <c r="U48" s="71">
        <f t="shared" si="43"/>
        <v>0</v>
      </c>
      <c r="V48" s="71">
        <f t="shared" si="43"/>
        <v>0</v>
      </c>
      <c r="W48" s="71">
        <f t="shared" si="43"/>
        <v>0</v>
      </c>
      <c r="X48" s="71" t="e">
        <f t="shared" si="43"/>
        <v>#DIV/0!</v>
      </c>
      <c r="Y48" s="71" t="e">
        <f t="shared" si="43"/>
        <v>#DIV/0!</v>
      </c>
      <c r="Z48" s="71" t="e">
        <f t="shared" si="43"/>
        <v>#DIV/0!</v>
      </c>
      <c r="AA48" s="71" t="e">
        <f t="shared" si="43"/>
        <v>#DIV/0!</v>
      </c>
      <c r="AB48" s="71" t="e">
        <f t="shared" si="43"/>
        <v>#DIV/0!</v>
      </c>
      <c r="AC48" s="71" t="e">
        <f t="shared" si="43"/>
        <v>#DIV/0!</v>
      </c>
      <c r="AD48" s="71" t="e">
        <f t="shared" si="43"/>
        <v>#DIV/0!</v>
      </c>
      <c r="AE48" s="71" t="e">
        <f t="shared" si="43"/>
        <v>#DIV/0!</v>
      </c>
      <c r="AF48" s="71" t="e">
        <f t="shared" si="43"/>
        <v>#DIV/0!</v>
      </c>
      <c r="AG48" s="126" t="s">
        <v>9</v>
      </c>
      <c r="AH48" s="66" t="e">
        <f t="shared" ref="AH48:BB48" si="44">AVERAGEIF($E$5:$E$27,$E48,AH$5:AH$27)</f>
        <v>#DIV/0!</v>
      </c>
      <c r="AI48" s="66" t="e">
        <f t="shared" si="44"/>
        <v>#DIV/0!</v>
      </c>
      <c r="AJ48" s="66" t="e">
        <f t="shared" si="44"/>
        <v>#DIV/0!</v>
      </c>
      <c r="AK48" s="66" t="e">
        <f t="shared" si="44"/>
        <v>#DIV/0!</v>
      </c>
      <c r="AL48" s="66" t="e">
        <f t="shared" si="44"/>
        <v>#DIV/0!</v>
      </c>
      <c r="AM48" s="66" t="e">
        <f t="shared" si="44"/>
        <v>#DIV/0!</v>
      </c>
      <c r="AN48" s="66" t="e">
        <f t="shared" si="44"/>
        <v>#DIV/0!</v>
      </c>
      <c r="AO48" s="66" t="e">
        <f t="shared" si="44"/>
        <v>#DIV/0!</v>
      </c>
      <c r="AP48" s="66" t="e">
        <f t="shared" si="44"/>
        <v>#DIV/0!</v>
      </c>
      <c r="AQ48" s="66" t="e">
        <f t="shared" si="44"/>
        <v>#DIV/0!</v>
      </c>
      <c r="AR48" s="66" t="e">
        <f t="shared" si="44"/>
        <v>#DIV/0!</v>
      </c>
      <c r="AS48" s="66" t="e">
        <f t="shared" si="44"/>
        <v>#DIV/0!</v>
      </c>
      <c r="AT48" s="66" t="e">
        <f t="shared" si="44"/>
        <v>#DIV/0!</v>
      </c>
      <c r="AU48" s="66" t="e">
        <f t="shared" si="44"/>
        <v>#DIV/0!</v>
      </c>
      <c r="AV48" s="66" t="e">
        <f t="shared" si="44"/>
        <v>#DIV/0!</v>
      </c>
      <c r="AW48" s="66" t="e">
        <f t="shared" si="44"/>
        <v>#DIV/0!</v>
      </c>
      <c r="AX48" s="66" t="e">
        <f t="shared" si="44"/>
        <v>#DIV/0!</v>
      </c>
      <c r="AY48" s="66" t="e">
        <f t="shared" si="44"/>
        <v>#DIV/0!</v>
      </c>
      <c r="AZ48" s="66" t="e">
        <f t="shared" si="44"/>
        <v>#DIV/0!</v>
      </c>
      <c r="BA48" s="66" t="e">
        <f t="shared" si="44"/>
        <v>#DIV/0!</v>
      </c>
      <c r="BB48" s="66" t="e">
        <f t="shared" si="44"/>
        <v>#DIV/0!</v>
      </c>
      <c r="BC48" s="69"/>
    </row>
    <row r="49" spans="1:55" ht="14.25" customHeight="1">
      <c r="A49" s="103"/>
      <c r="E49" s="83"/>
      <c r="I49" s="83"/>
      <c r="J49" s="97">
        <f t="array" ref="J49">_xlfn.STDEV.P(IF($E$5:$E$27=$E48,J$5:J$27))</f>
        <v>0</v>
      </c>
      <c r="K49" s="96" t="s">
        <v>11</v>
      </c>
      <c r="L49" s="74">
        <f t="array" ref="L49">_xlfn.STDEV.P(IF($E$5:$E$27=$E48,L$5:L$27))</f>
        <v>0</v>
      </c>
      <c r="M49" s="74">
        <f t="array" ref="M49">_xlfn.STDEV.P(IF($E$5:$E$27=$E48,M$5:M$27))</f>
        <v>0</v>
      </c>
      <c r="N49" s="74">
        <f t="array" ref="N49">_xlfn.STDEV.P(IF($E$5:$E$27=$E48,N$5:N$27))</f>
        <v>0</v>
      </c>
      <c r="O49" s="74">
        <f t="array" ref="O49">_xlfn.STDEV.P(IF($E$5:$E$27=$E48,O$5:O$27))</f>
        <v>0</v>
      </c>
      <c r="P49" s="74">
        <f t="array" ref="P49">_xlfn.STDEV.P(IF($E$5:$E$27=$E48,P$5:P$27))</f>
        <v>0</v>
      </c>
      <c r="Q49" s="74">
        <f t="array" ref="Q49">_xlfn.STDEV.P(IF($E$5:$E$27=$E48,Q$5:Q$27))</f>
        <v>0</v>
      </c>
      <c r="R49" s="74">
        <f t="array" ref="R49">_xlfn.STDEV.P(IF($E$5:$E$27=$E48,R$5:R$27))</f>
        <v>0</v>
      </c>
      <c r="S49" s="74">
        <f t="array" ref="S49">_xlfn.STDEV.P(IF($E$5:$E$27=$E48,S$5:S$27))</f>
        <v>0</v>
      </c>
      <c r="T49" s="74">
        <f t="array" ref="T49">_xlfn.STDEV.P(IF($E$5:$E$27=$E48,T$5:T$27))</f>
        <v>0</v>
      </c>
      <c r="U49" s="74">
        <f t="array" ref="U49">_xlfn.STDEV.P(IF($E$5:$E$27=$E48,U$5:U$27))</f>
        <v>0</v>
      </c>
      <c r="V49" s="74">
        <f t="array" ref="V49">_xlfn.STDEV.P(IF($E$5:$E$27=$E48,V$5:V$27))</f>
        <v>0</v>
      </c>
      <c r="W49" s="74">
        <f t="array" ref="W49">_xlfn.STDEV.P(IF($E$5:$E$27=$E48,W$5:W$27))</f>
        <v>0</v>
      </c>
      <c r="X49" s="74">
        <f t="array" ref="X49">_xlfn.STDEV.P(IF($E$5:$E$27=$E48,X$5:X$27))</f>
        <v>0</v>
      </c>
      <c r="Y49" s="74">
        <f t="array" ref="Y49">_xlfn.STDEV.P(IF($E$5:$E$27=$E48,Y$5:Y$27))</f>
        <v>0</v>
      </c>
      <c r="Z49" s="74">
        <f t="array" ref="Z49">_xlfn.STDEV.P(IF($E$5:$E$27=$E48,Z$5:Z$27))</f>
        <v>0</v>
      </c>
      <c r="AA49" s="74">
        <f t="array" ref="AA49">_xlfn.STDEV.P(IF($E$5:$E$27=$E48,AA$5:AA$27))</f>
        <v>0</v>
      </c>
      <c r="AB49" s="74">
        <f t="array" ref="AB49">_xlfn.STDEV.P(IF($E$5:$E$27=$E48,AB$5:AB$27))</f>
        <v>0</v>
      </c>
      <c r="AC49" s="74">
        <f t="array" ref="AC49">_xlfn.STDEV.P(IF($E$5:$E$27=$E48,AC$5:AC$27))</f>
        <v>0</v>
      </c>
      <c r="AD49" s="74">
        <f t="array" ref="AD49">_xlfn.STDEV.P(IF($E$5:$E$27=$E48,AD$5:AD$27))</f>
        <v>0</v>
      </c>
      <c r="AE49" s="74">
        <f t="array" ref="AE49">_xlfn.STDEV.P(IF($E$5:$E$27=$E48,AE$5:AE$27))</f>
        <v>0</v>
      </c>
      <c r="AF49" s="74">
        <f t="array" ref="AF49">_xlfn.STDEV.P(IF($E$5:$E$27=$E48,AF$5:AF$27))</f>
        <v>0</v>
      </c>
      <c r="AG49" s="127" t="s">
        <v>11</v>
      </c>
      <c r="AH49" s="67" t="e">
        <f t="array" ref="AH49">_xlfn.STDEV.P(IF($E$5:$E$27=$E48,AH$5:AH$27))</f>
        <v>#DIV/0!</v>
      </c>
      <c r="AI49" s="67" t="e">
        <f t="array" ref="AI49">_xlfn.STDEV.P(IF($E$5:$E$27=$E48,AI$5:AI$27))</f>
        <v>#DIV/0!</v>
      </c>
      <c r="AJ49" s="67" t="e">
        <f t="array" ref="AJ49">_xlfn.STDEV.P(IF($E$5:$E$27=$E48,AJ$5:AJ$27))</f>
        <v>#DIV/0!</v>
      </c>
      <c r="AK49" s="67" t="e">
        <f t="array" ref="AK49">_xlfn.STDEV.P(IF($E$5:$E$27=$E48,AK$5:AK$27))</f>
        <v>#DIV/0!</v>
      </c>
      <c r="AL49" s="67" t="e">
        <f t="array" ref="AL49">_xlfn.STDEV.P(IF($E$5:$E$27=$E48,AL$5:AL$27))</f>
        <v>#DIV/0!</v>
      </c>
      <c r="AM49" s="67" t="e">
        <f t="array" ref="AM49">_xlfn.STDEV.P(IF($E$5:$E$27=$E48,AM$5:AM$27))</f>
        <v>#DIV/0!</v>
      </c>
      <c r="AN49" s="67" t="e">
        <f t="array" ref="AN49">_xlfn.STDEV.P(IF($E$5:$E$27=$E48,AN$5:AN$27))</f>
        <v>#DIV/0!</v>
      </c>
      <c r="AO49" s="67" t="e">
        <f t="array" ref="AO49">_xlfn.STDEV.P(IF($E$5:$E$27=$E48,AO$5:AO$27))</f>
        <v>#DIV/0!</v>
      </c>
      <c r="AP49" s="67" t="e">
        <f t="array" ref="AP49">_xlfn.STDEV.P(IF($E$5:$E$27=$E48,AP$5:AP$27))</f>
        <v>#DIV/0!</v>
      </c>
      <c r="AQ49" s="67" t="e">
        <f t="array" ref="AQ49">_xlfn.STDEV.P(IF($E$5:$E$27=$E48,AQ$5:AQ$27))</f>
        <v>#DIV/0!</v>
      </c>
      <c r="AR49" s="67" t="e">
        <f t="array" ref="AR49">_xlfn.STDEV.P(IF($E$5:$E$27=$E48,AR$5:AR$27))</f>
        <v>#DIV/0!</v>
      </c>
      <c r="AS49" s="67" t="e">
        <f t="array" ref="AS49">_xlfn.STDEV.P(IF($E$5:$E$27=$E48,AS$5:AS$27))</f>
        <v>#DIV/0!</v>
      </c>
      <c r="AT49" s="67" t="e">
        <f t="array" ref="AT49">_xlfn.STDEV.P(IF($E$5:$E$27=$E48,AT$5:AT$27))</f>
        <v>#DIV/0!</v>
      </c>
      <c r="AU49" s="67" t="e">
        <f t="array" ref="AU49">_xlfn.STDEV.P(IF($E$5:$E$27=$E48,AU$5:AU$27))</f>
        <v>#DIV/0!</v>
      </c>
      <c r="AV49" s="67" t="e">
        <f t="array" ref="AV49">_xlfn.STDEV.P(IF($E$5:$E$27=$E48,AV$5:AV$27))</f>
        <v>#DIV/0!</v>
      </c>
      <c r="AW49" s="67" t="e">
        <f t="array" ref="AW49">_xlfn.STDEV.P(IF($E$5:$E$27=$E48,AW$5:AW$27))</f>
        <v>#DIV/0!</v>
      </c>
      <c r="AX49" s="67" t="e">
        <f t="array" ref="AX49">_xlfn.STDEV.P(IF($E$5:$E$27=$E48,AX$5:AX$27))</f>
        <v>#DIV/0!</v>
      </c>
      <c r="AY49" s="67">
        <f t="array" ref="AY49">_xlfn.STDEV.P(IF($E$5:$E$27=$E48,AY$5:AY$27))</f>
        <v>0</v>
      </c>
      <c r="AZ49" s="67">
        <f t="array" ref="AZ49">_xlfn.STDEV.P(IF($E$5:$E$27=$E48,AZ$5:AZ$27))</f>
        <v>0</v>
      </c>
      <c r="BA49" s="67" t="e">
        <f t="array" ref="BA49">_xlfn.STDEV.P(IF($E$5:$E$27=$E48,BA$5:BA$27))</f>
        <v>#DIV/0!</v>
      </c>
      <c r="BB49" s="67" t="e">
        <f t="array" ref="BB49">_xlfn.STDEV.P(IF($E$5:$E$27=$E48,BB$5:BB$27))</f>
        <v>#DIV/0!</v>
      </c>
      <c r="BC49" s="69"/>
    </row>
    <row r="50" spans="1:55" ht="14.25" customHeight="1">
      <c r="A50" s="103"/>
      <c r="E50" s="83"/>
      <c r="I50" s="83"/>
      <c r="J50" s="97"/>
      <c r="K50" s="121" t="s">
        <v>34</v>
      </c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121" t="s">
        <v>34</v>
      </c>
      <c r="AH50" s="66" t="e">
        <f>AH48-AH$29</f>
        <v>#DIV/0!</v>
      </c>
      <c r="AI50" s="66" t="e">
        <f>AI48-AI$29</f>
        <v>#DIV/0!</v>
      </c>
      <c r="AJ50" s="66" t="e">
        <f t="shared" ref="AJ50:AX50" si="45">AJ48-AJ$29</f>
        <v>#DIV/0!</v>
      </c>
      <c r="AK50" s="66" t="e">
        <f t="shared" si="45"/>
        <v>#DIV/0!</v>
      </c>
      <c r="AL50" s="66" t="e">
        <f t="shared" si="45"/>
        <v>#DIV/0!</v>
      </c>
      <c r="AM50" s="66" t="e">
        <f t="shared" si="45"/>
        <v>#DIV/0!</v>
      </c>
      <c r="AN50" s="66" t="e">
        <f t="shared" si="45"/>
        <v>#DIV/0!</v>
      </c>
      <c r="AO50" s="66" t="e">
        <f t="shared" si="45"/>
        <v>#DIV/0!</v>
      </c>
      <c r="AP50" s="66" t="e">
        <f t="shared" si="45"/>
        <v>#DIV/0!</v>
      </c>
      <c r="AQ50" s="66" t="e">
        <f t="shared" si="45"/>
        <v>#DIV/0!</v>
      </c>
      <c r="AR50" s="66" t="e">
        <f t="shared" si="45"/>
        <v>#DIV/0!</v>
      </c>
      <c r="AS50" s="66" t="e">
        <f t="shared" si="45"/>
        <v>#DIV/0!</v>
      </c>
      <c r="AT50" s="66" t="e">
        <f t="shared" si="45"/>
        <v>#DIV/0!</v>
      </c>
      <c r="AU50" s="66" t="e">
        <f t="shared" si="45"/>
        <v>#DIV/0!</v>
      </c>
      <c r="AV50" s="66" t="e">
        <f t="shared" si="45"/>
        <v>#DIV/0!</v>
      </c>
      <c r="AW50" s="66" t="e">
        <f t="shared" si="45"/>
        <v>#DIV/0!</v>
      </c>
      <c r="AX50" s="66" t="e">
        <f t="shared" si="45"/>
        <v>#DIV/0!</v>
      </c>
      <c r="AY50" s="66" t="e">
        <f>AY48-AY$29</f>
        <v>#DIV/0!</v>
      </c>
      <c r="AZ50" s="66" t="e">
        <f>AZ48-AZ$29</f>
        <v>#DIV/0!</v>
      </c>
      <c r="BA50" s="66" t="e">
        <f>BA48-BA$29</f>
        <v>#DIV/0!</v>
      </c>
      <c r="BB50" s="66" t="e">
        <f>BB48-BB$29</f>
        <v>#DIV/0!</v>
      </c>
      <c r="BC50" s="120"/>
    </row>
    <row r="51" spans="1:55" ht="14.25" customHeight="1">
      <c r="A51" s="103"/>
      <c r="E51" s="83"/>
      <c r="I51" s="83"/>
      <c r="J51" s="97"/>
      <c r="K51" s="95" t="s">
        <v>48</v>
      </c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95" t="s">
        <v>48</v>
      </c>
      <c r="AH51" s="66"/>
      <c r="AI51" s="66" t="e">
        <f>AH48*EXP((AI$4-AH$4)*-LN(2)/8.091)</f>
        <v>#DIV/0!</v>
      </c>
      <c r="AJ51" s="66" t="e">
        <f>AI48*EXP((AJ$4-AI$4)*-LN(2)/8.091)</f>
        <v>#DIV/0!</v>
      </c>
      <c r="AK51" s="66" t="e">
        <f t="shared" ref="AK51:AX51" si="46">AJ48*EXP((AK$4-AJ$4)*-LN(2)/8.091)</f>
        <v>#DIV/0!</v>
      </c>
      <c r="AL51" s="66" t="e">
        <f t="shared" si="46"/>
        <v>#DIV/0!</v>
      </c>
      <c r="AM51" s="66" t="e">
        <f t="shared" si="46"/>
        <v>#DIV/0!</v>
      </c>
      <c r="AN51" s="66" t="e">
        <f t="shared" si="46"/>
        <v>#DIV/0!</v>
      </c>
      <c r="AO51" s="66" t="e">
        <f t="shared" si="46"/>
        <v>#DIV/0!</v>
      </c>
      <c r="AP51" s="66" t="e">
        <f t="shared" si="46"/>
        <v>#DIV/0!</v>
      </c>
      <c r="AQ51" s="66" t="e">
        <f t="shared" si="46"/>
        <v>#DIV/0!</v>
      </c>
      <c r="AR51" s="66" t="e">
        <f t="shared" si="46"/>
        <v>#DIV/0!</v>
      </c>
      <c r="AS51" s="66" t="e">
        <f t="shared" si="46"/>
        <v>#DIV/0!</v>
      </c>
      <c r="AT51" s="66" t="e">
        <f t="shared" si="46"/>
        <v>#DIV/0!</v>
      </c>
      <c r="AU51" s="66" t="e">
        <f t="shared" si="46"/>
        <v>#DIV/0!</v>
      </c>
      <c r="AV51" s="66" t="e">
        <f t="shared" si="46"/>
        <v>#DIV/0!</v>
      </c>
      <c r="AW51" s="66" t="e">
        <f t="shared" si="46"/>
        <v>#DIV/0!</v>
      </c>
      <c r="AX51" s="66" t="e">
        <f t="shared" si="46"/>
        <v>#DIV/0!</v>
      </c>
      <c r="AY51" s="66" t="e">
        <f>AX48*EXP((AY$4-AX$4)*-LN(2)/8.091)</f>
        <v>#DIV/0!</v>
      </c>
      <c r="AZ51" s="66" t="e">
        <f>AY48*EXP((AZ$4-AY$4)*-LN(2)/8.091)</f>
        <v>#DIV/0!</v>
      </c>
      <c r="BA51" s="66" t="e">
        <f>AZ48*EXP((BA$4-AZ$4)*-LN(2)/8.091)</f>
        <v>#DIV/0!</v>
      </c>
      <c r="BB51" s="66" t="e">
        <f>BA48*EXP((BB$4-BA$4)*-LN(2)/8.091)</f>
        <v>#DIV/0!</v>
      </c>
      <c r="BC51" s="120"/>
    </row>
    <row r="52" spans="1:55" ht="14.25" customHeight="1">
      <c r="A52" s="103"/>
      <c r="E52" s="83"/>
      <c r="I52" s="83"/>
      <c r="J52" s="97"/>
      <c r="K52" s="95" t="s">
        <v>35</v>
      </c>
      <c r="L52" s="73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95" t="s">
        <v>35</v>
      </c>
      <c r="AH52" s="135"/>
      <c r="AI52" s="67" t="e">
        <f t="shared" ref="AI52:BB52" si="47">AI48-AI51</f>
        <v>#DIV/0!</v>
      </c>
      <c r="AJ52" s="67" t="e">
        <f t="shared" si="47"/>
        <v>#DIV/0!</v>
      </c>
      <c r="AK52" s="67" t="e">
        <f t="shared" si="47"/>
        <v>#DIV/0!</v>
      </c>
      <c r="AL52" s="67" t="e">
        <f t="shared" si="47"/>
        <v>#DIV/0!</v>
      </c>
      <c r="AM52" s="67" t="e">
        <f t="shared" si="47"/>
        <v>#DIV/0!</v>
      </c>
      <c r="AN52" s="67" t="e">
        <f t="shared" si="47"/>
        <v>#DIV/0!</v>
      </c>
      <c r="AO52" s="67" t="e">
        <f t="shared" si="47"/>
        <v>#DIV/0!</v>
      </c>
      <c r="AP52" s="67" t="e">
        <f t="shared" si="47"/>
        <v>#DIV/0!</v>
      </c>
      <c r="AQ52" s="67" t="e">
        <f t="shared" si="47"/>
        <v>#DIV/0!</v>
      </c>
      <c r="AR52" s="67" t="e">
        <f t="shared" si="47"/>
        <v>#DIV/0!</v>
      </c>
      <c r="AS52" s="67" t="e">
        <f t="shared" si="47"/>
        <v>#DIV/0!</v>
      </c>
      <c r="AT52" s="67" t="e">
        <f t="shared" si="47"/>
        <v>#DIV/0!</v>
      </c>
      <c r="AU52" s="67" t="e">
        <f t="shared" si="47"/>
        <v>#DIV/0!</v>
      </c>
      <c r="AV52" s="67" t="e">
        <f t="shared" si="47"/>
        <v>#DIV/0!</v>
      </c>
      <c r="AW52" s="67" t="e">
        <f t="shared" si="47"/>
        <v>#DIV/0!</v>
      </c>
      <c r="AX52" s="67" t="e">
        <f t="shared" si="47"/>
        <v>#DIV/0!</v>
      </c>
      <c r="AY52" s="67" t="e">
        <f t="shared" si="47"/>
        <v>#DIV/0!</v>
      </c>
      <c r="AZ52" s="67" t="e">
        <f t="shared" si="47"/>
        <v>#DIV/0!</v>
      </c>
      <c r="BA52" s="67" t="e">
        <f t="shared" si="47"/>
        <v>#DIV/0!</v>
      </c>
      <c r="BB52" s="67" t="e">
        <f t="shared" si="47"/>
        <v>#DIV/0!</v>
      </c>
      <c r="BC52" s="120"/>
    </row>
    <row r="53" spans="1:55" ht="14.25" customHeight="1">
      <c r="A53" s="103"/>
      <c r="E53" s="83"/>
      <c r="I53" s="83"/>
      <c r="J53" s="97"/>
      <c r="K53" s="95" t="s">
        <v>49</v>
      </c>
      <c r="L53" s="73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95" t="s">
        <v>49</v>
      </c>
      <c r="AH53" s="135" t="e">
        <f>AH48/AH$29</f>
        <v>#DIV/0!</v>
      </c>
      <c r="AI53" s="67" t="e">
        <f>AI48/AI$29</f>
        <v>#DIV/0!</v>
      </c>
      <c r="AJ53" s="67" t="e">
        <f>AJ48/AJ$29</f>
        <v>#DIV/0!</v>
      </c>
      <c r="AK53" s="67" t="e">
        <f t="shared" ref="AK53:AX53" si="48">AK48/AK$29</f>
        <v>#DIV/0!</v>
      </c>
      <c r="AL53" s="67" t="e">
        <f t="shared" si="48"/>
        <v>#DIV/0!</v>
      </c>
      <c r="AM53" s="67" t="e">
        <f t="shared" si="48"/>
        <v>#DIV/0!</v>
      </c>
      <c r="AN53" s="67" t="e">
        <f t="shared" si="48"/>
        <v>#DIV/0!</v>
      </c>
      <c r="AO53" s="67" t="e">
        <f t="shared" si="48"/>
        <v>#DIV/0!</v>
      </c>
      <c r="AP53" s="67" t="e">
        <f t="shared" si="48"/>
        <v>#DIV/0!</v>
      </c>
      <c r="AQ53" s="67" t="e">
        <f t="shared" si="48"/>
        <v>#DIV/0!</v>
      </c>
      <c r="AR53" s="67" t="e">
        <f t="shared" si="48"/>
        <v>#DIV/0!</v>
      </c>
      <c r="AS53" s="67" t="e">
        <f t="shared" si="48"/>
        <v>#DIV/0!</v>
      </c>
      <c r="AT53" s="67" t="e">
        <f t="shared" si="48"/>
        <v>#DIV/0!</v>
      </c>
      <c r="AU53" s="67" t="e">
        <f t="shared" si="48"/>
        <v>#DIV/0!</v>
      </c>
      <c r="AV53" s="67" t="e">
        <f t="shared" si="48"/>
        <v>#DIV/0!</v>
      </c>
      <c r="AW53" s="67" t="e">
        <f t="shared" si="48"/>
        <v>#DIV/0!</v>
      </c>
      <c r="AX53" s="67" t="e">
        <f t="shared" si="48"/>
        <v>#DIV/0!</v>
      </c>
      <c r="AY53" s="67" t="e">
        <f>AY48/AY$29</f>
        <v>#DIV/0!</v>
      </c>
      <c r="AZ53" s="67" t="e">
        <f>AZ48/AZ$29</f>
        <v>#DIV/0!</v>
      </c>
      <c r="BA53" s="67" t="e">
        <f>BA48/BA$29</f>
        <v>#DIV/0!</v>
      </c>
      <c r="BB53" s="67" t="e">
        <f>BB48/BB$29</f>
        <v>#DIV/0!</v>
      </c>
      <c r="BC53" s="120"/>
    </row>
    <row r="54" spans="1:55" ht="15">
      <c r="A54" s="103"/>
      <c r="E54" s="45"/>
      <c r="I54" s="45"/>
      <c r="K54" s="123"/>
      <c r="AG54" s="122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136"/>
    </row>
    <row r="55" spans="1:55" ht="14.25" customHeight="1">
      <c r="A55" s="103"/>
      <c r="E55" s="108" t="str">
        <f>'NAB_PTX Groups'!C9</f>
        <v>BxPc3 - Abraxane Combo</v>
      </c>
      <c r="I55" s="108" t="str">
        <f>E55</f>
        <v>BxPc3 - Abraxane Combo</v>
      </c>
      <c r="J55" s="97">
        <f>AVERAGEIF($E$5:$E$27,$E55,J$5:J$27)</f>
        <v>1162.8333333333333</v>
      </c>
      <c r="K55" s="96" t="s">
        <v>9</v>
      </c>
      <c r="L55" s="71">
        <f t="shared" ref="L55:AF55" si="49">AVERAGEIF($E$5:$E$27,$E55,L$5:L$27)</f>
        <v>1162.8333333333333</v>
      </c>
      <c r="M55" s="71">
        <f t="shared" si="49"/>
        <v>833</v>
      </c>
      <c r="N55" s="71">
        <f t="shared" si="49"/>
        <v>717.5</v>
      </c>
      <c r="O55" s="71">
        <f t="shared" si="49"/>
        <v>578.66666666666663</v>
      </c>
      <c r="P55" s="71">
        <f t="shared" si="49"/>
        <v>418.83333333333331</v>
      </c>
      <c r="Q55" s="71">
        <f t="shared" si="49"/>
        <v>341.66666666666669</v>
      </c>
      <c r="R55" s="71">
        <f t="shared" si="49"/>
        <v>279</v>
      </c>
      <c r="S55" s="71">
        <f t="shared" si="49"/>
        <v>181</v>
      </c>
      <c r="T55" s="71">
        <f t="shared" si="49"/>
        <v>149.5</v>
      </c>
      <c r="U55" s="71">
        <f t="shared" si="49"/>
        <v>131.5</v>
      </c>
      <c r="V55" s="71">
        <f t="shared" si="49"/>
        <v>98</v>
      </c>
      <c r="W55" s="71">
        <f t="shared" si="49"/>
        <v>63.866666666666674</v>
      </c>
      <c r="X55" s="71" t="e">
        <f t="shared" si="49"/>
        <v>#DIV/0!</v>
      </c>
      <c r="Y55" s="71" t="e">
        <f t="shared" si="49"/>
        <v>#DIV/0!</v>
      </c>
      <c r="Z55" s="71" t="e">
        <f t="shared" si="49"/>
        <v>#DIV/0!</v>
      </c>
      <c r="AA55" s="71" t="e">
        <f t="shared" si="49"/>
        <v>#DIV/0!</v>
      </c>
      <c r="AB55" s="71" t="e">
        <f t="shared" si="49"/>
        <v>#DIV/0!</v>
      </c>
      <c r="AC55" s="71" t="e">
        <f t="shared" si="49"/>
        <v>#DIV/0!</v>
      </c>
      <c r="AD55" s="71" t="e">
        <f t="shared" si="49"/>
        <v>#DIV/0!</v>
      </c>
      <c r="AE55" s="71" t="e">
        <f t="shared" si="49"/>
        <v>#DIV/0!</v>
      </c>
      <c r="AF55" s="71" t="e">
        <f t="shared" si="49"/>
        <v>#DIV/0!</v>
      </c>
      <c r="AG55" s="126" t="s">
        <v>9</v>
      </c>
      <c r="AH55" s="66">
        <f t="shared" ref="AH55:BB55" si="50">AVERAGEIF($E$5:$E$27,$E55,AH$5:AH$27)</f>
        <v>1</v>
      </c>
      <c r="AI55" s="66">
        <f t="shared" si="50"/>
        <v>0.71823272970263197</v>
      </c>
      <c r="AJ55" s="66">
        <f t="shared" si="50"/>
        <v>0.6197630671277562</v>
      </c>
      <c r="AK55" s="66">
        <f t="shared" si="50"/>
        <v>0.49899559219589246</v>
      </c>
      <c r="AL55" s="66">
        <f t="shared" si="50"/>
        <v>0.36110444853245077</v>
      </c>
      <c r="AM55" s="66">
        <f t="shared" si="50"/>
        <v>0.29381992616693364</v>
      </c>
      <c r="AN55" s="66">
        <f t="shared" si="50"/>
        <v>0.24113806071433627</v>
      </c>
      <c r="AO55" s="66">
        <f t="shared" si="50"/>
        <v>0.15708556431436901</v>
      </c>
      <c r="AP55" s="66">
        <f t="shared" si="50"/>
        <v>0.1295320072633542</v>
      </c>
      <c r="AQ55" s="66">
        <f t="shared" si="50"/>
        <v>0.11362613905830247</v>
      </c>
      <c r="AR55" s="66">
        <f t="shared" si="50"/>
        <v>8.4990143512152852E-2</v>
      </c>
      <c r="AS55" s="66">
        <f t="shared" si="50"/>
        <v>5.498449368405748E-2</v>
      </c>
      <c r="AT55" s="66" t="e">
        <f t="shared" si="50"/>
        <v>#DIV/0!</v>
      </c>
      <c r="AU55" s="66" t="e">
        <f t="shared" si="50"/>
        <v>#DIV/0!</v>
      </c>
      <c r="AV55" s="66" t="e">
        <f t="shared" si="50"/>
        <v>#DIV/0!</v>
      </c>
      <c r="AW55" s="66" t="e">
        <f t="shared" si="50"/>
        <v>#DIV/0!</v>
      </c>
      <c r="AX55" s="66" t="e">
        <f t="shared" si="50"/>
        <v>#DIV/0!</v>
      </c>
      <c r="AY55" s="66" t="e">
        <f t="shared" si="50"/>
        <v>#DIV/0!</v>
      </c>
      <c r="AZ55" s="66" t="e">
        <f t="shared" si="50"/>
        <v>#DIV/0!</v>
      </c>
      <c r="BA55" s="66" t="e">
        <f t="shared" si="50"/>
        <v>#DIV/0!</v>
      </c>
      <c r="BB55" s="66" t="e">
        <f t="shared" si="50"/>
        <v>#DIV/0!</v>
      </c>
      <c r="BC55" s="69"/>
    </row>
    <row r="56" spans="1:55" ht="14.25" customHeight="1">
      <c r="A56" s="103"/>
      <c r="E56" s="83"/>
      <c r="I56" s="83"/>
      <c r="J56" s="97">
        <f t="array" ref="J56">_xlfn.STDEV.P(IF($E$5:$E$27=$E55,J$5:J$27))</f>
        <v>266.45788702073645</v>
      </c>
      <c r="K56" s="96" t="s">
        <v>11</v>
      </c>
      <c r="L56" s="74">
        <f t="array" ref="L56">_xlfn.STDEV.P(IF($E$5:$E$27=$E55,L$5:L$27))</f>
        <v>266.45788702073645</v>
      </c>
      <c r="M56" s="74">
        <f t="array" ref="M56">_xlfn.STDEV.P(IF($E$5:$E$27=$E55,M$5:M$27))</f>
        <v>190.47659523766518</v>
      </c>
      <c r="N56" s="74">
        <f t="array" ref="N56">_xlfn.STDEV.P(IF($E$5:$E$27=$E55,N$5:N$27))</f>
        <v>157.47142597944554</v>
      </c>
      <c r="O56" s="74">
        <f t="array" ref="O56">_xlfn.STDEV.P(IF($E$5:$E$27=$E55,O$5:O$27))</f>
        <v>131.76452059977638</v>
      </c>
      <c r="P56" s="74">
        <f t="array" ref="P56">_xlfn.STDEV.P(IF($E$5:$E$27=$E55,P$5:P$27))</f>
        <v>95.459269964850577</v>
      </c>
      <c r="Q56" s="74">
        <f t="array" ref="Q56">_xlfn.STDEV.P(IF($E$5:$E$27=$E55,Q$5:Q$27))</f>
        <v>80.908727725890131</v>
      </c>
      <c r="R56" s="74">
        <f t="array" ref="R56">_xlfn.STDEV.P(IF($E$5:$E$27=$E55,R$5:R$27))</f>
        <v>60.260545411847488</v>
      </c>
      <c r="S56" s="74">
        <f t="array" ref="S56">_xlfn.STDEV.P(IF($E$5:$E$27=$E55,S$5:S$27))</f>
        <v>36.646964403617389</v>
      </c>
      <c r="T56" s="74">
        <f t="array" ref="T56">_xlfn.STDEV.P(IF($E$5:$E$27=$E55,T$5:T$27))</f>
        <v>31.452344904633105</v>
      </c>
      <c r="U56" s="74">
        <f t="array" ref="U56">_xlfn.STDEV.P(IF($E$5:$E$27=$E55,U$5:U$27))</f>
        <v>28.453177912727664</v>
      </c>
      <c r="V56" s="74">
        <f t="array" ref="V56">_xlfn.STDEV.P(IF($E$5:$E$27=$E55,V$5:V$27))</f>
        <v>19.857828011475306</v>
      </c>
      <c r="W56" s="74">
        <f t="array" ref="W56">_xlfn.STDEV.P(IF($E$5:$E$27=$E55,W$5:W$27))</f>
        <v>14.878134590360702</v>
      </c>
      <c r="X56" s="74">
        <f t="array" ref="X56">_xlfn.STDEV.P(IF($E$5:$E$27=$E55,X$5:X$27))</f>
        <v>0</v>
      </c>
      <c r="Y56" s="74">
        <f t="array" ref="Y56">_xlfn.STDEV.P(IF($E$5:$E$27=$E55,Y$5:Y$27))</f>
        <v>0</v>
      </c>
      <c r="Z56" s="74">
        <f t="array" ref="Z56">_xlfn.STDEV.P(IF($E$5:$E$27=$E55,Z$5:Z$27))</f>
        <v>0</v>
      </c>
      <c r="AA56" s="74">
        <f t="array" ref="AA56">_xlfn.STDEV.P(IF($E$5:$E$27=$E55,AA$5:AA$27))</f>
        <v>0</v>
      </c>
      <c r="AB56" s="74">
        <f t="array" ref="AB56">_xlfn.STDEV.P(IF($E$5:$E$27=$E55,AB$5:AB$27))</f>
        <v>0</v>
      </c>
      <c r="AC56" s="74">
        <f t="array" ref="AC56">_xlfn.STDEV.P(IF($E$5:$E$27=$E55,AC$5:AC$27))</f>
        <v>0</v>
      </c>
      <c r="AD56" s="74">
        <f t="array" ref="AD56">_xlfn.STDEV.P(IF($E$5:$E$27=$E55,AD$5:AD$27))</f>
        <v>0</v>
      </c>
      <c r="AE56" s="74">
        <f t="array" ref="AE56">_xlfn.STDEV.P(IF($E$5:$E$27=$E55,AE$5:AE$27))</f>
        <v>0</v>
      </c>
      <c r="AF56" s="74">
        <f t="array" ref="AF56">_xlfn.STDEV.P(IF($E$5:$E$27=$E55,AF$5:AF$27))</f>
        <v>0</v>
      </c>
      <c r="AG56" s="127" t="s">
        <v>11</v>
      </c>
      <c r="AH56" s="67">
        <f t="array" ref="AH56">_xlfn.STDEV.P(IF($E$5:$E$27=$E55,AH$5:AH$27))</f>
        <v>0</v>
      </c>
      <c r="AI56" s="67">
        <f t="array" ref="AI56">_xlfn.STDEV.P(IF($E$5:$E$27=$E55,AI$5:AI$27))</f>
        <v>2.7392323672537015E-2</v>
      </c>
      <c r="AJ56" s="67">
        <f t="array" ref="AJ56">_xlfn.STDEV.P(IF($E$5:$E$27=$E55,AJ$5:AJ$27))</f>
        <v>2.2164988143491101E-2</v>
      </c>
      <c r="AK56" s="67">
        <f t="array" ref="AK56">_xlfn.STDEV.P(IF($E$5:$E$27=$E55,AK$5:AK$27))</f>
        <v>1.8078823873021652E-2</v>
      </c>
      <c r="AL56" s="67">
        <f t="array" ref="AL56">_xlfn.STDEV.P(IF($E$5:$E$27=$E55,AL$5:AL$27))</f>
        <v>1.3061469766119058E-2</v>
      </c>
      <c r="AM56" s="67">
        <f t="array" ref="AM56">_xlfn.STDEV.P(IF($E$5:$E$27=$E55,AM$5:AM$27))</f>
        <v>9.3647258005082092E-3</v>
      </c>
      <c r="AN56" s="67">
        <f t="array" ref="AN56">_xlfn.STDEV.P(IF($E$5:$E$27=$E55,AN$5:AN$27))</f>
        <v>8.8214724650351288E-3</v>
      </c>
      <c r="AO56" s="67">
        <f t="array" ref="AO56">_xlfn.STDEV.P(IF($E$5:$E$27=$E55,AO$5:AO$27))</f>
        <v>7.6568619939649573E-3</v>
      </c>
      <c r="AP56" s="67">
        <f t="array" ref="AP56">_xlfn.STDEV.P(IF($E$5:$E$27=$E55,AP$5:AP$27))</f>
        <v>6.1378189212811223E-3</v>
      </c>
      <c r="AQ56" s="67">
        <f t="array" ref="AQ56">_xlfn.STDEV.P(IF($E$5:$E$27=$E55,AQ$5:AQ$27))</f>
        <v>3.3133956099031187E-3</v>
      </c>
      <c r="AR56" s="67">
        <f t="array" ref="AR56">_xlfn.STDEV.P(IF($E$5:$E$27=$E55,AR$5:AR$27))</f>
        <v>3.7034743299167758E-3</v>
      </c>
      <c r="AS56" s="67">
        <f t="array" ref="AS56">_xlfn.STDEV.P(IF($E$5:$E$27=$E55,AS$5:AS$27))</f>
        <v>1.9195486599401642E-3</v>
      </c>
      <c r="AT56" s="67" t="e">
        <f t="array" ref="AT56">_xlfn.STDEV.P(IF($E$5:$E$27=$E55,AT$5:AT$27))</f>
        <v>#DIV/0!</v>
      </c>
      <c r="AU56" s="67" t="e">
        <f t="array" ref="AU56">_xlfn.STDEV.P(IF($E$5:$E$27=$E55,AU$5:AU$27))</f>
        <v>#DIV/0!</v>
      </c>
      <c r="AV56" s="67" t="e">
        <f t="array" ref="AV56">_xlfn.STDEV.P(IF($E$5:$E$27=$E55,AV$5:AV$27))</f>
        <v>#DIV/0!</v>
      </c>
      <c r="AW56" s="67" t="e">
        <f t="array" ref="AW56">_xlfn.STDEV.P(IF($E$5:$E$27=$E55,AW$5:AW$27))</f>
        <v>#DIV/0!</v>
      </c>
      <c r="AX56" s="67" t="e">
        <f t="array" ref="AX56">_xlfn.STDEV.P(IF($E$5:$E$27=$E55,AX$5:AX$27))</f>
        <v>#DIV/0!</v>
      </c>
      <c r="AY56" s="67" t="e">
        <f t="array" ref="AY56">_xlfn.STDEV.P(IF($E$5:$E$27=$E55,AY$5:AY$27))</f>
        <v>#DIV/0!</v>
      </c>
      <c r="AZ56" s="67" t="e">
        <f t="array" ref="AZ56">_xlfn.STDEV.P(IF($E$5:$E$27=$E55,AZ$5:AZ$27))</f>
        <v>#DIV/0!</v>
      </c>
      <c r="BA56" s="67" t="e">
        <f t="array" ref="BA56">_xlfn.STDEV.P(IF($E$5:$E$27=$E55,BA$5:BA$27))</f>
        <v>#DIV/0!</v>
      </c>
      <c r="BB56" s="67" t="e">
        <f t="array" ref="BB56">_xlfn.STDEV.P(IF($E$5:$E$27=$E55,BB$5:BB$27))</f>
        <v>#DIV/0!</v>
      </c>
      <c r="BC56" s="69"/>
    </row>
    <row r="57" spans="1:55" ht="14.25" customHeight="1">
      <c r="A57" s="103"/>
      <c r="E57" s="83"/>
      <c r="I57" s="83"/>
      <c r="J57" s="97"/>
      <c r="K57" s="121" t="s">
        <v>34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121" t="s">
        <v>34</v>
      </c>
      <c r="AH57" s="66">
        <f>AH55-AH$29</f>
        <v>0</v>
      </c>
      <c r="AI57" s="66">
        <f>AI55-AI$29</f>
        <v>-0.19896650506679758</v>
      </c>
      <c r="AJ57" s="66">
        <f t="shared" ref="AJ57:AX57" si="51">AJ55-AJ$29</f>
        <v>-0.22149136913387091</v>
      </c>
      <c r="AK57" s="66">
        <f t="shared" si="51"/>
        <v>-0.20871343433397554</v>
      </c>
      <c r="AL57" s="66">
        <f t="shared" si="51"/>
        <v>-0.18496236797308235</v>
      </c>
      <c r="AM57" s="66">
        <f t="shared" si="51"/>
        <v>-0.16556120571361005</v>
      </c>
      <c r="AN57" s="66">
        <f t="shared" si="51"/>
        <v>-0.14531835441505866</v>
      </c>
      <c r="AO57" s="66">
        <f t="shared" si="51"/>
        <v>-9.3767227934347913E-2</v>
      </c>
      <c r="AP57" s="66">
        <f t="shared" si="51"/>
        <v>-8.1499017064495249E-2</v>
      </c>
      <c r="AQ57" s="66">
        <f t="shared" si="51"/>
        <v>-6.3904646346336205E-2</v>
      </c>
      <c r="AR57" s="66">
        <f t="shared" si="51"/>
        <v>-5.1992242162627864E-2</v>
      </c>
      <c r="AS57" s="66">
        <f t="shared" si="51"/>
        <v>-4.1959177133580529E-2</v>
      </c>
      <c r="AT57" s="66" t="e">
        <f t="shared" si="51"/>
        <v>#DIV/0!</v>
      </c>
      <c r="AU57" s="66" t="e">
        <f t="shared" si="51"/>
        <v>#DIV/0!</v>
      </c>
      <c r="AV57" s="66" t="e">
        <f t="shared" si="51"/>
        <v>#DIV/0!</v>
      </c>
      <c r="AW57" s="66" t="e">
        <f t="shared" si="51"/>
        <v>#DIV/0!</v>
      </c>
      <c r="AX57" s="66" t="e">
        <f t="shared" si="51"/>
        <v>#DIV/0!</v>
      </c>
      <c r="AY57" s="66" t="e">
        <f>AY55-AY$29</f>
        <v>#DIV/0!</v>
      </c>
      <c r="AZ57" s="66" t="e">
        <f>AZ55-AZ$29</f>
        <v>#DIV/0!</v>
      </c>
      <c r="BA57" s="66" t="e">
        <f>BA55-BA$29</f>
        <v>#DIV/0!</v>
      </c>
      <c r="BB57" s="66" t="e">
        <f>BB55-BB$29</f>
        <v>#DIV/0!</v>
      </c>
      <c r="BC57" s="120"/>
    </row>
    <row r="58" spans="1:55" ht="14.25" customHeight="1">
      <c r="A58" s="103"/>
      <c r="E58" s="83"/>
      <c r="I58" s="83"/>
      <c r="J58" s="97"/>
      <c r="K58" s="95" t="s">
        <v>48</v>
      </c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95" t="s">
        <v>48</v>
      </c>
      <c r="AH58" s="66"/>
      <c r="AI58" s="66">
        <f>AH55*EXP((AI$4-AH$4)*-LN(2)/8.091)</f>
        <v>0.91789808441829013</v>
      </c>
      <c r="AJ58" s="66">
        <f>AI55*EXP((AJ$4-AI$4)*-LN(2)/8.091)</f>
        <v>0.65926444676056539</v>
      </c>
      <c r="AK58" s="66">
        <f t="shared" ref="AK58:AX58" si="52">AJ55*EXP((AK$4-AJ$4)*-LN(2)/8.091)</f>
        <v>0.52217324920871566</v>
      </c>
      <c r="AL58" s="66">
        <f t="shared" si="52"/>
        <v>0.38590472840895917</v>
      </c>
      <c r="AM58" s="66">
        <f t="shared" si="52"/>
        <v>0.30424382025178376</v>
      </c>
      <c r="AN58" s="66">
        <f t="shared" si="52"/>
        <v>0.24755412780546682</v>
      </c>
      <c r="AO58" s="66">
        <f t="shared" si="52"/>
        <v>0.15712239177887999</v>
      </c>
      <c r="AP58" s="66">
        <f t="shared" si="52"/>
        <v>0.13235038335207888</v>
      </c>
      <c r="AQ58" s="66">
        <f t="shared" si="52"/>
        <v>0.10913549499278226</v>
      </c>
      <c r="AR58" s="66">
        <f t="shared" si="52"/>
        <v>8.7874251835553169E-2</v>
      </c>
      <c r="AS58" s="66">
        <f t="shared" si="52"/>
        <v>6.033181861044682E-2</v>
      </c>
      <c r="AT58" s="66" t="e">
        <f t="shared" si="52"/>
        <v>#VALUE!</v>
      </c>
      <c r="AU58" s="66" t="e">
        <f t="shared" si="52"/>
        <v>#DIV/0!</v>
      </c>
      <c r="AV58" s="66" t="e">
        <f t="shared" si="52"/>
        <v>#DIV/0!</v>
      </c>
      <c r="AW58" s="66" t="e">
        <f t="shared" si="52"/>
        <v>#DIV/0!</v>
      </c>
      <c r="AX58" s="66" t="e">
        <f t="shared" si="52"/>
        <v>#DIV/0!</v>
      </c>
      <c r="AY58" s="66" t="e">
        <f>AX55*EXP((AY$4-AX$4)*-LN(2)/8.091)</f>
        <v>#DIV/0!</v>
      </c>
      <c r="AZ58" s="66" t="e">
        <f>AY55*EXP((AZ$4-AY$4)*-LN(2)/8.091)</f>
        <v>#DIV/0!</v>
      </c>
      <c r="BA58" s="66" t="e">
        <f>AZ55*EXP((BA$4-AZ$4)*-LN(2)/8.091)</f>
        <v>#DIV/0!</v>
      </c>
      <c r="BB58" s="66" t="e">
        <f>BA55*EXP((BB$4-BA$4)*-LN(2)/8.091)</f>
        <v>#DIV/0!</v>
      </c>
      <c r="BC58" s="120"/>
    </row>
    <row r="59" spans="1:55" ht="14.25" customHeight="1">
      <c r="A59" s="103"/>
      <c r="E59" s="83"/>
      <c r="I59" s="83"/>
      <c r="J59" s="97"/>
      <c r="K59" s="95" t="s">
        <v>35</v>
      </c>
      <c r="L59" s="73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95" t="s">
        <v>35</v>
      </c>
      <c r="AH59" s="135"/>
      <c r="AI59" s="67">
        <f t="shared" ref="AI59:BB59" si="53">AI55-AI58</f>
        <v>-0.19966535471565816</v>
      </c>
      <c r="AJ59" s="67">
        <f t="shared" si="53"/>
        <v>-3.9501379632809197E-2</v>
      </c>
      <c r="AK59" s="67">
        <f t="shared" si="53"/>
        <v>-2.3177657012823205E-2</v>
      </c>
      <c r="AL59" s="67">
        <f t="shared" si="53"/>
        <v>-2.4800279876508402E-2</v>
      </c>
      <c r="AM59" s="67">
        <f t="shared" si="53"/>
        <v>-1.0423894084850116E-2</v>
      </c>
      <c r="AN59" s="67">
        <f t="shared" si="53"/>
        <v>-6.4160670911305451E-3</v>
      </c>
      <c r="AO59" s="67">
        <f t="shared" si="53"/>
        <v>-3.6827464510974517E-5</v>
      </c>
      <c r="AP59" s="67">
        <f t="shared" si="53"/>
        <v>-2.8183760887246778E-3</v>
      </c>
      <c r="AQ59" s="67">
        <f t="shared" si="53"/>
        <v>4.4906440655202162E-3</v>
      </c>
      <c r="AR59" s="67">
        <f t="shared" si="53"/>
        <v>-2.8841083234003168E-3</v>
      </c>
      <c r="AS59" s="67">
        <f t="shared" si="53"/>
        <v>-5.3473249263893408E-3</v>
      </c>
      <c r="AT59" s="67" t="e">
        <f t="shared" si="53"/>
        <v>#DIV/0!</v>
      </c>
      <c r="AU59" s="67" t="e">
        <f t="shared" si="53"/>
        <v>#DIV/0!</v>
      </c>
      <c r="AV59" s="67" t="e">
        <f t="shared" si="53"/>
        <v>#DIV/0!</v>
      </c>
      <c r="AW59" s="67" t="e">
        <f t="shared" si="53"/>
        <v>#DIV/0!</v>
      </c>
      <c r="AX59" s="67" t="e">
        <f t="shared" si="53"/>
        <v>#DIV/0!</v>
      </c>
      <c r="AY59" s="67" t="e">
        <f t="shared" si="53"/>
        <v>#DIV/0!</v>
      </c>
      <c r="AZ59" s="67" t="e">
        <f t="shared" si="53"/>
        <v>#DIV/0!</v>
      </c>
      <c r="BA59" s="67" t="e">
        <f t="shared" si="53"/>
        <v>#DIV/0!</v>
      </c>
      <c r="BB59" s="67" t="e">
        <f t="shared" si="53"/>
        <v>#DIV/0!</v>
      </c>
      <c r="BC59" s="120"/>
    </row>
    <row r="60" spans="1:55" ht="14.25" customHeight="1">
      <c r="A60" s="103"/>
      <c r="E60" s="83"/>
      <c r="I60" s="83"/>
      <c r="J60" s="97"/>
      <c r="K60" s="95" t="s">
        <v>49</v>
      </c>
      <c r="L60" s="73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95" t="s">
        <v>49</v>
      </c>
      <c r="AH60" s="135">
        <f>AH55/AH$29</f>
        <v>1</v>
      </c>
      <c r="AI60" s="67">
        <f>AI55/AI$29</f>
        <v>0.78307166259595185</v>
      </c>
      <c r="AJ60" s="67">
        <f>AJ55/AJ$29</f>
        <v>0.73671298529118501</v>
      </c>
      <c r="AK60" s="67">
        <f t="shared" ref="AK60:AX60" si="54">AK55/AK$29</f>
        <v>0.70508580997282644</v>
      </c>
      <c r="AL60" s="67">
        <f t="shared" si="54"/>
        <v>0.66128253469654263</v>
      </c>
      <c r="AM60" s="67">
        <f t="shared" si="54"/>
        <v>0.63959946496744191</v>
      </c>
      <c r="AN60" s="67">
        <f t="shared" si="54"/>
        <v>0.62397220300663769</v>
      </c>
      <c r="AO60" s="67">
        <f t="shared" si="54"/>
        <v>0.62620616221254155</v>
      </c>
      <c r="AP60" s="67">
        <f t="shared" si="54"/>
        <v>0.61380551829250662</v>
      </c>
      <c r="AQ60" s="67">
        <f t="shared" si="54"/>
        <v>0.64003625511664952</v>
      </c>
      <c r="AR60" s="67">
        <f t="shared" si="54"/>
        <v>0.62044578281717022</v>
      </c>
      <c r="AS60" s="67">
        <f t="shared" si="54"/>
        <v>0.5671798191703461</v>
      </c>
      <c r="AT60" s="67" t="e">
        <f t="shared" si="54"/>
        <v>#DIV/0!</v>
      </c>
      <c r="AU60" s="67" t="e">
        <f t="shared" si="54"/>
        <v>#DIV/0!</v>
      </c>
      <c r="AV60" s="67" t="e">
        <f t="shared" si="54"/>
        <v>#DIV/0!</v>
      </c>
      <c r="AW60" s="67" t="e">
        <f t="shared" si="54"/>
        <v>#DIV/0!</v>
      </c>
      <c r="AX60" s="67" t="e">
        <f t="shared" si="54"/>
        <v>#DIV/0!</v>
      </c>
      <c r="AY60" s="67" t="e">
        <f>AY55/AY$29</f>
        <v>#DIV/0!</v>
      </c>
      <c r="AZ60" s="67" t="e">
        <f>AZ55/AZ$29</f>
        <v>#DIV/0!</v>
      </c>
      <c r="BA60" s="67" t="e">
        <f>BA55/BA$29</f>
        <v>#DIV/0!</v>
      </c>
      <c r="BB60" s="67" t="e">
        <f>BB55/BB$29</f>
        <v>#DIV/0!</v>
      </c>
      <c r="BC60" s="120"/>
    </row>
    <row r="61" spans="1:55" ht="15">
      <c r="A61" s="103"/>
      <c r="E61" s="45"/>
      <c r="I61" s="45"/>
      <c r="K61" s="123"/>
      <c r="AG61" s="122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136"/>
    </row>
    <row r="62" spans="1:55" ht="14.25" customHeight="1">
      <c r="A62" s="103"/>
      <c r="E62" s="108" t="str">
        <f>'NAB_PTX Groups'!C10</f>
        <v>Group 5</v>
      </c>
      <c r="I62" s="108" t="str">
        <f>E62</f>
        <v>Group 5</v>
      </c>
      <c r="J62" s="97" t="e">
        <f>AVERAGEIF($E$5:$E$27,$E62,J$5:J$27)</f>
        <v>#DIV/0!</v>
      </c>
      <c r="K62" s="96" t="s">
        <v>9</v>
      </c>
      <c r="L62" s="71" t="e">
        <f t="shared" ref="L62:AF62" si="55">AVERAGEIF($E$5:$E$27,$E62,L$5:L$27)</f>
        <v>#DIV/0!</v>
      </c>
      <c r="M62" s="71" t="e">
        <f t="shared" si="55"/>
        <v>#DIV/0!</v>
      </c>
      <c r="N62" s="71" t="e">
        <f t="shared" si="55"/>
        <v>#DIV/0!</v>
      </c>
      <c r="O62" s="71" t="e">
        <f t="shared" si="55"/>
        <v>#DIV/0!</v>
      </c>
      <c r="P62" s="71" t="e">
        <f t="shared" si="55"/>
        <v>#DIV/0!</v>
      </c>
      <c r="Q62" s="71" t="e">
        <f t="shared" si="55"/>
        <v>#DIV/0!</v>
      </c>
      <c r="R62" s="71" t="e">
        <f t="shared" si="55"/>
        <v>#DIV/0!</v>
      </c>
      <c r="S62" s="71" t="e">
        <f t="shared" si="55"/>
        <v>#DIV/0!</v>
      </c>
      <c r="T62" s="71" t="e">
        <f t="shared" si="55"/>
        <v>#DIV/0!</v>
      </c>
      <c r="U62" s="71" t="e">
        <f t="shared" si="55"/>
        <v>#DIV/0!</v>
      </c>
      <c r="V62" s="71" t="e">
        <f t="shared" si="55"/>
        <v>#DIV/0!</v>
      </c>
      <c r="W62" s="71" t="e">
        <f t="shared" si="55"/>
        <v>#DIV/0!</v>
      </c>
      <c r="X62" s="71" t="e">
        <f t="shared" si="55"/>
        <v>#DIV/0!</v>
      </c>
      <c r="Y62" s="71" t="e">
        <f t="shared" si="55"/>
        <v>#DIV/0!</v>
      </c>
      <c r="Z62" s="71" t="e">
        <f t="shared" si="55"/>
        <v>#DIV/0!</v>
      </c>
      <c r="AA62" s="71" t="e">
        <f t="shared" si="55"/>
        <v>#DIV/0!</v>
      </c>
      <c r="AB62" s="71" t="e">
        <f t="shared" si="55"/>
        <v>#DIV/0!</v>
      </c>
      <c r="AC62" s="71" t="e">
        <f t="shared" si="55"/>
        <v>#DIV/0!</v>
      </c>
      <c r="AD62" s="71" t="e">
        <f t="shared" si="55"/>
        <v>#DIV/0!</v>
      </c>
      <c r="AE62" s="71" t="e">
        <f t="shared" si="55"/>
        <v>#DIV/0!</v>
      </c>
      <c r="AF62" s="71" t="e">
        <f t="shared" si="55"/>
        <v>#DIV/0!</v>
      </c>
      <c r="AG62" s="126" t="s">
        <v>9</v>
      </c>
      <c r="AH62" s="66" t="e">
        <f t="shared" ref="AH62:BB62" si="56">AVERAGEIF($E$5:$E$27,$E62,AH$5:AH$27)</f>
        <v>#DIV/0!</v>
      </c>
      <c r="AI62" s="66" t="e">
        <f t="shared" si="56"/>
        <v>#DIV/0!</v>
      </c>
      <c r="AJ62" s="66" t="e">
        <f t="shared" si="56"/>
        <v>#DIV/0!</v>
      </c>
      <c r="AK62" s="66" t="e">
        <f t="shared" si="56"/>
        <v>#DIV/0!</v>
      </c>
      <c r="AL62" s="66" t="e">
        <f t="shared" si="56"/>
        <v>#DIV/0!</v>
      </c>
      <c r="AM62" s="66" t="e">
        <f t="shared" si="56"/>
        <v>#DIV/0!</v>
      </c>
      <c r="AN62" s="66" t="e">
        <f t="shared" si="56"/>
        <v>#DIV/0!</v>
      </c>
      <c r="AO62" s="66" t="e">
        <f t="shared" si="56"/>
        <v>#DIV/0!</v>
      </c>
      <c r="AP62" s="66" t="e">
        <f t="shared" si="56"/>
        <v>#DIV/0!</v>
      </c>
      <c r="AQ62" s="66" t="e">
        <f t="shared" si="56"/>
        <v>#DIV/0!</v>
      </c>
      <c r="AR62" s="66" t="e">
        <f t="shared" si="56"/>
        <v>#DIV/0!</v>
      </c>
      <c r="AS62" s="66" t="e">
        <f t="shared" si="56"/>
        <v>#DIV/0!</v>
      </c>
      <c r="AT62" s="66" t="e">
        <f t="shared" si="56"/>
        <v>#DIV/0!</v>
      </c>
      <c r="AU62" s="66" t="e">
        <f t="shared" si="56"/>
        <v>#DIV/0!</v>
      </c>
      <c r="AV62" s="66" t="e">
        <f t="shared" si="56"/>
        <v>#DIV/0!</v>
      </c>
      <c r="AW62" s="66" t="e">
        <f t="shared" si="56"/>
        <v>#DIV/0!</v>
      </c>
      <c r="AX62" s="66" t="e">
        <f t="shared" si="56"/>
        <v>#DIV/0!</v>
      </c>
      <c r="AY62" s="66" t="e">
        <f t="shared" si="56"/>
        <v>#DIV/0!</v>
      </c>
      <c r="AZ62" s="66" t="e">
        <f t="shared" si="56"/>
        <v>#DIV/0!</v>
      </c>
      <c r="BA62" s="66" t="e">
        <f t="shared" si="56"/>
        <v>#DIV/0!</v>
      </c>
      <c r="BB62" s="66" t="e">
        <f t="shared" si="56"/>
        <v>#DIV/0!</v>
      </c>
      <c r="BC62" s="69"/>
    </row>
    <row r="63" spans="1:55" ht="14.25" customHeight="1">
      <c r="A63" s="103"/>
      <c r="E63" s="83"/>
      <c r="I63" s="83"/>
      <c r="J63" s="97" t="e">
        <f t="array" ref="J63">_xlfn.STDEV.P(IF($E$5:$E$27=$E62,J$5:J$27))</f>
        <v>#DIV/0!</v>
      </c>
      <c r="K63" s="96" t="s">
        <v>11</v>
      </c>
      <c r="L63" s="74" t="e">
        <f t="array" ref="L63">_xlfn.STDEV.P(IF($E$5:$E$27=$E62,L$5:L$27))</f>
        <v>#DIV/0!</v>
      </c>
      <c r="M63" s="74" t="e">
        <f t="array" ref="M63">_xlfn.STDEV.P(IF($E$5:$E$27=$E62,M$5:M$27))</f>
        <v>#DIV/0!</v>
      </c>
      <c r="N63" s="74" t="e">
        <f t="array" ref="N63">_xlfn.STDEV.P(IF($E$5:$E$27=$E62,N$5:N$27))</f>
        <v>#DIV/0!</v>
      </c>
      <c r="O63" s="74" t="e">
        <f t="array" ref="O63">_xlfn.STDEV.P(IF($E$5:$E$27=$E62,O$5:O$27))</f>
        <v>#DIV/0!</v>
      </c>
      <c r="P63" s="74" t="e">
        <f t="array" ref="P63">_xlfn.STDEV.P(IF($E$5:$E$27=$E62,P$5:P$27))</f>
        <v>#DIV/0!</v>
      </c>
      <c r="Q63" s="74" t="e">
        <f t="array" ref="Q63">_xlfn.STDEV.P(IF($E$5:$E$27=$E62,Q$5:Q$27))</f>
        <v>#DIV/0!</v>
      </c>
      <c r="R63" s="74" t="e">
        <f t="array" ref="R63">_xlfn.STDEV.P(IF($E$5:$E$27=$E62,R$5:R$27))</f>
        <v>#DIV/0!</v>
      </c>
      <c r="S63" s="74" t="e">
        <f t="array" ref="S63">_xlfn.STDEV.P(IF($E$5:$E$27=$E62,S$5:S$27))</f>
        <v>#DIV/0!</v>
      </c>
      <c r="T63" s="74" t="e">
        <f t="array" ref="T63">_xlfn.STDEV.P(IF($E$5:$E$27=$E62,T$5:T$27))</f>
        <v>#DIV/0!</v>
      </c>
      <c r="U63" s="74" t="e">
        <f t="array" ref="U63">_xlfn.STDEV.P(IF($E$5:$E$27=$E62,U$5:U$27))</f>
        <v>#DIV/0!</v>
      </c>
      <c r="V63" s="74" t="e">
        <f t="array" ref="V63">_xlfn.STDEV.P(IF($E$5:$E$27=$E62,V$5:V$27))</f>
        <v>#DIV/0!</v>
      </c>
      <c r="W63" s="74" t="e">
        <f t="array" ref="W63">_xlfn.STDEV.P(IF($E$5:$E$27=$E62,W$5:W$27))</f>
        <v>#DIV/0!</v>
      </c>
      <c r="X63" s="74" t="e">
        <f t="array" ref="X63">_xlfn.STDEV.P(IF($E$5:$E$27=$E62,X$5:X$27))</f>
        <v>#DIV/0!</v>
      </c>
      <c r="Y63" s="74" t="e">
        <f t="array" ref="Y63">_xlfn.STDEV.P(IF($E$5:$E$27=$E62,Y$5:Y$27))</f>
        <v>#DIV/0!</v>
      </c>
      <c r="Z63" s="74" t="e">
        <f t="array" ref="Z63">_xlfn.STDEV.P(IF($E$5:$E$27=$E62,Z$5:Z$27))</f>
        <v>#DIV/0!</v>
      </c>
      <c r="AA63" s="74" t="e">
        <f t="array" ref="AA63">_xlfn.STDEV.P(IF($E$5:$E$27=$E62,AA$5:AA$27))</f>
        <v>#DIV/0!</v>
      </c>
      <c r="AB63" s="74" t="e">
        <f t="array" ref="AB63">_xlfn.STDEV.P(IF($E$5:$E$27=$E62,AB$5:AB$27))</f>
        <v>#DIV/0!</v>
      </c>
      <c r="AC63" s="74" t="e">
        <f t="array" ref="AC63">_xlfn.STDEV.P(IF($E$5:$E$27=$E62,AC$5:AC$27))</f>
        <v>#DIV/0!</v>
      </c>
      <c r="AD63" s="74" t="e">
        <f t="array" ref="AD63">_xlfn.STDEV.P(IF($E$5:$E$27=$E62,AD$5:AD$27))</f>
        <v>#DIV/0!</v>
      </c>
      <c r="AE63" s="74" t="e">
        <f t="array" ref="AE63">_xlfn.STDEV.P(IF($E$5:$E$27=$E62,AE$5:AE$27))</f>
        <v>#DIV/0!</v>
      </c>
      <c r="AF63" s="74" t="e">
        <f t="array" ref="AF63">_xlfn.STDEV.P(IF($E$5:$E$27=$E62,AF$5:AF$27))</f>
        <v>#DIV/0!</v>
      </c>
      <c r="AG63" s="127" t="s">
        <v>11</v>
      </c>
      <c r="AH63" s="67" t="e">
        <f t="array" ref="AH63">_xlfn.STDEV.P(IF($E$5:$E$27=$E62,AH$5:AH$27))</f>
        <v>#DIV/0!</v>
      </c>
      <c r="AI63" s="67" t="e">
        <f t="array" ref="AI63">_xlfn.STDEV.P(IF($E$5:$E$27=$E62,AI$5:AI$27))</f>
        <v>#DIV/0!</v>
      </c>
      <c r="AJ63" s="67" t="e">
        <f t="array" ref="AJ63">_xlfn.STDEV.P(IF($E$5:$E$27=$E62,AJ$5:AJ$27))</f>
        <v>#DIV/0!</v>
      </c>
      <c r="AK63" s="67" t="e">
        <f t="array" ref="AK63">_xlfn.STDEV.P(IF($E$5:$E$27=$E62,AK$5:AK$27))</f>
        <v>#DIV/0!</v>
      </c>
      <c r="AL63" s="67" t="e">
        <f t="array" ref="AL63">_xlfn.STDEV.P(IF($E$5:$E$27=$E62,AL$5:AL$27))</f>
        <v>#DIV/0!</v>
      </c>
      <c r="AM63" s="67" t="e">
        <f t="array" ref="AM63">_xlfn.STDEV.P(IF($E$5:$E$27=$E62,AM$5:AM$27))</f>
        <v>#DIV/0!</v>
      </c>
      <c r="AN63" s="67" t="e">
        <f t="array" ref="AN63">_xlfn.STDEV.P(IF($E$5:$E$27=$E62,AN$5:AN$27))</f>
        <v>#DIV/0!</v>
      </c>
      <c r="AO63" s="67" t="e">
        <f t="array" ref="AO63">_xlfn.STDEV.P(IF($E$5:$E$27=$E62,AO$5:AO$27))</f>
        <v>#DIV/0!</v>
      </c>
      <c r="AP63" s="67" t="e">
        <f t="array" ref="AP63">_xlfn.STDEV.P(IF($E$5:$E$27=$E62,AP$5:AP$27))</f>
        <v>#DIV/0!</v>
      </c>
      <c r="AQ63" s="67" t="e">
        <f t="array" ref="AQ63">_xlfn.STDEV.P(IF($E$5:$E$27=$E62,AQ$5:AQ$27))</f>
        <v>#DIV/0!</v>
      </c>
      <c r="AR63" s="67" t="e">
        <f t="array" ref="AR63">_xlfn.STDEV.P(IF($E$5:$E$27=$E62,AR$5:AR$27))</f>
        <v>#DIV/0!</v>
      </c>
      <c r="AS63" s="67" t="e">
        <f t="array" ref="AS63">_xlfn.STDEV.P(IF($E$5:$E$27=$E62,AS$5:AS$27))</f>
        <v>#DIV/0!</v>
      </c>
      <c r="AT63" s="67" t="e">
        <f t="array" ref="AT63">_xlfn.STDEV.P(IF($E$5:$E$27=$E62,AT$5:AT$27))</f>
        <v>#DIV/0!</v>
      </c>
      <c r="AU63" s="67" t="e">
        <f t="array" ref="AU63">_xlfn.STDEV.P(IF($E$5:$E$27=$E62,AU$5:AU$27))</f>
        <v>#DIV/0!</v>
      </c>
      <c r="AV63" s="67" t="e">
        <f t="array" ref="AV63">_xlfn.STDEV.P(IF($E$5:$E$27=$E62,AV$5:AV$27))</f>
        <v>#DIV/0!</v>
      </c>
      <c r="AW63" s="67" t="e">
        <f t="array" ref="AW63">_xlfn.STDEV.P(IF($E$5:$E$27=$E62,AW$5:AW$27))</f>
        <v>#DIV/0!</v>
      </c>
      <c r="AX63" s="67" t="e">
        <f t="array" ref="AX63">_xlfn.STDEV.P(IF($E$5:$E$27=$E62,AX$5:AX$27))</f>
        <v>#DIV/0!</v>
      </c>
      <c r="AY63" s="67" t="e">
        <f t="array" ref="AY63">_xlfn.STDEV.P(IF($E$5:$E$27=$E62,AY$5:AY$27))</f>
        <v>#DIV/0!</v>
      </c>
      <c r="AZ63" s="67" t="e">
        <f t="array" ref="AZ63">_xlfn.STDEV.P(IF($E$5:$E$27=$E62,AZ$5:AZ$27))</f>
        <v>#DIV/0!</v>
      </c>
      <c r="BA63" s="67" t="e">
        <f t="array" ref="BA63">_xlfn.STDEV.P(IF($E$5:$E$27=$E62,BA$5:BA$27))</f>
        <v>#DIV/0!</v>
      </c>
      <c r="BB63" s="67" t="e">
        <f t="array" ref="BB63">_xlfn.STDEV.P(IF($E$5:$E$27=$E62,BB$5:BB$27))</f>
        <v>#DIV/0!</v>
      </c>
      <c r="BC63" s="69"/>
    </row>
    <row r="64" spans="1:55" ht="14.25" customHeight="1">
      <c r="A64" s="103"/>
      <c r="E64" s="83"/>
      <c r="I64" s="83"/>
      <c r="J64" s="97"/>
      <c r="K64" s="121" t="s">
        <v>34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121" t="s">
        <v>34</v>
      </c>
      <c r="AH64" s="66" t="e">
        <f>AH62-AH$29</f>
        <v>#DIV/0!</v>
      </c>
      <c r="AI64" s="66" t="e">
        <f>AI62-AI$29</f>
        <v>#DIV/0!</v>
      </c>
      <c r="AJ64" s="66" t="e">
        <f t="shared" ref="AJ64:AX64" si="57">AJ62-AJ$29</f>
        <v>#DIV/0!</v>
      </c>
      <c r="AK64" s="66" t="e">
        <f t="shared" si="57"/>
        <v>#DIV/0!</v>
      </c>
      <c r="AL64" s="66" t="e">
        <f t="shared" si="57"/>
        <v>#DIV/0!</v>
      </c>
      <c r="AM64" s="66" t="e">
        <f t="shared" si="57"/>
        <v>#DIV/0!</v>
      </c>
      <c r="AN64" s="66" t="e">
        <f t="shared" si="57"/>
        <v>#DIV/0!</v>
      </c>
      <c r="AO64" s="66" t="e">
        <f t="shared" si="57"/>
        <v>#DIV/0!</v>
      </c>
      <c r="AP64" s="66" t="e">
        <f t="shared" si="57"/>
        <v>#DIV/0!</v>
      </c>
      <c r="AQ64" s="66" t="e">
        <f t="shared" si="57"/>
        <v>#DIV/0!</v>
      </c>
      <c r="AR64" s="66" t="e">
        <f t="shared" si="57"/>
        <v>#DIV/0!</v>
      </c>
      <c r="AS64" s="66" t="e">
        <f t="shared" si="57"/>
        <v>#DIV/0!</v>
      </c>
      <c r="AT64" s="66" t="e">
        <f t="shared" si="57"/>
        <v>#DIV/0!</v>
      </c>
      <c r="AU64" s="66" t="e">
        <f t="shared" si="57"/>
        <v>#DIV/0!</v>
      </c>
      <c r="AV64" s="66" t="e">
        <f t="shared" si="57"/>
        <v>#DIV/0!</v>
      </c>
      <c r="AW64" s="66" t="e">
        <f t="shared" si="57"/>
        <v>#DIV/0!</v>
      </c>
      <c r="AX64" s="66" t="e">
        <f t="shared" si="57"/>
        <v>#DIV/0!</v>
      </c>
      <c r="AY64" s="66" t="e">
        <f>AY62-AY$29</f>
        <v>#DIV/0!</v>
      </c>
      <c r="AZ64" s="66" t="e">
        <f>AZ62-AZ$29</f>
        <v>#DIV/0!</v>
      </c>
      <c r="BA64" s="66" t="e">
        <f>BA62-BA$29</f>
        <v>#DIV/0!</v>
      </c>
      <c r="BB64" s="66" t="e">
        <f>BB62-BB$29</f>
        <v>#DIV/0!</v>
      </c>
      <c r="BC64" s="120"/>
    </row>
    <row r="65" spans="1:55" ht="14.25" customHeight="1">
      <c r="A65" s="103"/>
      <c r="E65" s="83"/>
      <c r="I65" s="83"/>
      <c r="J65" s="97"/>
      <c r="K65" s="95" t="s">
        <v>48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95" t="s">
        <v>48</v>
      </c>
      <c r="AH65" s="66"/>
      <c r="AI65" s="66" t="e">
        <f>AH62*EXP((AI$4-AH$4)*-LN(2)/8.091)</f>
        <v>#DIV/0!</v>
      </c>
      <c r="AJ65" s="66" t="e">
        <f>AI62*EXP((AJ$4-AI$4)*-LN(2)/8.091)</f>
        <v>#DIV/0!</v>
      </c>
      <c r="AK65" s="66" t="e">
        <f t="shared" ref="AK65:AX65" si="58">AJ62*EXP((AK$4-AJ$4)*-LN(2)/8.091)</f>
        <v>#DIV/0!</v>
      </c>
      <c r="AL65" s="66" t="e">
        <f t="shared" si="58"/>
        <v>#DIV/0!</v>
      </c>
      <c r="AM65" s="66" t="e">
        <f t="shared" si="58"/>
        <v>#DIV/0!</v>
      </c>
      <c r="AN65" s="66" t="e">
        <f t="shared" si="58"/>
        <v>#DIV/0!</v>
      </c>
      <c r="AO65" s="66" t="e">
        <f t="shared" si="58"/>
        <v>#DIV/0!</v>
      </c>
      <c r="AP65" s="66" t="e">
        <f t="shared" si="58"/>
        <v>#DIV/0!</v>
      </c>
      <c r="AQ65" s="66" t="e">
        <f t="shared" si="58"/>
        <v>#DIV/0!</v>
      </c>
      <c r="AR65" s="66" t="e">
        <f t="shared" si="58"/>
        <v>#DIV/0!</v>
      </c>
      <c r="AS65" s="66" t="e">
        <f t="shared" si="58"/>
        <v>#DIV/0!</v>
      </c>
      <c r="AT65" s="66" t="e">
        <f t="shared" si="58"/>
        <v>#DIV/0!</v>
      </c>
      <c r="AU65" s="66" t="e">
        <f t="shared" si="58"/>
        <v>#DIV/0!</v>
      </c>
      <c r="AV65" s="66" t="e">
        <f t="shared" si="58"/>
        <v>#DIV/0!</v>
      </c>
      <c r="AW65" s="66" t="e">
        <f t="shared" si="58"/>
        <v>#DIV/0!</v>
      </c>
      <c r="AX65" s="66" t="e">
        <f t="shared" si="58"/>
        <v>#DIV/0!</v>
      </c>
      <c r="AY65" s="66" t="e">
        <f>AX62*EXP((AY$4-AX$4)*-LN(2)/8.091)</f>
        <v>#DIV/0!</v>
      </c>
      <c r="AZ65" s="66" t="e">
        <f>AY62*EXP((AZ$4-AY$4)*-LN(2)/8.091)</f>
        <v>#DIV/0!</v>
      </c>
      <c r="BA65" s="66" t="e">
        <f>AZ62*EXP((BA$4-AZ$4)*-LN(2)/8.091)</f>
        <v>#DIV/0!</v>
      </c>
      <c r="BB65" s="66" t="e">
        <f>BA62*EXP((BB$4-BA$4)*-LN(2)/8.091)</f>
        <v>#DIV/0!</v>
      </c>
      <c r="BC65" s="120"/>
    </row>
    <row r="66" spans="1:55" ht="14.25" customHeight="1">
      <c r="A66" s="103"/>
      <c r="E66" s="83"/>
      <c r="I66" s="83"/>
      <c r="J66" s="97"/>
      <c r="K66" s="95" t="s">
        <v>35</v>
      </c>
      <c r="L66" s="73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95" t="s">
        <v>35</v>
      </c>
      <c r="AH66" s="135"/>
      <c r="AI66" s="67" t="e">
        <f t="shared" ref="AI66:BB66" si="59">AI62-AI65</f>
        <v>#DIV/0!</v>
      </c>
      <c r="AJ66" s="67" t="e">
        <f t="shared" si="59"/>
        <v>#DIV/0!</v>
      </c>
      <c r="AK66" s="67" t="e">
        <f t="shared" si="59"/>
        <v>#DIV/0!</v>
      </c>
      <c r="AL66" s="67" t="e">
        <f t="shared" si="59"/>
        <v>#DIV/0!</v>
      </c>
      <c r="AM66" s="67" t="e">
        <f t="shared" si="59"/>
        <v>#DIV/0!</v>
      </c>
      <c r="AN66" s="67" t="e">
        <f t="shared" si="59"/>
        <v>#DIV/0!</v>
      </c>
      <c r="AO66" s="67" t="e">
        <f t="shared" si="59"/>
        <v>#DIV/0!</v>
      </c>
      <c r="AP66" s="67" t="e">
        <f t="shared" si="59"/>
        <v>#DIV/0!</v>
      </c>
      <c r="AQ66" s="67" t="e">
        <f t="shared" si="59"/>
        <v>#DIV/0!</v>
      </c>
      <c r="AR66" s="67" t="e">
        <f t="shared" si="59"/>
        <v>#DIV/0!</v>
      </c>
      <c r="AS66" s="67" t="e">
        <f t="shared" si="59"/>
        <v>#DIV/0!</v>
      </c>
      <c r="AT66" s="67" t="e">
        <f t="shared" si="59"/>
        <v>#DIV/0!</v>
      </c>
      <c r="AU66" s="67" t="e">
        <f t="shared" si="59"/>
        <v>#DIV/0!</v>
      </c>
      <c r="AV66" s="67" t="e">
        <f t="shared" si="59"/>
        <v>#DIV/0!</v>
      </c>
      <c r="AW66" s="67" t="e">
        <f t="shared" si="59"/>
        <v>#DIV/0!</v>
      </c>
      <c r="AX66" s="67" t="e">
        <f t="shared" si="59"/>
        <v>#DIV/0!</v>
      </c>
      <c r="AY66" s="67" t="e">
        <f t="shared" si="59"/>
        <v>#DIV/0!</v>
      </c>
      <c r="AZ66" s="67" t="e">
        <f t="shared" si="59"/>
        <v>#DIV/0!</v>
      </c>
      <c r="BA66" s="67" t="e">
        <f t="shared" si="59"/>
        <v>#DIV/0!</v>
      </c>
      <c r="BB66" s="67" t="e">
        <f t="shared" si="59"/>
        <v>#DIV/0!</v>
      </c>
      <c r="BC66" s="120"/>
    </row>
    <row r="67" spans="1:55" ht="14.25" customHeight="1">
      <c r="A67" s="103"/>
      <c r="E67" s="83"/>
      <c r="I67" s="83"/>
      <c r="J67" s="97"/>
      <c r="K67" s="95" t="s">
        <v>49</v>
      </c>
      <c r="L67" s="73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95" t="s">
        <v>49</v>
      </c>
      <c r="AH67" s="135" t="e">
        <f>AH62/AH$29</f>
        <v>#DIV/0!</v>
      </c>
      <c r="AI67" s="67" t="e">
        <f>AI62/AI$29</f>
        <v>#DIV/0!</v>
      </c>
      <c r="AJ67" s="67" t="e">
        <f>AJ62/AJ$29</f>
        <v>#DIV/0!</v>
      </c>
      <c r="AK67" s="67" t="e">
        <f t="shared" ref="AK67:AX67" si="60">AK62/AK$29</f>
        <v>#DIV/0!</v>
      </c>
      <c r="AL67" s="67" t="e">
        <f t="shared" si="60"/>
        <v>#DIV/0!</v>
      </c>
      <c r="AM67" s="67" t="e">
        <f t="shared" si="60"/>
        <v>#DIV/0!</v>
      </c>
      <c r="AN67" s="67" t="e">
        <f t="shared" si="60"/>
        <v>#DIV/0!</v>
      </c>
      <c r="AO67" s="67" t="e">
        <f t="shared" si="60"/>
        <v>#DIV/0!</v>
      </c>
      <c r="AP67" s="67" t="e">
        <f t="shared" si="60"/>
        <v>#DIV/0!</v>
      </c>
      <c r="AQ67" s="67" t="e">
        <f t="shared" si="60"/>
        <v>#DIV/0!</v>
      </c>
      <c r="AR67" s="67" t="e">
        <f t="shared" si="60"/>
        <v>#DIV/0!</v>
      </c>
      <c r="AS67" s="67" t="e">
        <f t="shared" si="60"/>
        <v>#DIV/0!</v>
      </c>
      <c r="AT67" s="67" t="e">
        <f t="shared" si="60"/>
        <v>#DIV/0!</v>
      </c>
      <c r="AU67" s="67" t="e">
        <f t="shared" si="60"/>
        <v>#DIV/0!</v>
      </c>
      <c r="AV67" s="67" t="e">
        <f t="shared" si="60"/>
        <v>#DIV/0!</v>
      </c>
      <c r="AW67" s="67" t="e">
        <f t="shared" si="60"/>
        <v>#DIV/0!</v>
      </c>
      <c r="AX67" s="67" t="e">
        <f t="shared" si="60"/>
        <v>#DIV/0!</v>
      </c>
      <c r="AY67" s="67" t="e">
        <f>AY62/AY$29</f>
        <v>#DIV/0!</v>
      </c>
      <c r="AZ67" s="67" t="e">
        <f>AZ62/AZ$29</f>
        <v>#DIV/0!</v>
      </c>
      <c r="BA67" s="67" t="e">
        <f>BA62/BA$29</f>
        <v>#DIV/0!</v>
      </c>
      <c r="BB67" s="67" t="e">
        <f>BB62/BB$29</f>
        <v>#DIV/0!</v>
      </c>
      <c r="BC67" s="120"/>
    </row>
    <row r="68" spans="1:55" ht="15">
      <c r="A68" s="103"/>
      <c r="E68" s="45"/>
      <c r="I68" s="45"/>
      <c r="K68" s="123"/>
      <c r="AG68" s="122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136"/>
    </row>
    <row r="69" spans="1:55" ht="14.25" customHeight="1">
      <c r="A69" s="103"/>
      <c r="E69" s="108" t="str">
        <f>'NAB_PTX Groups'!C11</f>
        <v>Group 6</v>
      </c>
      <c r="I69" s="108" t="str">
        <f>E69</f>
        <v>Group 6</v>
      </c>
      <c r="J69" s="97" t="e">
        <f>AVERAGEIF($E$5:$E$27,$E69,J$5:J$27)</f>
        <v>#DIV/0!</v>
      </c>
      <c r="K69" s="96" t="s">
        <v>9</v>
      </c>
      <c r="L69" s="71" t="e">
        <f t="shared" ref="L69:AF69" si="61">AVERAGEIF($E$5:$E$27,$E69,L$5:L$27)</f>
        <v>#DIV/0!</v>
      </c>
      <c r="M69" s="71" t="e">
        <f t="shared" si="61"/>
        <v>#DIV/0!</v>
      </c>
      <c r="N69" s="71" t="e">
        <f t="shared" si="61"/>
        <v>#DIV/0!</v>
      </c>
      <c r="O69" s="71" t="e">
        <f t="shared" si="61"/>
        <v>#DIV/0!</v>
      </c>
      <c r="P69" s="71" t="e">
        <f t="shared" si="61"/>
        <v>#DIV/0!</v>
      </c>
      <c r="Q69" s="71" t="e">
        <f t="shared" si="61"/>
        <v>#DIV/0!</v>
      </c>
      <c r="R69" s="71" t="e">
        <f t="shared" si="61"/>
        <v>#DIV/0!</v>
      </c>
      <c r="S69" s="71" t="e">
        <f t="shared" si="61"/>
        <v>#DIV/0!</v>
      </c>
      <c r="T69" s="71" t="e">
        <f t="shared" si="61"/>
        <v>#DIV/0!</v>
      </c>
      <c r="U69" s="71" t="e">
        <f t="shared" si="61"/>
        <v>#DIV/0!</v>
      </c>
      <c r="V69" s="71" t="e">
        <f t="shared" si="61"/>
        <v>#DIV/0!</v>
      </c>
      <c r="W69" s="71" t="e">
        <f t="shared" si="61"/>
        <v>#DIV/0!</v>
      </c>
      <c r="X69" s="71" t="e">
        <f t="shared" si="61"/>
        <v>#DIV/0!</v>
      </c>
      <c r="Y69" s="71" t="e">
        <f t="shared" si="61"/>
        <v>#DIV/0!</v>
      </c>
      <c r="Z69" s="71" t="e">
        <f t="shared" si="61"/>
        <v>#DIV/0!</v>
      </c>
      <c r="AA69" s="71" t="e">
        <f t="shared" si="61"/>
        <v>#DIV/0!</v>
      </c>
      <c r="AB69" s="71" t="e">
        <f t="shared" si="61"/>
        <v>#DIV/0!</v>
      </c>
      <c r="AC69" s="71" t="e">
        <f t="shared" si="61"/>
        <v>#DIV/0!</v>
      </c>
      <c r="AD69" s="71" t="e">
        <f t="shared" si="61"/>
        <v>#DIV/0!</v>
      </c>
      <c r="AE69" s="71" t="e">
        <f t="shared" si="61"/>
        <v>#DIV/0!</v>
      </c>
      <c r="AF69" s="71" t="e">
        <f t="shared" si="61"/>
        <v>#DIV/0!</v>
      </c>
      <c r="AG69" s="126" t="s">
        <v>9</v>
      </c>
      <c r="AH69" s="66" t="e">
        <f t="shared" ref="AH69:BB69" si="62">AVERAGEIF($E$5:$E$27,$E69,AH$5:AH$27)</f>
        <v>#DIV/0!</v>
      </c>
      <c r="AI69" s="66" t="e">
        <f t="shared" si="62"/>
        <v>#DIV/0!</v>
      </c>
      <c r="AJ69" s="66" t="e">
        <f t="shared" si="62"/>
        <v>#DIV/0!</v>
      </c>
      <c r="AK69" s="66" t="e">
        <f t="shared" si="62"/>
        <v>#DIV/0!</v>
      </c>
      <c r="AL69" s="66" t="e">
        <f t="shared" si="62"/>
        <v>#DIV/0!</v>
      </c>
      <c r="AM69" s="66" t="e">
        <f t="shared" si="62"/>
        <v>#DIV/0!</v>
      </c>
      <c r="AN69" s="66" t="e">
        <f t="shared" si="62"/>
        <v>#DIV/0!</v>
      </c>
      <c r="AO69" s="66" t="e">
        <f t="shared" si="62"/>
        <v>#DIV/0!</v>
      </c>
      <c r="AP69" s="66" t="e">
        <f t="shared" si="62"/>
        <v>#DIV/0!</v>
      </c>
      <c r="AQ69" s="66" t="e">
        <f t="shared" si="62"/>
        <v>#DIV/0!</v>
      </c>
      <c r="AR69" s="66" t="e">
        <f t="shared" si="62"/>
        <v>#DIV/0!</v>
      </c>
      <c r="AS69" s="66" t="e">
        <f t="shared" si="62"/>
        <v>#DIV/0!</v>
      </c>
      <c r="AT69" s="66" t="e">
        <f t="shared" si="62"/>
        <v>#DIV/0!</v>
      </c>
      <c r="AU69" s="66" t="e">
        <f t="shared" si="62"/>
        <v>#DIV/0!</v>
      </c>
      <c r="AV69" s="66" t="e">
        <f t="shared" si="62"/>
        <v>#DIV/0!</v>
      </c>
      <c r="AW69" s="66" t="e">
        <f t="shared" si="62"/>
        <v>#DIV/0!</v>
      </c>
      <c r="AX69" s="66" t="e">
        <f t="shared" si="62"/>
        <v>#DIV/0!</v>
      </c>
      <c r="AY69" s="66" t="e">
        <f t="shared" si="62"/>
        <v>#DIV/0!</v>
      </c>
      <c r="AZ69" s="66" t="e">
        <f t="shared" si="62"/>
        <v>#DIV/0!</v>
      </c>
      <c r="BA69" s="66" t="e">
        <f t="shared" si="62"/>
        <v>#DIV/0!</v>
      </c>
      <c r="BB69" s="66" t="e">
        <f t="shared" si="62"/>
        <v>#DIV/0!</v>
      </c>
      <c r="BC69" s="69"/>
    </row>
    <row r="70" spans="1:55" ht="14.25" customHeight="1">
      <c r="A70" s="103"/>
      <c r="E70" s="83"/>
      <c r="I70" s="83"/>
      <c r="J70" s="97" t="e">
        <f t="array" ref="J70">_xlfn.STDEV.P(IF($E$5:$E$27=$E69,J$5:J$27))</f>
        <v>#DIV/0!</v>
      </c>
      <c r="K70" s="96" t="s">
        <v>11</v>
      </c>
      <c r="L70" s="74" t="e">
        <f t="array" ref="L70">_xlfn.STDEV.P(IF($E$5:$E$27=$E69,L$5:L$27))</f>
        <v>#DIV/0!</v>
      </c>
      <c r="M70" s="74" t="e">
        <f t="array" ref="M70">_xlfn.STDEV.P(IF($E$5:$E$27=$E69,M$5:M$27))</f>
        <v>#DIV/0!</v>
      </c>
      <c r="N70" s="74" t="e">
        <f t="array" ref="N70">_xlfn.STDEV.P(IF($E$5:$E$27=$E69,N$5:N$27))</f>
        <v>#DIV/0!</v>
      </c>
      <c r="O70" s="74" t="e">
        <f t="array" ref="O70">_xlfn.STDEV.P(IF($E$5:$E$27=$E69,O$5:O$27))</f>
        <v>#DIV/0!</v>
      </c>
      <c r="P70" s="74" t="e">
        <f t="array" ref="P70">_xlfn.STDEV.P(IF($E$5:$E$27=$E69,P$5:P$27))</f>
        <v>#DIV/0!</v>
      </c>
      <c r="Q70" s="74" t="e">
        <f t="array" ref="Q70">_xlfn.STDEV.P(IF($E$5:$E$27=$E69,Q$5:Q$27))</f>
        <v>#DIV/0!</v>
      </c>
      <c r="R70" s="74" t="e">
        <f t="array" ref="R70">_xlfn.STDEV.P(IF($E$5:$E$27=$E69,R$5:R$27))</f>
        <v>#DIV/0!</v>
      </c>
      <c r="S70" s="74" t="e">
        <f t="array" ref="S70">_xlfn.STDEV.P(IF($E$5:$E$27=$E69,S$5:S$27))</f>
        <v>#DIV/0!</v>
      </c>
      <c r="T70" s="74" t="e">
        <f t="array" ref="T70">_xlfn.STDEV.P(IF($E$5:$E$27=$E69,T$5:T$27))</f>
        <v>#DIV/0!</v>
      </c>
      <c r="U70" s="74" t="e">
        <f t="array" ref="U70">_xlfn.STDEV.P(IF($E$5:$E$27=$E69,U$5:U$27))</f>
        <v>#DIV/0!</v>
      </c>
      <c r="V70" s="74" t="e">
        <f t="array" ref="V70">_xlfn.STDEV.P(IF($E$5:$E$27=$E69,V$5:V$27))</f>
        <v>#DIV/0!</v>
      </c>
      <c r="W70" s="74" t="e">
        <f t="array" ref="W70">_xlfn.STDEV.P(IF($E$5:$E$27=$E69,W$5:W$27))</f>
        <v>#DIV/0!</v>
      </c>
      <c r="X70" s="74" t="e">
        <f t="array" ref="X70">_xlfn.STDEV.P(IF($E$5:$E$27=$E69,X$5:X$27))</f>
        <v>#DIV/0!</v>
      </c>
      <c r="Y70" s="74" t="e">
        <f t="array" ref="Y70">_xlfn.STDEV.P(IF($E$5:$E$27=$E69,Y$5:Y$27))</f>
        <v>#DIV/0!</v>
      </c>
      <c r="Z70" s="74" t="e">
        <f t="array" ref="Z70">_xlfn.STDEV.P(IF($E$5:$E$27=$E69,Z$5:Z$27))</f>
        <v>#DIV/0!</v>
      </c>
      <c r="AA70" s="74" t="e">
        <f t="array" ref="AA70">_xlfn.STDEV.P(IF($E$5:$E$27=$E69,AA$5:AA$27))</f>
        <v>#DIV/0!</v>
      </c>
      <c r="AB70" s="74" t="e">
        <f t="array" ref="AB70">_xlfn.STDEV.P(IF($E$5:$E$27=$E69,AB$5:AB$27))</f>
        <v>#DIV/0!</v>
      </c>
      <c r="AC70" s="74" t="e">
        <f t="array" ref="AC70">_xlfn.STDEV.P(IF($E$5:$E$27=$E69,AC$5:AC$27))</f>
        <v>#DIV/0!</v>
      </c>
      <c r="AD70" s="74" t="e">
        <f t="array" ref="AD70">_xlfn.STDEV.P(IF($E$5:$E$27=$E69,AD$5:AD$27))</f>
        <v>#DIV/0!</v>
      </c>
      <c r="AE70" s="74" t="e">
        <f t="array" ref="AE70">_xlfn.STDEV.P(IF($E$5:$E$27=$E69,AE$5:AE$27))</f>
        <v>#DIV/0!</v>
      </c>
      <c r="AF70" s="74" t="e">
        <f t="array" ref="AF70">_xlfn.STDEV.P(IF($E$5:$E$27=$E69,AF$5:AF$27))</f>
        <v>#DIV/0!</v>
      </c>
      <c r="AG70" s="127" t="s">
        <v>11</v>
      </c>
      <c r="AH70" s="67" t="e">
        <f t="array" ref="AH70">_xlfn.STDEV.P(IF($E$5:$E$27=$E69,AH$5:AH$27))</f>
        <v>#DIV/0!</v>
      </c>
      <c r="AI70" s="67" t="e">
        <f t="array" ref="AI70">_xlfn.STDEV.P(IF($E$5:$E$27=$E69,AI$5:AI$27))</f>
        <v>#DIV/0!</v>
      </c>
      <c r="AJ70" s="67" t="e">
        <f t="array" ref="AJ70">_xlfn.STDEV.P(IF($E$5:$E$27=$E69,AJ$5:AJ$27))</f>
        <v>#DIV/0!</v>
      </c>
      <c r="AK70" s="67" t="e">
        <f t="array" ref="AK70">_xlfn.STDEV.P(IF($E$5:$E$27=$E69,AK$5:AK$27))</f>
        <v>#DIV/0!</v>
      </c>
      <c r="AL70" s="67" t="e">
        <f t="array" ref="AL70">_xlfn.STDEV.P(IF($E$5:$E$27=$E69,AL$5:AL$27))</f>
        <v>#DIV/0!</v>
      </c>
      <c r="AM70" s="67" t="e">
        <f t="array" ref="AM70">_xlfn.STDEV.P(IF($E$5:$E$27=$E69,AM$5:AM$27))</f>
        <v>#DIV/0!</v>
      </c>
      <c r="AN70" s="67" t="e">
        <f t="array" ref="AN70">_xlfn.STDEV.P(IF($E$5:$E$27=$E69,AN$5:AN$27))</f>
        <v>#DIV/0!</v>
      </c>
      <c r="AO70" s="67" t="e">
        <f t="array" ref="AO70">_xlfn.STDEV.P(IF($E$5:$E$27=$E69,AO$5:AO$27))</f>
        <v>#DIV/0!</v>
      </c>
      <c r="AP70" s="67" t="e">
        <f t="array" ref="AP70">_xlfn.STDEV.P(IF($E$5:$E$27=$E69,AP$5:AP$27))</f>
        <v>#DIV/0!</v>
      </c>
      <c r="AQ70" s="67" t="e">
        <f t="array" ref="AQ70">_xlfn.STDEV.P(IF($E$5:$E$27=$E69,AQ$5:AQ$27))</f>
        <v>#DIV/0!</v>
      </c>
      <c r="AR70" s="67" t="e">
        <f t="array" ref="AR70">_xlfn.STDEV.P(IF($E$5:$E$27=$E69,AR$5:AR$27))</f>
        <v>#DIV/0!</v>
      </c>
      <c r="AS70" s="67" t="e">
        <f t="array" ref="AS70">_xlfn.STDEV.P(IF($E$5:$E$27=$E69,AS$5:AS$27))</f>
        <v>#DIV/0!</v>
      </c>
      <c r="AT70" s="67" t="e">
        <f t="array" ref="AT70">_xlfn.STDEV.P(IF($E$5:$E$27=$E69,AT$5:AT$27))</f>
        <v>#DIV/0!</v>
      </c>
      <c r="AU70" s="67" t="e">
        <f t="array" ref="AU70">_xlfn.STDEV.P(IF($E$5:$E$27=$E69,AU$5:AU$27))</f>
        <v>#DIV/0!</v>
      </c>
      <c r="AV70" s="67" t="e">
        <f t="array" ref="AV70">_xlfn.STDEV.P(IF($E$5:$E$27=$E69,AV$5:AV$27))</f>
        <v>#DIV/0!</v>
      </c>
      <c r="AW70" s="67" t="e">
        <f t="array" ref="AW70">_xlfn.STDEV.P(IF($E$5:$E$27=$E69,AW$5:AW$27))</f>
        <v>#DIV/0!</v>
      </c>
      <c r="AX70" s="67" t="e">
        <f t="array" ref="AX70">_xlfn.STDEV.P(IF($E$5:$E$27=$E69,AX$5:AX$27))</f>
        <v>#DIV/0!</v>
      </c>
      <c r="AY70" s="67" t="e">
        <f t="array" ref="AY70">_xlfn.STDEV.P(IF($E$5:$E$27=$E69,AY$5:AY$27))</f>
        <v>#DIV/0!</v>
      </c>
      <c r="AZ70" s="67" t="e">
        <f t="array" ref="AZ70">_xlfn.STDEV.P(IF($E$5:$E$27=$E69,AZ$5:AZ$27))</f>
        <v>#DIV/0!</v>
      </c>
      <c r="BA70" s="67" t="e">
        <f t="array" ref="BA70">_xlfn.STDEV.P(IF($E$5:$E$27=$E69,BA$5:BA$27))</f>
        <v>#DIV/0!</v>
      </c>
      <c r="BB70" s="67" t="e">
        <f t="array" ref="BB70">_xlfn.STDEV.P(IF($E$5:$E$27=$E69,BB$5:BB$27))</f>
        <v>#DIV/0!</v>
      </c>
      <c r="BC70" s="69"/>
    </row>
    <row r="71" spans="1:55" ht="14.25" customHeight="1">
      <c r="A71" s="103"/>
      <c r="E71" s="83"/>
      <c r="I71" s="83"/>
      <c r="J71" s="97"/>
      <c r="K71" s="121" t="s">
        <v>34</v>
      </c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121" t="s">
        <v>34</v>
      </c>
      <c r="AH71" s="66" t="e">
        <f>AH69-AH$29</f>
        <v>#DIV/0!</v>
      </c>
      <c r="AI71" s="66" t="e">
        <f>AI69-AI$29</f>
        <v>#DIV/0!</v>
      </c>
      <c r="AJ71" s="66" t="e">
        <f t="shared" ref="AJ71:AX71" si="63">AJ69-AJ$29</f>
        <v>#DIV/0!</v>
      </c>
      <c r="AK71" s="66" t="e">
        <f t="shared" si="63"/>
        <v>#DIV/0!</v>
      </c>
      <c r="AL71" s="66" t="e">
        <f t="shared" si="63"/>
        <v>#DIV/0!</v>
      </c>
      <c r="AM71" s="66" t="e">
        <f t="shared" si="63"/>
        <v>#DIV/0!</v>
      </c>
      <c r="AN71" s="66" t="e">
        <f t="shared" si="63"/>
        <v>#DIV/0!</v>
      </c>
      <c r="AO71" s="66" t="e">
        <f t="shared" si="63"/>
        <v>#DIV/0!</v>
      </c>
      <c r="AP71" s="66" t="e">
        <f t="shared" si="63"/>
        <v>#DIV/0!</v>
      </c>
      <c r="AQ71" s="66" t="e">
        <f t="shared" si="63"/>
        <v>#DIV/0!</v>
      </c>
      <c r="AR71" s="66" t="e">
        <f t="shared" si="63"/>
        <v>#DIV/0!</v>
      </c>
      <c r="AS71" s="66" t="e">
        <f t="shared" si="63"/>
        <v>#DIV/0!</v>
      </c>
      <c r="AT71" s="66" t="e">
        <f t="shared" si="63"/>
        <v>#DIV/0!</v>
      </c>
      <c r="AU71" s="66" t="e">
        <f t="shared" si="63"/>
        <v>#DIV/0!</v>
      </c>
      <c r="AV71" s="66" t="e">
        <f t="shared" si="63"/>
        <v>#DIV/0!</v>
      </c>
      <c r="AW71" s="66" t="e">
        <f t="shared" si="63"/>
        <v>#DIV/0!</v>
      </c>
      <c r="AX71" s="66" t="e">
        <f t="shared" si="63"/>
        <v>#DIV/0!</v>
      </c>
      <c r="AY71" s="66" t="e">
        <f>AY69-AY$29</f>
        <v>#DIV/0!</v>
      </c>
      <c r="AZ71" s="66" t="e">
        <f>AZ69-AZ$29</f>
        <v>#DIV/0!</v>
      </c>
      <c r="BA71" s="66" t="e">
        <f>BA69-BA$29</f>
        <v>#DIV/0!</v>
      </c>
      <c r="BB71" s="66" t="e">
        <f>BB69-BB$29</f>
        <v>#DIV/0!</v>
      </c>
      <c r="BC71" s="120"/>
    </row>
    <row r="72" spans="1:55" ht="14.25" customHeight="1">
      <c r="A72" s="103"/>
      <c r="E72" s="83"/>
      <c r="I72" s="83"/>
      <c r="J72" s="97"/>
      <c r="K72" s="95" t="s">
        <v>48</v>
      </c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95" t="s">
        <v>48</v>
      </c>
      <c r="AH72" s="66"/>
      <c r="AI72" s="66" t="e">
        <f>AH69*EXP((AI$4-AH$4)*-LN(2)/8.091)</f>
        <v>#DIV/0!</v>
      </c>
      <c r="AJ72" s="66" t="e">
        <f>AI69*EXP((AJ$4-AI$4)*-LN(2)/8.091)</f>
        <v>#DIV/0!</v>
      </c>
      <c r="AK72" s="66" t="e">
        <f t="shared" ref="AK72:AX72" si="64">AJ69*EXP((AK$4-AJ$4)*-LN(2)/8.091)</f>
        <v>#DIV/0!</v>
      </c>
      <c r="AL72" s="66" t="e">
        <f t="shared" si="64"/>
        <v>#DIV/0!</v>
      </c>
      <c r="AM72" s="66" t="e">
        <f t="shared" si="64"/>
        <v>#DIV/0!</v>
      </c>
      <c r="AN72" s="66" t="e">
        <f t="shared" si="64"/>
        <v>#DIV/0!</v>
      </c>
      <c r="AO72" s="66" t="e">
        <f t="shared" si="64"/>
        <v>#DIV/0!</v>
      </c>
      <c r="AP72" s="66" t="e">
        <f t="shared" si="64"/>
        <v>#DIV/0!</v>
      </c>
      <c r="AQ72" s="66" t="e">
        <f t="shared" si="64"/>
        <v>#DIV/0!</v>
      </c>
      <c r="AR72" s="66" t="e">
        <f t="shared" si="64"/>
        <v>#DIV/0!</v>
      </c>
      <c r="AS72" s="66" t="e">
        <f t="shared" si="64"/>
        <v>#DIV/0!</v>
      </c>
      <c r="AT72" s="66" t="e">
        <f t="shared" si="64"/>
        <v>#DIV/0!</v>
      </c>
      <c r="AU72" s="66" t="e">
        <f t="shared" si="64"/>
        <v>#DIV/0!</v>
      </c>
      <c r="AV72" s="66" t="e">
        <f t="shared" si="64"/>
        <v>#DIV/0!</v>
      </c>
      <c r="AW72" s="66" t="e">
        <f t="shared" si="64"/>
        <v>#DIV/0!</v>
      </c>
      <c r="AX72" s="66" t="e">
        <f t="shared" si="64"/>
        <v>#DIV/0!</v>
      </c>
      <c r="AY72" s="66" t="e">
        <f>AX69*EXP((AY$4-AX$4)*-LN(2)/8.091)</f>
        <v>#DIV/0!</v>
      </c>
      <c r="AZ72" s="66" t="e">
        <f>AY69*EXP((AZ$4-AY$4)*-LN(2)/8.091)</f>
        <v>#DIV/0!</v>
      </c>
      <c r="BA72" s="66" t="e">
        <f>AZ69*EXP((BA$4-AZ$4)*-LN(2)/8.091)</f>
        <v>#DIV/0!</v>
      </c>
      <c r="BB72" s="66" t="e">
        <f>BA69*EXP((BB$4-BA$4)*-LN(2)/8.091)</f>
        <v>#DIV/0!</v>
      </c>
      <c r="BC72" s="120"/>
    </row>
    <row r="73" spans="1:55" ht="14.25" customHeight="1">
      <c r="A73" s="103"/>
      <c r="E73" s="83"/>
      <c r="I73" s="83"/>
      <c r="J73" s="97"/>
      <c r="K73" s="95" t="s">
        <v>35</v>
      </c>
      <c r="L73" s="73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95" t="s">
        <v>35</v>
      </c>
      <c r="AH73" s="135"/>
      <c r="AI73" s="67" t="e">
        <f t="shared" ref="AI73:BB73" si="65">AI69-AI72</f>
        <v>#DIV/0!</v>
      </c>
      <c r="AJ73" s="67" t="e">
        <f t="shared" si="65"/>
        <v>#DIV/0!</v>
      </c>
      <c r="AK73" s="67" t="e">
        <f t="shared" si="65"/>
        <v>#DIV/0!</v>
      </c>
      <c r="AL73" s="67" t="e">
        <f t="shared" si="65"/>
        <v>#DIV/0!</v>
      </c>
      <c r="AM73" s="67" t="e">
        <f t="shared" si="65"/>
        <v>#DIV/0!</v>
      </c>
      <c r="AN73" s="67" t="e">
        <f t="shared" si="65"/>
        <v>#DIV/0!</v>
      </c>
      <c r="AO73" s="67" t="e">
        <f t="shared" si="65"/>
        <v>#DIV/0!</v>
      </c>
      <c r="AP73" s="67" t="e">
        <f t="shared" si="65"/>
        <v>#DIV/0!</v>
      </c>
      <c r="AQ73" s="67" t="e">
        <f t="shared" si="65"/>
        <v>#DIV/0!</v>
      </c>
      <c r="AR73" s="67" t="e">
        <f t="shared" si="65"/>
        <v>#DIV/0!</v>
      </c>
      <c r="AS73" s="67" t="e">
        <f t="shared" si="65"/>
        <v>#DIV/0!</v>
      </c>
      <c r="AT73" s="67" t="e">
        <f t="shared" si="65"/>
        <v>#DIV/0!</v>
      </c>
      <c r="AU73" s="67" t="e">
        <f t="shared" si="65"/>
        <v>#DIV/0!</v>
      </c>
      <c r="AV73" s="67" t="e">
        <f t="shared" si="65"/>
        <v>#DIV/0!</v>
      </c>
      <c r="AW73" s="67" t="e">
        <f t="shared" si="65"/>
        <v>#DIV/0!</v>
      </c>
      <c r="AX73" s="67" t="e">
        <f t="shared" si="65"/>
        <v>#DIV/0!</v>
      </c>
      <c r="AY73" s="67" t="e">
        <f t="shared" si="65"/>
        <v>#DIV/0!</v>
      </c>
      <c r="AZ73" s="67" t="e">
        <f t="shared" si="65"/>
        <v>#DIV/0!</v>
      </c>
      <c r="BA73" s="67" t="e">
        <f t="shared" si="65"/>
        <v>#DIV/0!</v>
      </c>
      <c r="BB73" s="67" t="e">
        <f t="shared" si="65"/>
        <v>#DIV/0!</v>
      </c>
      <c r="BC73" s="120"/>
    </row>
    <row r="74" spans="1:55" ht="14.25" customHeight="1">
      <c r="A74" s="103"/>
      <c r="E74" s="83"/>
      <c r="I74" s="83"/>
      <c r="J74" s="97"/>
      <c r="K74" s="95" t="s">
        <v>49</v>
      </c>
      <c r="L74" s="73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95" t="s">
        <v>49</v>
      </c>
      <c r="AH74" s="135" t="e">
        <f>AH69/AH$29</f>
        <v>#DIV/0!</v>
      </c>
      <c r="AI74" s="67" t="e">
        <f>AI69/AI$29</f>
        <v>#DIV/0!</v>
      </c>
      <c r="AJ74" s="67" t="e">
        <f>AJ69/AJ$29</f>
        <v>#DIV/0!</v>
      </c>
      <c r="AK74" s="67" t="e">
        <f t="shared" ref="AK74:AX74" si="66">AK69/AK$29</f>
        <v>#DIV/0!</v>
      </c>
      <c r="AL74" s="67" t="e">
        <f t="shared" si="66"/>
        <v>#DIV/0!</v>
      </c>
      <c r="AM74" s="67" t="e">
        <f t="shared" si="66"/>
        <v>#DIV/0!</v>
      </c>
      <c r="AN74" s="67" t="e">
        <f t="shared" si="66"/>
        <v>#DIV/0!</v>
      </c>
      <c r="AO74" s="67" t="e">
        <f t="shared" si="66"/>
        <v>#DIV/0!</v>
      </c>
      <c r="AP74" s="67" t="e">
        <f t="shared" si="66"/>
        <v>#DIV/0!</v>
      </c>
      <c r="AQ74" s="67" t="e">
        <f t="shared" si="66"/>
        <v>#DIV/0!</v>
      </c>
      <c r="AR74" s="67" t="e">
        <f t="shared" si="66"/>
        <v>#DIV/0!</v>
      </c>
      <c r="AS74" s="67" t="e">
        <f t="shared" si="66"/>
        <v>#DIV/0!</v>
      </c>
      <c r="AT74" s="67" t="e">
        <f t="shared" si="66"/>
        <v>#DIV/0!</v>
      </c>
      <c r="AU74" s="67" t="e">
        <f t="shared" si="66"/>
        <v>#DIV/0!</v>
      </c>
      <c r="AV74" s="67" t="e">
        <f t="shared" si="66"/>
        <v>#DIV/0!</v>
      </c>
      <c r="AW74" s="67" t="e">
        <f t="shared" si="66"/>
        <v>#DIV/0!</v>
      </c>
      <c r="AX74" s="67" t="e">
        <f t="shared" si="66"/>
        <v>#DIV/0!</v>
      </c>
      <c r="AY74" s="67" t="e">
        <f>AY69/AY$29</f>
        <v>#DIV/0!</v>
      </c>
      <c r="AZ74" s="67" t="e">
        <f>AZ69/AZ$29</f>
        <v>#DIV/0!</v>
      </c>
      <c r="BA74" s="67" t="e">
        <f>BA69/BA$29</f>
        <v>#DIV/0!</v>
      </c>
      <c r="BB74" s="67" t="e">
        <f>BB69/BB$29</f>
        <v>#DIV/0!</v>
      </c>
      <c r="BC74" s="120"/>
    </row>
    <row r="75" spans="1:55" ht="15">
      <c r="A75" s="103"/>
      <c r="E75" s="45"/>
      <c r="I75" s="45"/>
      <c r="K75" s="123"/>
      <c r="AG75" s="122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136"/>
    </row>
    <row r="76" spans="1:55" ht="14.25" customHeight="1">
      <c r="A76" s="103"/>
      <c r="E76" s="108" t="str">
        <f>'NAB_PTX Groups'!C12</f>
        <v>Group 7</v>
      </c>
      <c r="I76" s="108" t="str">
        <f>E76</f>
        <v>Group 7</v>
      </c>
      <c r="J76" s="97" t="e">
        <f>AVERAGEIF($E$5:$E$27,$E76,J$5:J$27)</f>
        <v>#DIV/0!</v>
      </c>
      <c r="K76" s="96" t="s">
        <v>9</v>
      </c>
      <c r="L76" s="71" t="e">
        <f t="shared" ref="L76:AF76" si="67">AVERAGEIF($E$5:$E$27,$E76,L$5:L$27)</f>
        <v>#DIV/0!</v>
      </c>
      <c r="M76" s="71" t="e">
        <f t="shared" si="67"/>
        <v>#DIV/0!</v>
      </c>
      <c r="N76" s="71" t="e">
        <f t="shared" si="67"/>
        <v>#DIV/0!</v>
      </c>
      <c r="O76" s="71" t="e">
        <f t="shared" si="67"/>
        <v>#DIV/0!</v>
      </c>
      <c r="P76" s="71" t="e">
        <f t="shared" si="67"/>
        <v>#DIV/0!</v>
      </c>
      <c r="Q76" s="71" t="e">
        <f t="shared" si="67"/>
        <v>#DIV/0!</v>
      </c>
      <c r="R76" s="71" t="e">
        <f t="shared" si="67"/>
        <v>#DIV/0!</v>
      </c>
      <c r="S76" s="71" t="e">
        <f t="shared" si="67"/>
        <v>#DIV/0!</v>
      </c>
      <c r="T76" s="71" t="e">
        <f t="shared" si="67"/>
        <v>#DIV/0!</v>
      </c>
      <c r="U76" s="71" t="e">
        <f t="shared" si="67"/>
        <v>#DIV/0!</v>
      </c>
      <c r="V76" s="71" t="e">
        <f t="shared" si="67"/>
        <v>#DIV/0!</v>
      </c>
      <c r="W76" s="71" t="e">
        <f t="shared" si="67"/>
        <v>#DIV/0!</v>
      </c>
      <c r="X76" s="71" t="e">
        <f t="shared" si="67"/>
        <v>#DIV/0!</v>
      </c>
      <c r="Y76" s="71" t="e">
        <f t="shared" si="67"/>
        <v>#DIV/0!</v>
      </c>
      <c r="Z76" s="71" t="e">
        <f t="shared" si="67"/>
        <v>#DIV/0!</v>
      </c>
      <c r="AA76" s="71" t="e">
        <f t="shared" si="67"/>
        <v>#DIV/0!</v>
      </c>
      <c r="AB76" s="71" t="e">
        <f t="shared" si="67"/>
        <v>#DIV/0!</v>
      </c>
      <c r="AC76" s="71" t="e">
        <f t="shared" si="67"/>
        <v>#DIV/0!</v>
      </c>
      <c r="AD76" s="71" t="e">
        <f t="shared" si="67"/>
        <v>#DIV/0!</v>
      </c>
      <c r="AE76" s="71" t="e">
        <f t="shared" si="67"/>
        <v>#DIV/0!</v>
      </c>
      <c r="AF76" s="71" t="e">
        <f t="shared" si="67"/>
        <v>#DIV/0!</v>
      </c>
      <c r="AG76" s="126" t="s">
        <v>9</v>
      </c>
      <c r="AH76" s="66" t="e">
        <f t="shared" ref="AH76:BB76" si="68">AVERAGEIF($E$5:$E$27,$E76,AH$5:AH$27)</f>
        <v>#DIV/0!</v>
      </c>
      <c r="AI76" s="66" t="e">
        <f t="shared" si="68"/>
        <v>#DIV/0!</v>
      </c>
      <c r="AJ76" s="66" t="e">
        <f t="shared" si="68"/>
        <v>#DIV/0!</v>
      </c>
      <c r="AK76" s="66" t="e">
        <f t="shared" si="68"/>
        <v>#DIV/0!</v>
      </c>
      <c r="AL76" s="66" t="e">
        <f t="shared" si="68"/>
        <v>#DIV/0!</v>
      </c>
      <c r="AM76" s="66" t="e">
        <f t="shared" si="68"/>
        <v>#DIV/0!</v>
      </c>
      <c r="AN76" s="66" t="e">
        <f t="shared" si="68"/>
        <v>#DIV/0!</v>
      </c>
      <c r="AO76" s="66" t="e">
        <f t="shared" si="68"/>
        <v>#DIV/0!</v>
      </c>
      <c r="AP76" s="66" t="e">
        <f t="shared" si="68"/>
        <v>#DIV/0!</v>
      </c>
      <c r="AQ76" s="66" t="e">
        <f t="shared" si="68"/>
        <v>#DIV/0!</v>
      </c>
      <c r="AR76" s="66" t="e">
        <f t="shared" si="68"/>
        <v>#DIV/0!</v>
      </c>
      <c r="AS76" s="66" t="e">
        <f t="shared" si="68"/>
        <v>#DIV/0!</v>
      </c>
      <c r="AT76" s="66" t="e">
        <f t="shared" si="68"/>
        <v>#DIV/0!</v>
      </c>
      <c r="AU76" s="66" t="e">
        <f t="shared" si="68"/>
        <v>#DIV/0!</v>
      </c>
      <c r="AV76" s="66" t="e">
        <f t="shared" si="68"/>
        <v>#DIV/0!</v>
      </c>
      <c r="AW76" s="66" t="e">
        <f t="shared" si="68"/>
        <v>#DIV/0!</v>
      </c>
      <c r="AX76" s="66" t="e">
        <f t="shared" si="68"/>
        <v>#DIV/0!</v>
      </c>
      <c r="AY76" s="66" t="e">
        <f t="shared" si="68"/>
        <v>#DIV/0!</v>
      </c>
      <c r="AZ76" s="66" t="e">
        <f t="shared" si="68"/>
        <v>#DIV/0!</v>
      </c>
      <c r="BA76" s="66" t="e">
        <f t="shared" si="68"/>
        <v>#DIV/0!</v>
      </c>
      <c r="BB76" s="66" t="e">
        <f t="shared" si="68"/>
        <v>#DIV/0!</v>
      </c>
      <c r="BC76" s="69"/>
    </row>
    <row r="77" spans="1:55" ht="14.25" customHeight="1">
      <c r="A77" s="103"/>
      <c r="E77" s="83"/>
      <c r="I77" s="83"/>
      <c r="J77" s="97" t="e">
        <f t="array" ref="J77">_xlfn.STDEV.P(IF($E$5:$E$27=$E76,J$5:J$27))</f>
        <v>#DIV/0!</v>
      </c>
      <c r="K77" s="96" t="s">
        <v>11</v>
      </c>
      <c r="L77" s="74" t="e">
        <f t="array" ref="L77">_xlfn.STDEV.P(IF($E$5:$E$27=$E76,L$5:L$27))</f>
        <v>#DIV/0!</v>
      </c>
      <c r="M77" s="74" t="e">
        <f t="array" ref="M77">_xlfn.STDEV.P(IF($E$5:$E$27=$E76,M$5:M$27))</f>
        <v>#DIV/0!</v>
      </c>
      <c r="N77" s="74" t="e">
        <f t="array" ref="N77">_xlfn.STDEV.P(IF($E$5:$E$27=$E76,N$5:N$27))</f>
        <v>#DIV/0!</v>
      </c>
      <c r="O77" s="74" t="e">
        <f t="array" ref="O77">_xlfn.STDEV.P(IF($E$5:$E$27=$E76,O$5:O$27))</f>
        <v>#DIV/0!</v>
      </c>
      <c r="P77" s="74" t="e">
        <f t="array" ref="P77">_xlfn.STDEV.P(IF($E$5:$E$27=$E76,P$5:P$27))</f>
        <v>#DIV/0!</v>
      </c>
      <c r="Q77" s="74" t="e">
        <f t="array" ref="Q77">_xlfn.STDEV.P(IF($E$5:$E$27=$E76,Q$5:Q$27))</f>
        <v>#DIV/0!</v>
      </c>
      <c r="R77" s="74" t="e">
        <f t="array" ref="R77">_xlfn.STDEV.P(IF($E$5:$E$27=$E76,R$5:R$27))</f>
        <v>#DIV/0!</v>
      </c>
      <c r="S77" s="74" t="e">
        <f t="array" ref="S77">_xlfn.STDEV.P(IF($E$5:$E$27=$E76,S$5:S$27))</f>
        <v>#DIV/0!</v>
      </c>
      <c r="T77" s="74" t="e">
        <f t="array" ref="T77">_xlfn.STDEV.P(IF($E$5:$E$27=$E76,T$5:T$27))</f>
        <v>#DIV/0!</v>
      </c>
      <c r="U77" s="74" t="e">
        <f t="array" ref="U77">_xlfn.STDEV.P(IF($E$5:$E$27=$E76,U$5:U$27))</f>
        <v>#DIV/0!</v>
      </c>
      <c r="V77" s="74" t="e">
        <f t="array" ref="V77">_xlfn.STDEV.P(IF($E$5:$E$27=$E76,V$5:V$27))</f>
        <v>#DIV/0!</v>
      </c>
      <c r="W77" s="74" t="e">
        <f t="array" ref="W77">_xlfn.STDEV.P(IF($E$5:$E$27=$E76,W$5:W$27))</f>
        <v>#DIV/0!</v>
      </c>
      <c r="X77" s="74" t="e">
        <f t="array" ref="X77">_xlfn.STDEV.P(IF($E$5:$E$27=$E76,X$5:X$27))</f>
        <v>#DIV/0!</v>
      </c>
      <c r="Y77" s="74" t="e">
        <f t="array" ref="Y77">_xlfn.STDEV.P(IF($E$5:$E$27=$E76,Y$5:Y$27))</f>
        <v>#DIV/0!</v>
      </c>
      <c r="Z77" s="74" t="e">
        <f t="array" ref="Z77">_xlfn.STDEV.P(IF($E$5:$E$27=$E76,Z$5:Z$27))</f>
        <v>#DIV/0!</v>
      </c>
      <c r="AA77" s="74" t="e">
        <f t="array" ref="AA77">_xlfn.STDEV.P(IF($E$5:$E$27=$E76,AA$5:AA$27))</f>
        <v>#DIV/0!</v>
      </c>
      <c r="AB77" s="74" t="e">
        <f t="array" ref="AB77">_xlfn.STDEV.P(IF($E$5:$E$27=$E76,AB$5:AB$27))</f>
        <v>#DIV/0!</v>
      </c>
      <c r="AC77" s="74" t="e">
        <f t="array" ref="AC77">_xlfn.STDEV.P(IF($E$5:$E$27=$E76,AC$5:AC$27))</f>
        <v>#DIV/0!</v>
      </c>
      <c r="AD77" s="74" t="e">
        <f t="array" ref="AD77">_xlfn.STDEV.P(IF($E$5:$E$27=$E76,AD$5:AD$27))</f>
        <v>#DIV/0!</v>
      </c>
      <c r="AE77" s="74" t="e">
        <f t="array" ref="AE77">_xlfn.STDEV.P(IF($E$5:$E$27=$E76,AE$5:AE$27))</f>
        <v>#DIV/0!</v>
      </c>
      <c r="AF77" s="74" t="e">
        <f t="array" ref="AF77">_xlfn.STDEV.P(IF($E$5:$E$27=$E76,AF$5:AF$27))</f>
        <v>#DIV/0!</v>
      </c>
      <c r="AG77" s="127" t="s">
        <v>11</v>
      </c>
      <c r="AH77" s="67" t="e">
        <f t="array" ref="AH77">_xlfn.STDEV.P(IF($E$5:$E$27=$E76,AH$5:AH$27))</f>
        <v>#DIV/0!</v>
      </c>
      <c r="AI77" s="67" t="e">
        <f t="array" ref="AI77">_xlfn.STDEV.P(IF($E$5:$E$27=$E76,AI$5:AI$27))</f>
        <v>#DIV/0!</v>
      </c>
      <c r="AJ77" s="67" t="e">
        <f t="array" ref="AJ77">_xlfn.STDEV.P(IF($E$5:$E$27=$E76,AJ$5:AJ$27))</f>
        <v>#DIV/0!</v>
      </c>
      <c r="AK77" s="67" t="e">
        <f t="array" ref="AK77">_xlfn.STDEV.P(IF($E$5:$E$27=$E76,AK$5:AK$27))</f>
        <v>#DIV/0!</v>
      </c>
      <c r="AL77" s="67" t="e">
        <f t="array" ref="AL77">_xlfn.STDEV.P(IF($E$5:$E$27=$E76,AL$5:AL$27))</f>
        <v>#DIV/0!</v>
      </c>
      <c r="AM77" s="67" t="e">
        <f t="array" ref="AM77">_xlfn.STDEV.P(IF($E$5:$E$27=$E76,AM$5:AM$27))</f>
        <v>#DIV/0!</v>
      </c>
      <c r="AN77" s="67" t="e">
        <f t="array" ref="AN77">_xlfn.STDEV.P(IF($E$5:$E$27=$E76,AN$5:AN$27))</f>
        <v>#DIV/0!</v>
      </c>
      <c r="AO77" s="67" t="e">
        <f t="array" ref="AO77">_xlfn.STDEV.P(IF($E$5:$E$27=$E76,AO$5:AO$27))</f>
        <v>#DIV/0!</v>
      </c>
      <c r="AP77" s="67" t="e">
        <f t="array" ref="AP77">_xlfn.STDEV.P(IF($E$5:$E$27=$E76,AP$5:AP$27))</f>
        <v>#DIV/0!</v>
      </c>
      <c r="AQ77" s="67" t="e">
        <f t="array" ref="AQ77">_xlfn.STDEV.P(IF($E$5:$E$27=$E76,AQ$5:AQ$27))</f>
        <v>#DIV/0!</v>
      </c>
      <c r="AR77" s="67" t="e">
        <f t="array" ref="AR77">_xlfn.STDEV.P(IF($E$5:$E$27=$E76,AR$5:AR$27))</f>
        <v>#DIV/0!</v>
      </c>
      <c r="AS77" s="67" t="e">
        <f t="array" ref="AS77">_xlfn.STDEV.P(IF($E$5:$E$27=$E76,AS$5:AS$27))</f>
        <v>#DIV/0!</v>
      </c>
      <c r="AT77" s="67" t="e">
        <f t="array" ref="AT77">_xlfn.STDEV.P(IF($E$5:$E$27=$E76,AT$5:AT$27))</f>
        <v>#DIV/0!</v>
      </c>
      <c r="AU77" s="67" t="e">
        <f t="array" ref="AU77">_xlfn.STDEV.P(IF($E$5:$E$27=$E76,AU$5:AU$27))</f>
        <v>#DIV/0!</v>
      </c>
      <c r="AV77" s="67" t="e">
        <f t="array" ref="AV77">_xlfn.STDEV.P(IF($E$5:$E$27=$E76,AV$5:AV$27))</f>
        <v>#DIV/0!</v>
      </c>
      <c r="AW77" s="67" t="e">
        <f t="array" ref="AW77">_xlfn.STDEV.P(IF($E$5:$E$27=$E76,AW$5:AW$27))</f>
        <v>#DIV/0!</v>
      </c>
      <c r="AX77" s="67" t="e">
        <f t="array" ref="AX77">_xlfn.STDEV.P(IF($E$5:$E$27=$E76,AX$5:AX$27))</f>
        <v>#DIV/0!</v>
      </c>
      <c r="AY77" s="67" t="e">
        <f t="array" ref="AY77">_xlfn.STDEV.P(IF($E$5:$E$27=$E76,AY$5:AY$27))</f>
        <v>#DIV/0!</v>
      </c>
      <c r="AZ77" s="67" t="e">
        <f t="array" ref="AZ77">_xlfn.STDEV.P(IF($E$5:$E$27=$E76,AZ$5:AZ$27))</f>
        <v>#DIV/0!</v>
      </c>
      <c r="BA77" s="67" t="e">
        <f t="array" ref="BA77">_xlfn.STDEV.P(IF($E$5:$E$27=$E76,BA$5:BA$27))</f>
        <v>#DIV/0!</v>
      </c>
      <c r="BB77" s="67" t="e">
        <f t="array" ref="BB77">_xlfn.STDEV.P(IF($E$5:$E$27=$E76,BB$5:BB$27))</f>
        <v>#DIV/0!</v>
      </c>
      <c r="BC77" s="69"/>
    </row>
    <row r="78" spans="1:55" ht="14.25" customHeight="1">
      <c r="A78" s="103"/>
      <c r="E78" s="83"/>
      <c r="I78" s="83"/>
      <c r="J78" s="97"/>
      <c r="K78" s="121" t="s">
        <v>34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121" t="s">
        <v>34</v>
      </c>
      <c r="AH78" s="66" t="e">
        <f>AH76-AH$29</f>
        <v>#DIV/0!</v>
      </c>
      <c r="AI78" s="66" t="e">
        <f>AI76-AI$29</f>
        <v>#DIV/0!</v>
      </c>
      <c r="AJ78" s="66" t="e">
        <f t="shared" ref="AJ78:AX78" si="69">AJ76-AJ$29</f>
        <v>#DIV/0!</v>
      </c>
      <c r="AK78" s="66" t="e">
        <f t="shared" si="69"/>
        <v>#DIV/0!</v>
      </c>
      <c r="AL78" s="66" t="e">
        <f t="shared" si="69"/>
        <v>#DIV/0!</v>
      </c>
      <c r="AM78" s="66" t="e">
        <f t="shared" si="69"/>
        <v>#DIV/0!</v>
      </c>
      <c r="AN78" s="66" t="e">
        <f t="shared" si="69"/>
        <v>#DIV/0!</v>
      </c>
      <c r="AO78" s="66" t="e">
        <f t="shared" si="69"/>
        <v>#DIV/0!</v>
      </c>
      <c r="AP78" s="66" t="e">
        <f t="shared" si="69"/>
        <v>#DIV/0!</v>
      </c>
      <c r="AQ78" s="66" t="e">
        <f t="shared" si="69"/>
        <v>#DIV/0!</v>
      </c>
      <c r="AR78" s="66" t="e">
        <f t="shared" si="69"/>
        <v>#DIV/0!</v>
      </c>
      <c r="AS78" s="66" t="e">
        <f t="shared" si="69"/>
        <v>#DIV/0!</v>
      </c>
      <c r="AT78" s="66" t="e">
        <f t="shared" si="69"/>
        <v>#DIV/0!</v>
      </c>
      <c r="AU78" s="66" t="e">
        <f t="shared" si="69"/>
        <v>#DIV/0!</v>
      </c>
      <c r="AV78" s="66" t="e">
        <f t="shared" si="69"/>
        <v>#DIV/0!</v>
      </c>
      <c r="AW78" s="66" t="e">
        <f t="shared" si="69"/>
        <v>#DIV/0!</v>
      </c>
      <c r="AX78" s="66" t="e">
        <f t="shared" si="69"/>
        <v>#DIV/0!</v>
      </c>
      <c r="AY78" s="66" t="e">
        <f>AY76-AY$29</f>
        <v>#DIV/0!</v>
      </c>
      <c r="AZ78" s="66" t="e">
        <f>AZ76-AZ$29</f>
        <v>#DIV/0!</v>
      </c>
      <c r="BA78" s="66" t="e">
        <f>BA76-BA$29</f>
        <v>#DIV/0!</v>
      </c>
      <c r="BB78" s="66" t="e">
        <f>BB76-BB$29</f>
        <v>#DIV/0!</v>
      </c>
      <c r="BC78" s="120"/>
    </row>
    <row r="79" spans="1:55" ht="14.25" customHeight="1">
      <c r="A79" s="103"/>
      <c r="E79" s="83"/>
      <c r="I79" s="83"/>
      <c r="J79" s="97"/>
      <c r="K79" s="95" t="s">
        <v>48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95" t="s">
        <v>48</v>
      </c>
      <c r="AH79" s="66"/>
      <c r="AI79" s="66" t="e">
        <f>AH76*EXP((AI$4-AH$4)*-LN(2)/8.091)</f>
        <v>#DIV/0!</v>
      </c>
      <c r="AJ79" s="66" t="e">
        <f>AI76*EXP((AJ$4-AI$4)*-LN(2)/8.091)</f>
        <v>#DIV/0!</v>
      </c>
      <c r="AK79" s="66" t="e">
        <f t="shared" ref="AK79:AX79" si="70">AJ76*EXP((AK$4-AJ$4)*-LN(2)/8.091)</f>
        <v>#DIV/0!</v>
      </c>
      <c r="AL79" s="66" t="e">
        <f t="shared" si="70"/>
        <v>#DIV/0!</v>
      </c>
      <c r="AM79" s="66" t="e">
        <f t="shared" si="70"/>
        <v>#DIV/0!</v>
      </c>
      <c r="AN79" s="66" t="e">
        <f t="shared" si="70"/>
        <v>#DIV/0!</v>
      </c>
      <c r="AO79" s="66" t="e">
        <f t="shared" si="70"/>
        <v>#DIV/0!</v>
      </c>
      <c r="AP79" s="66" t="e">
        <f t="shared" si="70"/>
        <v>#DIV/0!</v>
      </c>
      <c r="AQ79" s="66" t="e">
        <f t="shared" si="70"/>
        <v>#DIV/0!</v>
      </c>
      <c r="AR79" s="66" t="e">
        <f t="shared" si="70"/>
        <v>#DIV/0!</v>
      </c>
      <c r="AS79" s="66" t="e">
        <f t="shared" si="70"/>
        <v>#DIV/0!</v>
      </c>
      <c r="AT79" s="66" t="e">
        <f t="shared" si="70"/>
        <v>#DIV/0!</v>
      </c>
      <c r="AU79" s="66" t="e">
        <f t="shared" si="70"/>
        <v>#DIV/0!</v>
      </c>
      <c r="AV79" s="66" t="e">
        <f t="shared" si="70"/>
        <v>#DIV/0!</v>
      </c>
      <c r="AW79" s="66" t="e">
        <f t="shared" si="70"/>
        <v>#DIV/0!</v>
      </c>
      <c r="AX79" s="66" t="e">
        <f t="shared" si="70"/>
        <v>#DIV/0!</v>
      </c>
      <c r="AY79" s="66" t="e">
        <f>AX76*EXP((AY$4-AX$4)*-LN(2)/8.091)</f>
        <v>#DIV/0!</v>
      </c>
      <c r="AZ79" s="66" t="e">
        <f>AY76*EXP((AZ$4-AY$4)*-LN(2)/8.091)</f>
        <v>#DIV/0!</v>
      </c>
      <c r="BA79" s="66" t="e">
        <f>AZ76*EXP((BA$4-AZ$4)*-LN(2)/8.091)</f>
        <v>#DIV/0!</v>
      </c>
      <c r="BB79" s="66" t="e">
        <f>BA76*EXP((BB$4-BA$4)*-LN(2)/8.091)</f>
        <v>#DIV/0!</v>
      </c>
      <c r="BC79" s="120"/>
    </row>
    <row r="80" spans="1:55" ht="14.25" customHeight="1">
      <c r="A80" s="103"/>
      <c r="E80" s="83"/>
      <c r="I80" s="83"/>
      <c r="J80" s="97"/>
      <c r="K80" s="95" t="s">
        <v>35</v>
      </c>
      <c r="L80" s="73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95" t="s">
        <v>35</v>
      </c>
      <c r="AH80" s="135"/>
      <c r="AI80" s="67" t="e">
        <f t="shared" ref="AI80:BB80" si="71">AI76-AI79</f>
        <v>#DIV/0!</v>
      </c>
      <c r="AJ80" s="67" t="e">
        <f t="shared" si="71"/>
        <v>#DIV/0!</v>
      </c>
      <c r="AK80" s="67" t="e">
        <f t="shared" si="71"/>
        <v>#DIV/0!</v>
      </c>
      <c r="AL80" s="67" t="e">
        <f t="shared" si="71"/>
        <v>#DIV/0!</v>
      </c>
      <c r="AM80" s="67" t="e">
        <f t="shared" si="71"/>
        <v>#DIV/0!</v>
      </c>
      <c r="AN80" s="67" t="e">
        <f t="shared" si="71"/>
        <v>#DIV/0!</v>
      </c>
      <c r="AO80" s="67" t="e">
        <f t="shared" si="71"/>
        <v>#DIV/0!</v>
      </c>
      <c r="AP80" s="67" t="e">
        <f t="shared" si="71"/>
        <v>#DIV/0!</v>
      </c>
      <c r="AQ80" s="67" t="e">
        <f t="shared" si="71"/>
        <v>#DIV/0!</v>
      </c>
      <c r="AR80" s="67" t="e">
        <f t="shared" si="71"/>
        <v>#DIV/0!</v>
      </c>
      <c r="AS80" s="67" t="e">
        <f t="shared" si="71"/>
        <v>#DIV/0!</v>
      </c>
      <c r="AT80" s="67" t="e">
        <f t="shared" si="71"/>
        <v>#DIV/0!</v>
      </c>
      <c r="AU80" s="67" t="e">
        <f t="shared" si="71"/>
        <v>#DIV/0!</v>
      </c>
      <c r="AV80" s="67" t="e">
        <f t="shared" si="71"/>
        <v>#DIV/0!</v>
      </c>
      <c r="AW80" s="67" t="e">
        <f t="shared" si="71"/>
        <v>#DIV/0!</v>
      </c>
      <c r="AX80" s="67" t="e">
        <f t="shared" si="71"/>
        <v>#DIV/0!</v>
      </c>
      <c r="AY80" s="67" t="e">
        <f t="shared" si="71"/>
        <v>#DIV/0!</v>
      </c>
      <c r="AZ80" s="67" t="e">
        <f t="shared" si="71"/>
        <v>#DIV/0!</v>
      </c>
      <c r="BA80" s="67" t="e">
        <f t="shared" si="71"/>
        <v>#DIV/0!</v>
      </c>
      <c r="BB80" s="67" t="e">
        <f t="shared" si="71"/>
        <v>#DIV/0!</v>
      </c>
      <c r="BC80" s="120"/>
    </row>
    <row r="81" spans="1:55" ht="14.25" customHeight="1">
      <c r="A81" s="103"/>
      <c r="E81" s="83"/>
      <c r="I81" s="83"/>
      <c r="J81" s="97"/>
      <c r="K81" s="95" t="s">
        <v>49</v>
      </c>
      <c r="L81" s="73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95" t="s">
        <v>49</v>
      </c>
      <c r="AH81" s="135" t="e">
        <f>AH76/AH$29</f>
        <v>#DIV/0!</v>
      </c>
      <c r="AI81" s="67" t="e">
        <f>AI76/AI$29</f>
        <v>#DIV/0!</v>
      </c>
      <c r="AJ81" s="67" t="e">
        <f>AJ76/AJ$29</f>
        <v>#DIV/0!</v>
      </c>
      <c r="AK81" s="67" t="e">
        <f t="shared" ref="AK81:AX81" si="72">AK76/AK$29</f>
        <v>#DIV/0!</v>
      </c>
      <c r="AL81" s="67" t="e">
        <f t="shared" si="72"/>
        <v>#DIV/0!</v>
      </c>
      <c r="AM81" s="67" t="e">
        <f t="shared" si="72"/>
        <v>#DIV/0!</v>
      </c>
      <c r="AN81" s="67" t="e">
        <f t="shared" si="72"/>
        <v>#DIV/0!</v>
      </c>
      <c r="AO81" s="67" t="e">
        <f t="shared" si="72"/>
        <v>#DIV/0!</v>
      </c>
      <c r="AP81" s="67" t="e">
        <f t="shared" si="72"/>
        <v>#DIV/0!</v>
      </c>
      <c r="AQ81" s="67" t="e">
        <f t="shared" si="72"/>
        <v>#DIV/0!</v>
      </c>
      <c r="AR81" s="67" t="e">
        <f t="shared" si="72"/>
        <v>#DIV/0!</v>
      </c>
      <c r="AS81" s="67" t="e">
        <f t="shared" si="72"/>
        <v>#DIV/0!</v>
      </c>
      <c r="AT81" s="67" t="e">
        <f t="shared" si="72"/>
        <v>#DIV/0!</v>
      </c>
      <c r="AU81" s="67" t="e">
        <f t="shared" si="72"/>
        <v>#DIV/0!</v>
      </c>
      <c r="AV81" s="67" t="e">
        <f t="shared" si="72"/>
        <v>#DIV/0!</v>
      </c>
      <c r="AW81" s="67" t="e">
        <f t="shared" si="72"/>
        <v>#DIV/0!</v>
      </c>
      <c r="AX81" s="67" t="e">
        <f t="shared" si="72"/>
        <v>#DIV/0!</v>
      </c>
      <c r="AY81" s="67" t="e">
        <f>AY76/AY$29</f>
        <v>#DIV/0!</v>
      </c>
      <c r="AZ81" s="67" t="e">
        <f>AZ76/AZ$29</f>
        <v>#DIV/0!</v>
      </c>
      <c r="BA81" s="67" t="e">
        <f>BA76/BA$29</f>
        <v>#DIV/0!</v>
      </c>
      <c r="BB81" s="67" t="e">
        <f>BB76/BB$29</f>
        <v>#DIV/0!</v>
      </c>
      <c r="BC81" s="120"/>
    </row>
    <row r="82" spans="1:55" ht="15">
      <c r="A82" s="103"/>
      <c r="E82" s="45"/>
      <c r="I82" s="45"/>
      <c r="K82" s="123"/>
      <c r="AG82" s="122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136"/>
    </row>
    <row r="83" spans="1:55" ht="14.25" customHeight="1">
      <c r="A83" s="103"/>
      <c r="E83" s="108" t="str">
        <f>'NAB_PTX Groups'!C13</f>
        <v>Group 8</v>
      </c>
      <c r="I83" s="108" t="str">
        <f>E83</f>
        <v>Group 8</v>
      </c>
      <c r="J83" s="97" t="e">
        <f>AVERAGEIF($E$5:$E$27,$E83,J$5:J$27)</f>
        <v>#DIV/0!</v>
      </c>
      <c r="K83" s="96" t="s">
        <v>9</v>
      </c>
      <c r="L83" s="71" t="e">
        <f t="shared" ref="L83:AF83" si="73">AVERAGEIF($E$5:$E$27,$E83,L$5:L$27)</f>
        <v>#DIV/0!</v>
      </c>
      <c r="M83" s="71" t="e">
        <f t="shared" si="73"/>
        <v>#DIV/0!</v>
      </c>
      <c r="N83" s="71" t="e">
        <f t="shared" si="73"/>
        <v>#DIV/0!</v>
      </c>
      <c r="O83" s="71" t="e">
        <f t="shared" si="73"/>
        <v>#DIV/0!</v>
      </c>
      <c r="P83" s="71" t="e">
        <f t="shared" si="73"/>
        <v>#DIV/0!</v>
      </c>
      <c r="Q83" s="71" t="e">
        <f t="shared" si="73"/>
        <v>#DIV/0!</v>
      </c>
      <c r="R83" s="71" t="e">
        <f t="shared" si="73"/>
        <v>#DIV/0!</v>
      </c>
      <c r="S83" s="71" t="e">
        <f t="shared" si="73"/>
        <v>#DIV/0!</v>
      </c>
      <c r="T83" s="71" t="e">
        <f t="shared" si="73"/>
        <v>#DIV/0!</v>
      </c>
      <c r="U83" s="71" t="e">
        <f t="shared" si="73"/>
        <v>#DIV/0!</v>
      </c>
      <c r="V83" s="71" t="e">
        <f t="shared" si="73"/>
        <v>#DIV/0!</v>
      </c>
      <c r="W83" s="71" t="e">
        <f t="shared" si="73"/>
        <v>#DIV/0!</v>
      </c>
      <c r="X83" s="71" t="e">
        <f t="shared" si="73"/>
        <v>#DIV/0!</v>
      </c>
      <c r="Y83" s="71" t="e">
        <f t="shared" si="73"/>
        <v>#DIV/0!</v>
      </c>
      <c r="Z83" s="71" t="e">
        <f t="shared" si="73"/>
        <v>#DIV/0!</v>
      </c>
      <c r="AA83" s="71" t="e">
        <f t="shared" si="73"/>
        <v>#DIV/0!</v>
      </c>
      <c r="AB83" s="71" t="e">
        <f t="shared" si="73"/>
        <v>#DIV/0!</v>
      </c>
      <c r="AC83" s="71" t="e">
        <f t="shared" si="73"/>
        <v>#DIV/0!</v>
      </c>
      <c r="AD83" s="71" t="e">
        <f t="shared" si="73"/>
        <v>#DIV/0!</v>
      </c>
      <c r="AE83" s="71" t="e">
        <f t="shared" si="73"/>
        <v>#DIV/0!</v>
      </c>
      <c r="AF83" s="71" t="e">
        <f t="shared" si="73"/>
        <v>#DIV/0!</v>
      </c>
      <c r="AG83" s="126" t="s">
        <v>9</v>
      </c>
      <c r="AH83" s="66" t="e">
        <f t="shared" ref="AH83:BB83" si="74">AVERAGEIF($E$5:$E$27,$E83,AH$5:AH$27)</f>
        <v>#DIV/0!</v>
      </c>
      <c r="AI83" s="66" t="e">
        <f t="shared" si="74"/>
        <v>#DIV/0!</v>
      </c>
      <c r="AJ83" s="66" t="e">
        <f t="shared" si="74"/>
        <v>#DIV/0!</v>
      </c>
      <c r="AK83" s="66" t="e">
        <f t="shared" si="74"/>
        <v>#DIV/0!</v>
      </c>
      <c r="AL83" s="66" t="e">
        <f t="shared" si="74"/>
        <v>#DIV/0!</v>
      </c>
      <c r="AM83" s="66" t="e">
        <f t="shared" si="74"/>
        <v>#DIV/0!</v>
      </c>
      <c r="AN83" s="66" t="e">
        <f t="shared" si="74"/>
        <v>#DIV/0!</v>
      </c>
      <c r="AO83" s="66" t="e">
        <f t="shared" si="74"/>
        <v>#DIV/0!</v>
      </c>
      <c r="AP83" s="66" t="e">
        <f t="shared" si="74"/>
        <v>#DIV/0!</v>
      </c>
      <c r="AQ83" s="66" t="e">
        <f t="shared" si="74"/>
        <v>#DIV/0!</v>
      </c>
      <c r="AR83" s="66" t="e">
        <f t="shared" si="74"/>
        <v>#DIV/0!</v>
      </c>
      <c r="AS83" s="66" t="e">
        <f t="shared" si="74"/>
        <v>#DIV/0!</v>
      </c>
      <c r="AT83" s="66" t="e">
        <f t="shared" si="74"/>
        <v>#DIV/0!</v>
      </c>
      <c r="AU83" s="66" t="e">
        <f t="shared" si="74"/>
        <v>#DIV/0!</v>
      </c>
      <c r="AV83" s="66" t="e">
        <f t="shared" si="74"/>
        <v>#DIV/0!</v>
      </c>
      <c r="AW83" s="66" t="e">
        <f t="shared" si="74"/>
        <v>#DIV/0!</v>
      </c>
      <c r="AX83" s="66" t="e">
        <f t="shared" si="74"/>
        <v>#DIV/0!</v>
      </c>
      <c r="AY83" s="66" t="e">
        <f t="shared" si="74"/>
        <v>#DIV/0!</v>
      </c>
      <c r="AZ83" s="66" t="e">
        <f t="shared" si="74"/>
        <v>#DIV/0!</v>
      </c>
      <c r="BA83" s="66" t="e">
        <f t="shared" si="74"/>
        <v>#DIV/0!</v>
      </c>
      <c r="BB83" s="66" t="e">
        <f t="shared" si="74"/>
        <v>#DIV/0!</v>
      </c>
      <c r="BC83" s="69"/>
    </row>
    <row r="84" spans="1:55" ht="14.25" customHeight="1">
      <c r="A84" s="103"/>
      <c r="E84" s="83"/>
      <c r="I84" s="83"/>
      <c r="J84" s="97" t="e">
        <f t="array" ref="J84">_xlfn.STDEV.P(IF($E$5:$E$27=$E83,J$5:J$27))</f>
        <v>#DIV/0!</v>
      </c>
      <c r="K84" s="96" t="s">
        <v>11</v>
      </c>
      <c r="L84" s="74" t="e">
        <f t="array" ref="L84">_xlfn.STDEV.P(IF($E$5:$E$27=$E83,L$5:L$27))</f>
        <v>#DIV/0!</v>
      </c>
      <c r="M84" s="74" t="e">
        <f t="array" ref="M84">_xlfn.STDEV.P(IF($E$5:$E$27=$E83,M$5:M$27))</f>
        <v>#DIV/0!</v>
      </c>
      <c r="N84" s="74" t="e">
        <f t="array" ref="N84">_xlfn.STDEV.P(IF($E$5:$E$27=$E83,N$5:N$27))</f>
        <v>#DIV/0!</v>
      </c>
      <c r="O84" s="74" t="e">
        <f t="array" ref="O84">_xlfn.STDEV.P(IF($E$5:$E$27=$E83,O$5:O$27))</f>
        <v>#DIV/0!</v>
      </c>
      <c r="P84" s="74" t="e">
        <f t="array" ref="P84">_xlfn.STDEV.P(IF($E$5:$E$27=$E83,P$5:P$27))</f>
        <v>#DIV/0!</v>
      </c>
      <c r="Q84" s="74" t="e">
        <f t="array" ref="Q84">_xlfn.STDEV.P(IF($E$5:$E$27=$E83,Q$5:Q$27))</f>
        <v>#DIV/0!</v>
      </c>
      <c r="R84" s="74" t="e">
        <f t="array" ref="R84">_xlfn.STDEV.P(IF($E$5:$E$27=$E83,R$5:R$27))</f>
        <v>#DIV/0!</v>
      </c>
      <c r="S84" s="74" t="e">
        <f t="array" ref="S84">_xlfn.STDEV.P(IF($E$5:$E$27=$E83,S$5:S$27))</f>
        <v>#DIV/0!</v>
      </c>
      <c r="T84" s="74" t="e">
        <f t="array" ref="T84">_xlfn.STDEV.P(IF($E$5:$E$27=$E83,T$5:T$27))</f>
        <v>#DIV/0!</v>
      </c>
      <c r="U84" s="74" t="e">
        <f t="array" ref="U84">_xlfn.STDEV.P(IF($E$5:$E$27=$E83,U$5:U$27))</f>
        <v>#DIV/0!</v>
      </c>
      <c r="V84" s="74" t="e">
        <f t="array" ref="V84">_xlfn.STDEV.P(IF($E$5:$E$27=$E83,V$5:V$27))</f>
        <v>#DIV/0!</v>
      </c>
      <c r="W84" s="74" t="e">
        <f t="array" ref="W84">_xlfn.STDEV.P(IF($E$5:$E$27=$E83,W$5:W$27))</f>
        <v>#DIV/0!</v>
      </c>
      <c r="X84" s="74" t="e">
        <f t="array" ref="X84">_xlfn.STDEV.P(IF($E$5:$E$27=$E83,X$5:X$27))</f>
        <v>#DIV/0!</v>
      </c>
      <c r="Y84" s="74" t="e">
        <f t="array" ref="Y84">_xlfn.STDEV.P(IF($E$5:$E$27=$E83,Y$5:Y$27))</f>
        <v>#DIV/0!</v>
      </c>
      <c r="Z84" s="74" t="e">
        <f t="array" ref="Z84">_xlfn.STDEV.P(IF($E$5:$E$27=$E83,Z$5:Z$27))</f>
        <v>#DIV/0!</v>
      </c>
      <c r="AA84" s="74" t="e">
        <f t="array" ref="AA84">_xlfn.STDEV.P(IF($E$5:$E$27=$E83,AA$5:AA$27))</f>
        <v>#DIV/0!</v>
      </c>
      <c r="AB84" s="74" t="e">
        <f t="array" ref="AB84">_xlfn.STDEV.P(IF($E$5:$E$27=$E83,AB$5:AB$27))</f>
        <v>#DIV/0!</v>
      </c>
      <c r="AC84" s="74" t="e">
        <f t="array" ref="AC84">_xlfn.STDEV.P(IF($E$5:$E$27=$E83,AC$5:AC$27))</f>
        <v>#DIV/0!</v>
      </c>
      <c r="AD84" s="74" t="e">
        <f t="array" ref="AD84">_xlfn.STDEV.P(IF($E$5:$E$27=$E83,AD$5:AD$27))</f>
        <v>#DIV/0!</v>
      </c>
      <c r="AE84" s="74" t="e">
        <f t="array" ref="AE84">_xlfn.STDEV.P(IF($E$5:$E$27=$E83,AE$5:AE$27))</f>
        <v>#DIV/0!</v>
      </c>
      <c r="AF84" s="74" t="e">
        <f t="array" ref="AF84">_xlfn.STDEV.P(IF($E$5:$E$27=$E83,AF$5:AF$27))</f>
        <v>#DIV/0!</v>
      </c>
      <c r="AG84" s="127" t="s">
        <v>11</v>
      </c>
      <c r="AH84" s="67" t="e">
        <f t="array" ref="AH84">_xlfn.STDEV.P(IF($E$5:$E$27=$E83,AH$5:AH$27))</f>
        <v>#DIV/0!</v>
      </c>
      <c r="AI84" s="67" t="e">
        <f t="array" ref="AI84">_xlfn.STDEV.P(IF($E$5:$E$27=$E83,AI$5:AI$27))</f>
        <v>#DIV/0!</v>
      </c>
      <c r="AJ84" s="67" t="e">
        <f t="array" ref="AJ84">_xlfn.STDEV.P(IF($E$5:$E$27=$E83,AJ$5:AJ$27))</f>
        <v>#DIV/0!</v>
      </c>
      <c r="AK84" s="67" t="e">
        <f t="array" ref="AK84">_xlfn.STDEV.P(IF($E$5:$E$27=$E83,AK$5:AK$27))</f>
        <v>#DIV/0!</v>
      </c>
      <c r="AL84" s="67" t="e">
        <f t="array" ref="AL84">_xlfn.STDEV.P(IF($E$5:$E$27=$E83,AL$5:AL$27))</f>
        <v>#DIV/0!</v>
      </c>
      <c r="AM84" s="67" t="e">
        <f t="array" ref="AM84">_xlfn.STDEV.P(IF($E$5:$E$27=$E83,AM$5:AM$27))</f>
        <v>#DIV/0!</v>
      </c>
      <c r="AN84" s="67" t="e">
        <f t="array" ref="AN84">_xlfn.STDEV.P(IF($E$5:$E$27=$E83,AN$5:AN$27))</f>
        <v>#DIV/0!</v>
      </c>
      <c r="AO84" s="67" t="e">
        <f t="array" ref="AO84">_xlfn.STDEV.P(IF($E$5:$E$27=$E83,AO$5:AO$27))</f>
        <v>#DIV/0!</v>
      </c>
      <c r="AP84" s="67" t="e">
        <f t="array" ref="AP84">_xlfn.STDEV.P(IF($E$5:$E$27=$E83,AP$5:AP$27))</f>
        <v>#DIV/0!</v>
      </c>
      <c r="AQ84" s="67" t="e">
        <f t="array" ref="AQ84">_xlfn.STDEV.P(IF($E$5:$E$27=$E83,AQ$5:AQ$27))</f>
        <v>#DIV/0!</v>
      </c>
      <c r="AR84" s="67" t="e">
        <f t="array" ref="AR84">_xlfn.STDEV.P(IF($E$5:$E$27=$E83,AR$5:AR$27))</f>
        <v>#DIV/0!</v>
      </c>
      <c r="AS84" s="67" t="e">
        <f t="array" ref="AS84">_xlfn.STDEV.P(IF($E$5:$E$27=$E83,AS$5:AS$27))</f>
        <v>#DIV/0!</v>
      </c>
      <c r="AT84" s="67" t="e">
        <f t="array" ref="AT84">_xlfn.STDEV.P(IF($E$5:$E$27=$E83,AT$5:AT$27))</f>
        <v>#DIV/0!</v>
      </c>
      <c r="AU84" s="67" t="e">
        <f t="array" ref="AU84">_xlfn.STDEV.P(IF($E$5:$E$27=$E83,AU$5:AU$27))</f>
        <v>#DIV/0!</v>
      </c>
      <c r="AV84" s="67" t="e">
        <f t="array" ref="AV84">_xlfn.STDEV.P(IF($E$5:$E$27=$E83,AV$5:AV$27))</f>
        <v>#DIV/0!</v>
      </c>
      <c r="AW84" s="67" t="e">
        <f t="array" ref="AW84">_xlfn.STDEV.P(IF($E$5:$E$27=$E83,AW$5:AW$27))</f>
        <v>#DIV/0!</v>
      </c>
      <c r="AX84" s="67" t="e">
        <f t="array" ref="AX84">_xlfn.STDEV.P(IF($E$5:$E$27=$E83,AX$5:AX$27))</f>
        <v>#DIV/0!</v>
      </c>
      <c r="AY84" s="67" t="e">
        <f t="array" ref="AY84">_xlfn.STDEV.P(IF($E$5:$E$27=$E83,AY$5:AY$27))</f>
        <v>#DIV/0!</v>
      </c>
      <c r="AZ84" s="67" t="e">
        <f t="array" ref="AZ84">_xlfn.STDEV.P(IF($E$5:$E$27=$E83,AZ$5:AZ$27))</f>
        <v>#DIV/0!</v>
      </c>
      <c r="BA84" s="67" t="e">
        <f t="array" ref="BA84">_xlfn.STDEV.P(IF($E$5:$E$27=$E83,BA$5:BA$27))</f>
        <v>#DIV/0!</v>
      </c>
      <c r="BB84" s="67" t="e">
        <f t="array" ref="BB84">_xlfn.STDEV.P(IF($E$5:$E$27=$E83,BB$5:BB$27))</f>
        <v>#DIV/0!</v>
      </c>
      <c r="BC84" s="69"/>
    </row>
    <row r="85" spans="1:55" ht="14.25" customHeight="1">
      <c r="A85" s="103"/>
      <c r="E85" s="83"/>
      <c r="I85" s="83"/>
      <c r="J85" s="97"/>
      <c r="K85" s="121" t="s">
        <v>34</v>
      </c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121" t="s">
        <v>34</v>
      </c>
      <c r="AH85" s="66" t="e">
        <f>AH83-AH$29</f>
        <v>#DIV/0!</v>
      </c>
      <c r="AI85" s="66" t="e">
        <f>AI83-AI$29</f>
        <v>#DIV/0!</v>
      </c>
      <c r="AJ85" s="66" t="e">
        <f t="shared" ref="AJ85:AX85" si="75">AJ83-AJ$29</f>
        <v>#DIV/0!</v>
      </c>
      <c r="AK85" s="66" t="e">
        <f t="shared" si="75"/>
        <v>#DIV/0!</v>
      </c>
      <c r="AL85" s="66" t="e">
        <f t="shared" si="75"/>
        <v>#DIV/0!</v>
      </c>
      <c r="AM85" s="66" t="e">
        <f t="shared" si="75"/>
        <v>#DIV/0!</v>
      </c>
      <c r="AN85" s="66" t="e">
        <f t="shared" si="75"/>
        <v>#DIV/0!</v>
      </c>
      <c r="AO85" s="66" t="e">
        <f t="shared" si="75"/>
        <v>#DIV/0!</v>
      </c>
      <c r="AP85" s="66" t="e">
        <f t="shared" si="75"/>
        <v>#DIV/0!</v>
      </c>
      <c r="AQ85" s="66" t="e">
        <f t="shared" si="75"/>
        <v>#DIV/0!</v>
      </c>
      <c r="AR85" s="66" t="e">
        <f t="shared" si="75"/>
        <v>#DIV/0!</v>
      </c>
      <c r="AS85" s="66" t="e">
        <f t="shared" si="75"/>
        <v>#DIV/0!</v>
      </c>
      <c r="AT85" s="66" t="e">
        <f t="shared" si="75"/>
        <v>#DIV/0!</v>
      </c>
      <c r="AU85" s="66" t="e">
        <f t="shared" si="75"/>
        <v>#DIV/0!</v>
      </c>
      <c r="AV85" s="66" t="e">
        <f t="shared" si="75"/>
        <v>#DIV/0!</v>
      </c>
      <c r="AW85" s="66" t="e">
        <f t="shared" si="75"/>
        <v>#DIV/0!</v>
      </c>
      <c r="AX85" s="66" t="e">
        <f t="shared" si="75"/>
        <v>#DIV/0!</v>
      </c>
      <c r="AY85" s="66" t="e">
        <f>AY83-AY$29</f>
        <v>#DIV/0!</v>
      </c>
      <c r="AZ85" s="66" t="e">
        <f>AZ83-AZ$29</f>
        <v>#DIV/0!</v>
      </c>
      <c r="BA85" s="66" t="e">
        <f>BA83-BA$29</f>
        <v>#DIV/0!</v>
      </c>
      <c r="BB85" s="66" t="e">
        <f>BB83-BB$29</f>
        <v>#DIV/0!</v>
      </c>
      <c r="BC85" s="120"/>
    </row>
    <row r="86" spans="1:55" ht="14.25" customHeight="1">
      <c r="A86" s="103"/>
      <c r="E86" s="83"/>
      <c r="I86" s="83"/>
      <c r="J86" s="97"/>
      <c r="K86" s="95" t="s">
        <v>48</v>
      </c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95" t="s">
        <v>48</v>
      </c>
      <c r="AH86" s="66"/>
      <c r="AI86" s="66" t="e">
        <f>AH83*EXP((AI$4-AH$4)*-LN(2)/8.091)</f>
        <v>#DIV/0!</v>
      </c>
      <c r="AJ86" s="66" t="e">
        <f>AI83*EXP((AJ$4-AI$4)*-LN(2)/8.091)</f>
        <v>#DIV/0!</v>
      </c>
      <c r="AK86" s="66" t="e">
        <f t="shared" ref="AK86:AX86" si="76">AJ83*EXP((AK$4-AJ$4)*-LN(2)/8.091)</f>
        <v>#DIV/0!</v>
      </c>
      <c r="AL86" s="66" t="e">
        <f t="shared" si="76"/>
        <v>#DIV/0!</v>
      </c>
      <c r="AM86" s="66" t="e">
        <f t="shared" si="76"/>
        <v>#DIV/0!</v>
      </c>
      <c r="AN86" s="66" t="e">
        <f t="shared" si="76"/>
        <v>#DIV/0!</v>
      </c>
      <c r="AO86" s="66" t="e">
        <f t="shared" si="76"/>
        <v>#DIV/0!</v>
      </c>
      <c r="AP86" s="66" t="e">
        <f t="shared" si="76"/>
        <v>#DIV/0!</v>
      </c>
      <c r="AQ86" s="66" t="e">
        <f t="shared" si="76"/>
        <v>#DIV/0!</v>
      </c>
      <c r="AR86" s="66" t="e">
        <f t="shared" si="76"/>
        <v>#DIV/0!</v>
      </c>
      <c r="AS86" s="66" t="e">
        <f t="shared" si="76"/>
        <v>#DIV/0!</v>
      </c>
      <c r="AT86" s="66" t="e">
        <f t="shared" si="76"/>
        <v>#DIV/0!</v>
      </c>
      <c r="AU86" s="66" t="e">
        <f t="shared" si="76"/>
        <v>#DIV/0!</v>
      </c>
      <c r="AV86" s="66" t="e">
        <f t="shared" si="76"/>
        <v>#DIV/0!</v>
      </c>
      <c r="AW86" s="66" t="e">
        <f t="shared" si="76"/>
        <v>#DIV/0!</v>
      </c>
      <c r="AX86" s="66" t="e">
        <f t="shared" si="76"/>
        <v>#DIV/0!</v>
      </c>
      <c r="AY86" s="66" t="e">
        <f>AX83*EXP((AY$4-AX$4)*-LN(2)/8.091)</f>
        <v>#DIV/0!</v>
      </c>
      <c r="AZ86" s="66" t="e">
        <f>AY83*EXP((AZ$4-AY$4)*-LN(2)/8.091)</f>
        <v>#DIV/0!</v>
      </c>
      <c r="BA86" s="66" t="e">
        <f>AZ83*EXP((BA$4-AZ$4)*-LN(2)/8.091)</f>
        <v>#DIV/0!</v>
      </c>
      <c r="BB86" s="66" t="e">
        <f>BA83*EXP((BB$4-BA$4)*-LN(2)/8.091)</f>
        <v>#DIV/0!</v>
      </c>
      <c r="BC86" s="120"/>
    </row>
    <row r="87" spans="1:55" ht="14.25" customHeight="1">
      <c r="A87" s="103"/>
      <c r="E87" s="83"/>
      <c r="I87" s="83"/>
      <c r="J87" s="97"/>
      <c r="K87" s="95" t="s">
        <v>35</v>
      </c>
      <c r="L87" s="73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95" t="s">
        <v>35</v>
      </c>
      <c r="AH87" s="135"/>
      <c r="AI87" s="67" t="e">
        <f t="shared" ref="AI87:BB87" si="77">AI83-AI86</f>
        <v>#DIV/0!</v>
      </c>
      <c r="AJ87" s="67" t="e">
        <f t="shared" si="77"/>
        <v>#DIV/0!</v>
      </c>
      <c r="AK87" s="67" t="e">
        <f t="shared" si="77"/>
        <v>#DIV/0!</v>
      </c>
      <c r="AL87" s="67" t="e">
        <f t="shared" si="77"/>
        <v>#DIV/0!</v>
      </c>
      <c r="AM87" s="67" t="e">
        <f t="shared" si="77"/>
        <v>#DIV/0!</v>
      </c>
      <c r="AN87" s="67" t="e">
        <f t="shared" si="77"/>
        <v>#DIV/0!</v>
      </c>
      <c r="AO87" s="67" t="e">
        <f t="shared" si="77"/>
        <v>#DIV/0!</v>
      </c>
      <c r="AP87" s="67" t="e">
        <f t="shared" si="77"/>
        <v>#DIV/0!</v>
      </c>
      <c r="AQ87" s="67" t="e">
        <f t="shared" si="77"/>
        <v>#DIV/0!</v>
      </c>
      <c r="AR87" s="67" t="e">
        <f t="shared" si="77"/>
        <v>#DIV/0!</v>
      </c>
      <c r="AS87" s="67" t="e">
        <f t="shared" si="77"/>
        <v>#DIV/0!</v>
      </c>
      <c r="AT87" s="67" t="e">
        <f t="shared" si="77"/>
        <v>#DIV/0!</v>
      </c>
      <c r="AU87" s="67" t="e">
        <f t="shared" si="77"/>
        <v>#DIV/0!</v>
      </c>
      <c r="AV87" s="67" t="e">
        <f t="shared" si="77"/>
        <v>#DIV/0!</v>
      </c>
      <c r="AW87" s="67" t="e">
        <f t="shared" si="77"/>
        <v>#DIV/0!</v>
      </c>
      <c r="AX87" s="67" t="e">
        <f t="shared" si="77"/>
        <v>#DIV/0!</v>
      </c>
      <c r="AY87" s="67" t="e">
        <f t="shared" si="77"/>
        <v>#DIV/0!</v>
      </c>
      <c r="AZ87" s="67" t="e">
        <f t="shared" si="77"/>
        <v>#DIV/0!</v>
      </c>
      <c r="BA87" s="67" t="e">
        <f t="shared" si="77"/>
        <v>#DIV/0!</v>
      </c>
      <c r="BB87" s="67" t="e">
        <f t="shared" si="77"/>
        <v>#DIV/0!</v>
      </c>
      <c r="BC87" s="120"/>
    </row>
    <row r="88" spans="1:55" ht="14.25" customHeight="1">
      <c r="A88" s="103"/>
      <c r="E88" s="83"/>
      <c r="I88" s="83"/>
      <c r="J88" s="97"/>
      <c r="K88" s="95" t="s">
        <v>49</v>
      </c>
      <c r="L88" s="73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95" t="s">
        <v>49</v>
      </c>
      <c r="AH88" s="135" t="e">
        <f>AH83/AH$29</f>
        <v>#DIV/0!</v>
      </c>
      <c r="AI88" s="67" t="e">
        <f>AI83/AI$29</f>
        <v>#DIV/0!</v>
      </c>
      <c r="AJ88" s="67" t="e">
        <f>AJ83/AJ$29</f>
        <v>#DIV/0!</v>
      </c>
      <c r="AK88" s="67" t="e">
        <f t="shared" ref="AK88:AX88" si="78">AK83/AK$29</f>
        <v>#DIV/0!</v>
      </c>
      <c r="AL88" s="67" t="e">
        <f t="shared" si="78"/>
        <v>#DIV/0!</v>
      </c>
      <c r="AM88" s="67" t="e">
        <f t="shared" si="78"/>
        <v>#DIV/0!</v>
      </c>
      <c r="AN88" s="67" t="e">
        <f t="shared" si="78"/>
        <v>#DIV/0!</v>
      </c>
      <c r="AO88" s="67" t="e">
        <f t="shared" si="78"/>
        <v>#DIV/0!</v>
      </c>
      <c r="AP88" s="67" t="e">
        <f t="shared" si="78"/>
        <v>#DIV/0!</v>
      </c>
      <c r="AQ88" s="67" t="e">
        <f t="shared" si="78"/>
        <v>#DIV/0!</v>
      </c>
      <c r="AR88" s="67" t="e">
        <f t="shared" si="78"/>
        <v>#DIV/0!</v>
      </c>
      <c r="AS88" s="67" t="e">
        <f t="shared" si="78"/>
        <v>#DIV/0!</v>
      </c>
      <c r="AT88" s="67" t="e">
        <f t="shared" si="78"/>
        <v>#DIV/0!</v>
      </c>
      <c r="AU88" s="67" t="e">
        <f t="shared" si="78"/>
        <v>#DIV/0!</v>
      </c>
      <c r="AV88" s="67" t="e">
        <f t="shared" si="78"/>
        <v>#DIV/0!</v>
      </c>
      <c r="AW88" s="67" t="e">
        <f t="shared" si="78"/>
        <v>#DIV/0!</v>
      </c>
      <c r="AX88" s="67" t="e">
        <f t="shared" si="78"/>
        <v>#DIV/0!</v>
      </c>
      <c r="AY88" s="67" t="e">
        <f>AY83/AY$29</f>
        <v>#DIV/0!</v>
      </c>
      <c r="AZ88" s="67" t="e">
        <f>AZ83/AZ$29</f>
        <v>#DIV/0!</v>
      </c>
      <c r="BA88" s="67" t="e">
        <f>BA83/BA$29</f>
        <v>#DIV/0!</v>
      </c>
      <c r="BB88" s="67" t="e">
        <f>BB83/BB$29</f>
        <v>#DIV/0!</v>
      </c>
      <c r="BC88" s="120"/>
    </row>
    <row r="89" spans="1:55" ht="15">
      <c r="A89" s="103"/>
      <c r="E89" s="45"/>
      <c r="I89" s="45"/>
      <c r="K89" s="123"/>
      <c r="AG89" s="122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136"/>
    </row>
    <row r="90" spans="1:55" ht="14.25" customHeight="1">
      <c r="A90" s="103"/>
      <c r="E90" s="108" t="str">
        <f>'NAB_PTX Groups'!C14</f>
        <v>Group 9</v>
      </c>
      <c r="I90" s="108" t="str">
        <f>E90</f>
        <v>Group 9</v>
      </c>
      <c r="J90" s="97" t="e">
        <f>AVERAGEIF($E$5:$E$27,$E90,J$5:J$27)</f>
        <v>#DIV/0!</v>
      </c>
      <c r="K90" s="96" t="s">
        <v>9</v>
      </c>
      <c r="L90" s="71" t="e">
        <f t="shared" ref="L90:AF90" si="79">AVERAGEIF($E$5:$E$27,$E90,L$5:L$27)</f>
        <v>#DIV/0!</v>
      </c>
      <c r="M90" s="71" t="e">
        <f t="shared" si="79"/>
        <v>#DIV/0!</v>
      </c>
      <c r="N90" s="71" t="e">
        <f t="shared" si="79"/>
        <v>#DIV/0!</v>
      </c>
      <c r="O90" s="71" t="e">
        <f t="shared" si="79"/>
        <v>#DIV/0!</v>
      </c>
      <c r="P90" s="71" t="e">
        <f t="shared" si="79"/>
        <v>#DIV/0!</v>
      </c>
      <c r="Q90" s="71" t="e">
        <f t="shared" si="79"/>
        <v>#DIV/0!</v>
      </c>
      <c r="R90" s="71" t="e">
        <f t="shared" si="79"/>
        <v>#DIV/0!</v>
      </c>
      <c r="S90" s="71" t="e">
        <f t="shared" si="79"/>
        <v>#DIV/0!</v>
      </c>
      <c r="T90" s="71" t="e">
        <f t="shared" si="79"/>
        <v>#DIV/0!</v>
      </c>
      <c r="U90" s="71" t="e">
        <f t="shared" si="79"/>
        <v>#DIV/0!</v>
      </c>
      <c r="V90" s="71" t="e">
        <f t="shared" si="79"/>
        <v>#DIV/0!</v>
      </c>
      <c r="W90" s="71" t="e">
        <f t="shared" si="79"/>
        <v>#DIV/0!</v>
      </c>
      <c r="X90" s="71" t="e">
        <f t="shared" si="79"/>
        <v>#DIV/0!</v>
      </c>
      <c r="Y90" s="71" t="e">
        <f t="shared" si="79"/>
        <v>#DIV/0!</v>
      </c>
      <c r="Z90" s="71" t="e">
        <f t="shared" si="79"/>
        <v>#DIV/0!</v>
      </c>
      <c r="AA90" s="71" t="e">
        <f t="shared" si="79"/>
        <v>#DIV/0!</v>
      </c>
      <c r="AB90" s="71" t="e">
        <f t="shared" si="79"/>
        <v>#DIV/0!</v>
      </c>
      <c r="AC90" s="71" t="e">
        <f t="shared" si="79"/>
        <v>#DIV/0!</v>
      </c>
      <c r="AD90" s="71" t="e">
        <f t="shared" si="79"/>
        <v>#DIV/0!</v>
      </c>
      <c r="AE90" s="71" t="e">
        <f t="shared" si="79"/>
        <v>#DIV/0!</v>
      </c>
      <c r="AF90" s="71" t="e">
        <f t="shared" si="79"/>
        <v>#DIV/0!</v>
      </c>
      <c r="AG90" s="126" t="s">
        <v>9</v>
      </c>
      <c r="AH90" s="66" t="e">
        <f t="shared" ref="AH90:BB90" si="80">AVERAGEIF($E$5:$E$27,$E90,AH$5:AH$27)</f>
        <v>#DIV/0!</v>
      </c>
      <c r="AI90" s="66" t="e">
        <f t="shared" si="80"/>
        <v>#DIV/0!</v>
      </c>
      <c r="AJ90" s="66" t="e">
        <f t="shared" si="80"/>
        <v>#DIV/0!</v>
      </c>
      <c r="AK90" s="66" t="e">
        <f t="shared" si="80"/>
        <v>#DIV/0!</v>
      </c>
      <c r="AL90" s="66" t="e">
        <f t="shared" si="80"/>
        <v>#DIV/0!</v>
      </c>
      <c r="AM90" s="66" t="e">
        <f t="shared" si="80"/>
        <v>#DIV/0!</v>
      </c>
      <c r="AN90" s="66" t="e">
        <f t="shared" si="80"/>
        <v>#DIV/0!</v>
      </c>
      <c r="AO90" s="66" t="e">
        <f t="shared" si="80"/>
        <v>#DIV/0!</v>
      </c>
      <c r="AP90" s="66" t="e">
        <f t="shared" si="80"/>
        <v>#DIV/0!</v>
      </c>
      <c r="AQ90" s="66" t="e">
        <f t="shared" si="80"/>
        <v>#DIV/0!</v>
      </c>
      <c r="AR90" s="66" t="e">
        <f t="shared" si="80"/>
        <v>#DIV/0!</v>
      </c>
      <c r="AS90" s="66" t="e">
        <f t="shared" si="80"/>
        <v>#DIV/0!</v>
      </c>
      <c r="AT90" s="66" t="e">
        <f t="shared" si="80"/>
        <v>#DIV/0!</v>
      </c>
      <c r="AU90" s="66" t="e">
        <f t="shared" si="80"/>
        <v>#DIV/0!</v>
      </c>
      <c r="AV90" s="66" t="e">
        <f t="shared" si="80"/>
        <v>#DIV/0!</v>
      </c>
      <c r="AW90" s="66" t="e">
        <f t="shared" si="80"/>
        <v>#DIV/0!</v>
      </c>
      <c r="AX90" s="66" t="e">
        <f t="shared" si="80"/>
        <v>#DIV/0!</v>
      </c>
      <c r="AY90" s="66" t="e">
        <f t="shared" si="80"/>
        <v>#DIV/0!</v>
      </c>
      <c r="AZ90" s="66" t="e">
        <f t="shared" si="80"/>
        <v>#DIV/0!</v>
      </c>
      <c r="BA90" s="66" t="e">
        <f t="shared" si="80"/>
        <v>#DIV/0!</v>
      </c>
      <c r="BB90" s="66" t="e">
        <f t="shared" si="80"/>
        <v>#DIV/0!</v>
      </c>
      <c r="BC90" s="69"/>
    </row>
    <row r="91" spans="1:55" ht="14.25" customHeight="1">
      <c r="A91" s="103"/>
      <c r="E91" s="83"/>
      <c r="I91" s="83"/>
      <c r="J91" s="97" t="e">
        <f t="array" ref="J91">_xlfn.STDEV.P(IF($E$5:$E$27=$E90,J$5:J$27))</f>
        <v>#DIV/0!</v>
      </c>
      <c r="K91" s="96" t="s">
        <v>11</v>
      </c>
      <c r="L91" s="74" t="e">
        <f t="array" ref="L91">_xlfn.STDEV.P(IF($E$5:$E$27=$E90,L$5:L$27))</f>
        <v>#DIV/0!</v>
      </c>
      <c r="M91" s="74" t="e">
        <f t="array" ref="M91">_xlfn.STDEV.P(IF($E$5:$E$27=$E90,M$5:M$27))</f>
        <v>#DIV/0!</v>
      </c>
      <c r="N91" s="74" t="e">
        <f t="array" ref="N91">_xlfn.STDEV.P(IF($E$5:$E$27=$E90,N$5:N$27))</f>
        <v>#DIV/0!</v>
      </c>
      <c r="O91" s="74" t="e">
        <f t="array" ref="O91">_xlfn.STDEV.P(IF($E$5:$E$27=$E90,O$5:O$27))</f>
        <v>#DIV/0!</v>
      </c>
      <c r="P91" s="74" t="e">
        <f t="array" ref="P91">_xlfn.STDEV.P(IF($E$5:$E$27=$E90,P$5:P$27))</f>
        <v>#DIV/0!</v>
      </c>
      <c r="Q91" s="74" t="e">
        <f t="array" ref="Q91">_xlfn.STDEV.P(IF($E$5:$E$27=$E90,Q$5:Q$27))</f>
        <v>#DIV/0!</v>
      </c>
      <c r="R91" s="74" t="e">
        <f t="array" ref="R91">_xlfn.STDEV.P(IF($E$5:$E$27=$E90,R$5:R$27))</f>
        <v>#DIV/0!</v>
      </c>
      <c r="S91" s="74" t="e">
        <f t="array" ref="S91">_xlfn.STDEV.P(IF($E$5:$E$27=$E90,S$5:S$27))</f>
        <v>#DIV/0!</v>
      </c>
      <c r="T91" s="74" t="e">
        <f t="array" ref="T91">_xlfn.STDEV.P(IF($E$5:$E$27=$E90,T$5:T$27))</f>
        <v>#DIV/0!</v>
      </c>
      <c r="U91" s="74" t="e">
        <f t="array" ref="U91">_xlfn.STDEV.P(IF($E$5:$E$27=$E90,U$5:U$27))</f>
        <v>#DIV/0!</v>
      </c>
      <c r="V91" s="74" t="e">
        <f t="array" ref="V91">_xlfn.STDEV.P(IF($E$5:$E$27=$E90,V$5:V$27))</f>
        <v>#DIV/0!</v>
      </c>
      <c r="W91" s="74" t="e">
        <f t="array" ref="W91">_xlfn.STDEV.P(IF($E$5:$E$27=$E90,W$5:W$27))</f>
        <v>#DIV/0!</v>
      </c>
      <c r="X91" s="74" t="e">
        <f t="array" ref="X91">_xlfn.STDEV.P(IF($E$5:$E$27=$E90,X$5:X$27))</f>
        <v>#DIV/0!</v>
      </c>
      <c r="Y91" s="74" t="e">
        <f t="array" ref="Y91">_xlfn.STDEV.P(IF($E$5:$E$27=$E90,Y$5:Y$27))</f>
        <v>#DIV/0!</v>
      </c>
      <c r="Z91" s="74" t="e">
        <f t="array" ref="Z91">_xlfn.STDEV.P(IF($E$5:$E$27=$E90,Z$5:Z$27))</f>
        <v>#DIV/0!</v>
      </c>
      <c r="AA91" s="74" t="e">
        <f t="array" ref="AA91">_xlfn.STDEV.P(IF($E$5:$E$27=$E90,AA$5:AA$27))</f>
        <v>#DIV/0!</v>
      </c>
      <c r="AB91" s="74" t="e">
        <f t="array" ref="AB91">_xlfn.STDEV.P(IF($E$5:$E$27=$E90,AB$5:AB$27))</f>
        <v>#DIV/0!</v>
      </c>
      <c r="AC91" s="74" t="e">
        <f t="array" ref="AC91">_xlfn.STDEV.P(IF($E$5:$E$27=$E90,AC$5:AC$27))</f>
        <v>#DIV/0!</v>
      </c>
      <c r="AD91" s="74" t="e">
        <f t="array" ref="AD91">_xlfn.STDEV.P(IF($E$5:$E$27=$E90,AD$5:AD$27))</f>
        <v>#DIV/0!</v>
      </c>
      <c r="AE91" s="74" t="e">
        <f t="array" ref="AE91">_xlfn.STDEV.P(IF($E$5:$E$27=$E90,AE$5:AE$27))</f>
        <v>#DIV/0!</v>
      </c>
      <c r="AF91" s="74" t="e">
        <f t="array" ref="AF91">_xlfn.STDEV.P(IF($E$5:$E$27=$E90,AF$5:AF$27))</f>
        <v>#DIV/0!</v>
      </c>
      <c r="AG91" s="127" t="s">
        <v>11</v>
      </c>
      <c r="AH91" s="67" t="e">
        <f t="array" ref="AH91">_xlfn.STDEV.P(IF($E$5:$E$27=$E90,AH$5:AH$27))</f>
        <v>#DIV/0!</v>
      </c>
      <c r="AI91" s="67" t="e">
        <f t="array" ref="AI91">_xlfn.STDEV.P(IF($E$5:$E$27=$E90,AI$5:AI$27))</f>
        <v>#DIV/0!</v>
      </c>
      <c r="AJ91" s="67" t="e">
        <f t="array" ref="AJ91">_xlfn.STDEV.P(IF($E$5:$E$27=$E90,AJ$5:AJ$27))</f>
        <v>#DIV/0!</v>
      </c>
      <c r="AK91" s="67" t="e">
        <f t="array" ref="AK91">_xlfn.STDEV.P(IF($E$5:$E$27=$E90,AK$5:AK$27))</f>
        <v>#DIV/0!</v>
      </c>
      <c r="AL91" s="67" t="e">
        <f t="array" ref="AL91">_xlfn.STDEV.P(IF($E$5:$E$27=$E90,AL$5:AL$27))</f>
        <v>#DIV/0!</v>
      </c>
      <c r="AM91" s="67" t="e">
        <f t="array" ref="AM91">_xlfn.STDEV.P(IF($E$5:$E$27=$E90,AM$5:AM$27))</f>
        <v>#DIV/0!</v>
      </c>
      <c r="AN91" s="67" t="e">
        <f t="array" ref="AN91">_xlfn.STDEV.P(IF($E$5:$E$27=$E90,AN$5:AN$27))</f>
        <v>#DIV/0!</v>
      </c>
      <c r="AO91" s="67" t="e">
        <f t="array" ref="AO91">_xlfn.STDEV.P(IF($E$5:$E$27=$E90,AO$5:AO$27))</f>
        <v>#DIV/0!</v>
      </c>
      <c r="AP91" s="67" t="e">
        <f t="array" ref="AP91">_xlfn.STDEV.P(IF($E$5:$E$27=$E90,AP$5:AP$27))</f>
        <v>#DIV/0!</v>
      </c>
      <c r="AQ91" s="67" t="e">
        <f t="array" ref="AQ91">_xlfn.STDEV.P(IF($E$5:$E$27=$E90,AQ$5:AQ$27))</f>
        <v>#DIV/0!</v>
      </c>
      <c r="AR91" s="67" t="e">
        <f t="array" ref="AR91">_xlfn.STDEV.P(IF($E$5:$E$27=$E90,AR$5:AR$27))</f>
        <v>#DIV/0!</v>
      </c>
      <c r="AS91" s="67" t="e">
        <f t="array" ref="AS91">_xlfn.STDEV.P(IF($E$5:$E$27=$E90,AS$5:AS$27))</f>
        <v>#DIV/0!</v>
      </c>
      <c r="AT91" s="67" t="e">
        <f t="array" ref="AT91">_xlfn.STDEV.P(IF($E$5:$E$27=$E90,AT$5:AT$27))</f>
        <v>#DIV/0!</v>
      </c>
      <c r="AU91" s="67" t="e">
        <f t="array" ref="AU91">_xlfn.STDEV.P(IF($E$5:$E$27=$E90,AU$5:AU$27))</f>
        <v>#DIV/0!</v>
      </c>
      <c r="AV91" s="67" t="e">
        <f t="array" ref="AV91">_xlfn.STDEV.P(IF($E$5:$E$27=$E90,AV$5:AV$27))</f>
        <v>#DIV/0!</v>
      </c>
      <c r="AW91" s="67" t="e">
        <f t="array" ref="AW91">_xlfn.STDEV.P(IF($E$5:$E$27=$E90,AW$5:AW$27))</f>
        <v>#DIV/0!</v>
      </c>
      <c r="AX91" s="67" t="e">
        <f t="array" ref="AX91">_xlfn.STDEV.P(IF($E$5:$E$27=$E90,AX$5:AX$27))</f>
        <v>#DIV/0!</v>
      </c>
      <c r="AY91" s="67" t="e">
        <f t="array" ref="AY91">_xlfn.STDEV.P(IF($E$5:$E$27=$E90,AY$5:AY$27))</f>
        <v>#DIV/0!</v>
      </c>
      <c r="AZ91" s="67" t="e">
        <f t="array" ref="AZ91">_xlfn.STDEV.P(IF($E$5:$E$27=$E90,AZ$5:AZ$27))</f>
        <v>#DIV/0!</v>
      </c>
      <c r="BA91" s="67" t="e">
        <f t="array" ref="BA91">_xlfn.STDEV.P(IF($E$5:$E$27=$E90,BA$5:BA$27))</f>
        <v>#DIV/0!</v>
      </c>
      <c r="BB91" s="67" t="e">
        <f t="array" ref="BB91">_xlfn.STDEV.P(IF($E$5:$E$27=$E90,BB$5:BB$27))</f>
        <v>#DIV/0!</v>
      </c>
      <c r="BC91" s="69"/>
    </row>
    <row r="92" spans="1:55" ht="14.25" customHeight="1">
      <c r="A92" s="103"/>
      <c r="E92" s="83"/>
      <c r="I92" s="83"/>
      <c r="J92" s="97"/>
      <c r="K92" s="121" t="s">
        <v>34</v>
      </c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121" t="s">
        <v>34</v>
      </c>
      <c r="AH92" s="66" t="e">
        <f>AH90-AH$29</f>
        <v>#DIV/0!</v>
      </c>
      <c r="AI92" s="66" t="e">
        <f>AI90-AI$29</f>
        <v>#DIV/0!</v>
      </c>
      <c r="AJ92" s="66" t="e">
        <f t="shared" ref="AJ92:AX92" si="81">AJ90-AJ$29</f>
        <v>#DIV/0!</v>
      </c>
      <c r="AK92" s="66" t="e">
        <f t="shared" si="81"/>
        <v>#DIV/0!</v>
      </c>
      <c r="AL92" s="66" t="e">
        <f t="shared" si="81"/>
        <v>#DIV/0!</v>
      </c>
      <c r="AM92" s="66" t="e">
        <f t="shared" si="81"/>
        <v>#DIV/0!</v>
      </c>
      <c r="AN92" s="66" t="e">
        <f t="shared" si="81"/>
        <v>#DIV/0!</v>
      </c>
      <c r="AO92" s="66" t="e">
        <f t="shared" si="81"/>
        <v>#DIV/0!</v>
      </c>
      <c r="AP92" s="66" t="e">
        <f t="shared" si="81"/>
        <v>#DIV/0!</v>
      </c>
      <c r="AQ92" s="66" t="e">
        <f t="shared" si="81"/>
        <v>#DIV/0!</v>
      </c>
      <c r="AR92" s="66" t="e">
        <f t="shared" si="81"/>
        <v>#DIV/0!</v>
      </c>
      <c r="AS92" s="66" t="e">
        <f t="shared" si="81"/>
        <v>#DIV/0!</v>
      </c>
      <c r="AT92" s="66" t="e">
        <f t="shared" si="81"/>
        <v>#DIV/0!</v>
      </c>
      <c r="AU92" s="66" t="e">
        <f t="shared" si="81"/>
        <v>#DIV/0!</v>
      </c>
      <c r="AV92" s="66" t="e">
        <f t="shared" si="81"/>
        <v>#DIV/0!</v>
      </c>
      <c r="AW92" s="66" t="e">
        <f t="shared" si="81"/>
        <v>#DIV/0!</v>
      </c>
      <c r="AX92" s="66" t="e">
        <f t="shared" si="81"/>
        <v>#DIV/0!</v>
      </c>
      <c r="AY92" s="66" t="e">
        <f>AY90-AY$29</f>
        <v>#DIV/0!</v>
      </c>
      <c r="AZ92" s="66" t="e">
        <f>AZ90-AZ$29</f>
        <v>#DIV/0!</v>
      </c>
      <c r="BA92" s="66" t="e">
        <f>BA90-BA$29</f>
        <v>#DIV/0!</v>
      </c>
      <c r="BB92" s="66" t="e">
        <f>BB90-BB$29</f>
        <v>#DIV/0!</v>
      </c>
      <c r="BC92" s="120"/>
    </row>
    <row r="93" spans="1:55" ht="14.25" customHeight="1">
      <c r="A93" s="103"/>
      <c r="E93" s="83"/>
      <c r="I93" s="83"/>
      <c r="J93" s="97"/>
      <c r="K93" s="95" t="s">
        <v>48</v>
      </c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95" t="s">
        <v>48</v>
      </c>
      <c r="AH93" s="66"/>
      <c r="AI93" s="66" t="e">
        <f>AH90*EXP((AI$4-AH$4)*-LN(2)/8.091)</f>
        <v>#DIV/0!</v>
      </c>
      <c r="AJ93" s="66" t="e">
        <f>AI90*EXP((AJ$4-AI$4)*-LN(2)/8.091)</f>
        <v>#DIV/0!</v>
      </c>
      <c r="AK93" s="66" t="e">
        <f t="shared" ref="AK93:AX93" si="82">AJ90*EXP((AK$4-AJ$4)*-LN(2)/8.091)</f>
        <v>#DIV/0!</v>
      </c>
      <c r="AL93" s="66" t="e">
        <f t="shared" si="82"/>
        <v>#DIV/0!</v>
      </c>
      <c r="AM93" s="66" t="e">
        <f t="shared" si="82"/>
        <v>#DIV/0!</v>
      </c>
      <c r="AN93" s="66" t="e">
        <f t="shared" si="82"/>
        <v>#DIV/0!</v>
      </c>
      <c r="AO93" s="66" t="e">
        <f t="shared" si="82"/>
        <v>#DIV/0!</v>
      </c>
      <c r="AP93" s="66" t="e">
        <f t="shared" si="82"/>
        <v>#DIV/0!</v>
      </c>
      <c r="AQ93" s="66" t="e">
        <f t="shared" si="82"/>
        <v>#DIV/0!</v>
      </c>
      <c r="AR93" s="66" t="e">
        <f t="shared" si="82"/>
        <v>#DIV/0!</v>
      </c>
      <c r="AS93" s="66" t="e">
        <f t="shared" si="82"/>
        <v>#DIV/0!</v>
      </c>
      <c r="AT93" s="66" t="e">
        <f t="shared" si="82"/>
        <v>#DIV/0!</v>
      </c>
      <c r="AU93" s="66" t="e">
        <f t="shared" si="82"/>
        <v>#DIV/0!</v>
      </c>
      <c r="AV93" s="66" t="e">
        <f t="shared" si="82"/>
        <v>#DIV/0!</v>
      </c>
      <c r="AW93" s="66" t="e">
        <f t="shared" si="82"/>
        <v>#DIV/0!</v>
      </c>
      <c r="AX93" s="66" t="e">
        <f t="shared" si="82"/>
        <v>#DIV/0!</v>
      </c>
      <c r="AY93" s="66" t="e">
        <f>AX90*EXP((AY$4-AX$4)*-LN(2)/8.091)</f>
        <v>#DIV/0!</v>
      </c>
      <c r="AZ93" s="66" t="e">
        <f>AY90*EXP((AZ$4-AY$4)*-LN(2)/8.091)</f>
        <v>#DIV/0!</v>
      </c>
      <c r="BA93" s="66" t="e">
        <f>AZ90*EXP((BA$4-AZ$4)*-LN(2)/8.091)</f>
        <v>#DIV/0!</v>
      </c>
      <c r="BB93" s="66" t="e">
        <f>BA90*EXP((BB$4-BA$4)*-LN(2)/8.091)</f>
        <v>#DIV/0!</v>
      </c>
      <c r="BC93" s="120"/>
    </row>
    <row r="94" spans="1:55" ht="14.25" customHeight="1">
      <c r="A94" s="103"/>
      <c r="E94" s="83"/>
      <c r="I94" s="83"/>
      <c r="J94" s="97"/>
      <c r="K94" s="95" t="s">
        <v>35</v>
      </c>
      <c r="L94" s="73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95" t="s">
        <v>35</v>
      </c>
      <c r="AH94" s="135"/>
      <c r="AI94" s="67" t="e">
        <f t="shared" ref="AI94:BB94" si="83">AI90-AI93</f>
        <v>#DIV/0!</v>
      </c>
      <c r="AJ94" s="67" t="e">
        <f t="shared" si="83"/>
        <v>#DIV/0!</v>
      </c>
      <c r="AK94" s="67" t="e">
        <f t="shared" si="83"/>
        <v>#DIV/0!</v>
      </c>
      <c r="AL94" s="67" t="e">
        <f t="shared" si="83"/>
        <v>#DIV/0!</v>
      </c>
      <c r="AM94" s="67" t="e">
        <f t="shared" si="83"/>
        <v>#DIV/0!</v>
      </c>
      <c r="AN94" s="67" t="e">
        <f t="shared" si="83"/>
        <v>#DIV/0!</v>
      </c>
      <c r="AO94" s="67" t="e">
        <f t="shared" si="83"/>
        <v>#DIV/0!</v>
      </c>
      <c r="AP94" s="67" t="e">
        <f t="shared" si="83"/>
        <v>#DIV/0!</v>
      </c>
      <c r="AQ94" s="67" t="e">
        <f t="shared" si="83"/>
        <v>#DIV/0!</v>
      </c>
      <c r="AR94" s="67" t="e">
        <f t="shared" si="83"/>
        <v>#DIV/0!</v>
      </c>
      <c r="AS94" s="67" t="e">
        <f t="shared" si="83"/>
        <v>#DIV/0!</v>
      </c>
      <c r="AT94" s="67" t="e">
        <f t="shared" si="83"/>
        <v>#DIV/0!</v>
      </c>
      <c r="AU94" s="67" t="e">
        <f t="shared" si="83"/>
        <v>#DIV/0!</v>
      </c>
      <c r="AV94" s="67" t="e">
        <f t="shared" si="83"/>
        <v>#DIV/0!</v>
      </c>
      <c r="AW94" s="67" t="e">
        <f t="shared" si="83"/>
        <v>#DIV/0!</v>
      </c>
      <c r="AX94" s="67" t="e">
        <f t="shared" si="83"/>
        <v>#DIV/0!</v>
      </c>
      <c r="AY94" s="67" t="e">
        <f t="shared" si="83"/>
        <v>#DIV/0!</v>
      </c>
      <c r="AZ94" s="67" t="e">
        <f t="shared" si="83"/>
        <v>#DIV/0!</v>
      </c>
      <c r="BA94" s="67" t="e">
        <f t="shared" si="83"/>
        <v>#DIV/0!</v>
      </c>
      <c r="BB94" s="67" t="e">
        <f t="shared" si="83"/>
        <v>#DIV/0!</v>
      </c>
      <c r="BC94" s="120"/>
    </row>
    <row r="95" spans="1:55" ht="14.25" customHeight="1">
      <c r="A95" s="103"/>
      <c r="E95" s="83"/>
      <c r="I95" s="83"/>
      <c r="J95" s="97"/>
      <c r="K95" s="95" t="s">
        <v>49</v>
      </c>
      <c r="L95" s="73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95" t="s">
        <v>49</v>
      </c>
      <c r="AH95" s="135" t="e">
        <f>AH90/AH$29</f>
        <v>#DIV/0!</v>
      </c>
      <c r="AI95" s="67" t="e">
        <f>AI90/AI$29</f>
        <v>#DIV/0!</v>
      </c>
      <c r="AJ95" s="67" t="e">
        <f>AJ90/AJ$29</f>
        <v>#DIV/0!</v>
      </c>
      <c r="AK95" s="67" t="e">
        <f t="shared" ref="AK95:AX95" si="84">AK90/AK$29</f>
        <v>#DIV/0!</v>
      </c>
      <c r="AL95" s="67" t="e">
        <f t="shared" si="84"/>
        <v>#DIV/0!</v>
      </c>
      <c r="AM95" s="67" t="e">
        <f t="shared" si="84"/>
        <v>#DIV/0!</v>
      </c>
      <c r="AN95" s="67" t="e">
        <f t="shared" si="84"/>
        <v>#DIV/0!</v>
      </c>
      <c r="AO95" s="67" t="e">
        <f t="shared" si="84"/>
        <v>#DIV/0!</v>
      </c>
      <c r="AP95" s="67" t="e">
        <f t="shared" si="84"/>
        <v>#DIV/0!</v>
      </c>
      <c r="AQ95" s="67" t="e">
        <f t="shared" si="84"/>
        <v>#DIV/0!</v>
      </c>
      <c r="AR95" s="67" t="e">
        <f t="shared" si="84"/>
        <v>#DIV/0!</v>
      </c>
      <c r="AS95" s="67" t="e">
        <f t="shared" si="84"/>
        <v>#DIV/0!</v>
      </c>
      <c r="AT95" s="67" t="e">
        <f t="shared" si="84"/>
        <v>#DIV/0!</v>
      </c>
      <c r="AU95" s="67" t="e">
        <f t="shared" si="84"/>
        <v>#DIV/0!</v>
      </c>
      <c r="AV95" s="67" t="e">
        <f t="shared" si="84"/>
        <v>#DIV/0!</v>
      </c>
      <c r="AW95" s="67" t="e">
        <f t="shared" si="84"/>
        <v>#DIV/0!</v>
      </c>
      <c r="AX95" s="67" t="e">
        <f t="shared" si="84"/>
        <v>#DIV/0!</v>
      </c>
      <c r="AY95" s="67" t="e">
        <f>AY90/AY$29</f>
        <v>#DIV/0!</v>
      </c>
      <c r="AZ95" s="67" t="e">
        <f>AZ90/AZ$29</f>
        <v>#DIV/0!</v>
      </c>
      <c r="BA95" s="67" t="e">
        <f>BA90/BA$29</f>
        <v>#DIV/0!</v>
      </c>
      <c r="BB95" s="67" t="e">
        <f>BB90/BB$29</f>
        <v>#DIV/0!</v>
      </c>
      <c r="BC95" s="120"/>
    </row>
    <row r="96" spans="1:55" ht="15">
      <c r="A96" s="103"/>
      <c r="E96" s="45"/>
      <c r="I96" s="45"/>
      <c r="K96" s="123"/>
      <c r="AG96" s="122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136"/>
    </row>
    <row r="97" spans="1:55" ht="14.25" customHeight="1">
      <c r="A97" s="103"/>
      <c r="E97" s="108" t="str">
        <f>'NAB_PTX Groups'!C15</f>
        <v>Group 10</v>
      </c>
      <c r="I97" s="108" t="str">
        <f>E97</f>
        <v>Group 10</v>
      </c>
      <c r="J97" s="97" t="e">
        <f>AVERAGEIF($E$5:$E$27,$E97,J$5:J$27)</f>
        <v>#DIV/0!</v>
      </c>
      <c r="K97" s="96" t="s">
        <v>9</v>
      </c>
      <c r="L97" s="71" t="e">
        <f t="shared" ref="L97:AF97" si="85">AVERAGEIF($E$5:$E$27,$E97,L$5:L$27)</f>
        <v>#DIV/0!</v>
      </c>
      <c r="M97" s="71" t="e">
        <f t="shared" si="85"/>
        <v>#DIV/0!</v>
      </c>
      <c r="N97" s="71" t="e">
        <f t="shared" si="85"/>
        <v>#DIV/0!</v>
      </c>
      <c r="O97" s="71" t="e">
        <f t="shared" si="85"/>
        <v>#DIV/0!</v>
      </c>
      <c r="P97" s="71" t="e">
        <f t="shared" si="85"/>
        <v>#DIV/0!</v>
      </c>
      <c r="Q97" s="71" t="e">
        <f t="shared" si="85"/>
        <v>#DIV/0!</v>
      </c>
      <c r="R97" s="71" t="e">
        <f t="shared" si="85"/>
        <v>#DIV/0!</v>
      </c>
      <c r="S97" s="71" t="e">
        <f t="shared" si="85"/>
        <v>#DIV/0!</v>
      </c>
      <c r="T97" s="71" t="e">
        <f t="shared" si="85"/>
        <v>#DIV/0!</v>
      </c>
      <c r="U97" s="71" t="e">
        <f t="shared" si="85"/>
        <v>#DIV/0!</v>
      </c>
      <c r="V97" s="71" t="e">
        <f t="shared" si="85"/>
        <v>#DIV/0!</v>
      </c>
      <c r="W97" s="71" t="e">
        <f t="shared" si="85"/>
        <v>#DIV/0!</v>
      </c>
      <c r="X97" s="71" t="e">
        <f t="shared" si="85"/>
        <v>#DIV/0!</v>
      </c>
      <c r="Y97" s="71" t="e">
        <f t="shared" si="85"/>
        <v>#DIV/0!</v>
      </c>
      <c r="Z97" s="71" t="e">
        <f t="shared" si="85"/>
        <v>#DIV/0!</v>
      </c>
      <c r="AA97" s="71" t="e">
        <f t="shared" si="85"/>
        <v>#DIV/0!</v>
      </c>
      <c r="AB97" s="71" t="e">
        <f t="shared" si="85"/>
        <v>#DIV/0!</v>
      </c>
      <c r="AC97" s="71" t="e">
        <f t="shared" si="85"/>
        <v>#DIV/0!</v>
      </c>
      <c r="AD97" s="71" t="e">
        <f t="shared" si="85"/>
        <v>#DIV/0!</v>
      </c>
      <c r="AE97" s="71" t="e">
        <f t="shared" si="85"/>
        <v>#DIV/0!</v>
      </c>
      <c r="AF97" s="71" t="e">
        <f t="shared" si="85"/>
        <v>#DIV/0!</v>
      </c>
      <c r="AG97" s="126" t="s">
        <v>9</v>
      </c>
      <c r="AH97" s="66" t="e">
        <f t="shared" ref="AH97:BB97" si="86">AVERAGEIF($E$5:$E$27,$E97,AH$5:AH$27)</f>
        <v>#DIV/0!</v>
      </c>
      <c r="AI97" s="66" t="e">
        <f t="shared" si="86"/>
        <v>#DIV/0!</v>
      </c>
      <c r="AJ97" s="66" t="e">
        <f t="shared" si="86"/>
        <v>#DIV/0!</v>
      </c>
      <c r="AK97" s="66" t="e">
        <f t="shared" si="86"/>
        <v>#DIV/0!</v>
      </c>
      <c r="AL97" s="66" t="e">
        <f t="shared" si="86"/>
        <v>#DIV/0!</v>
      </c>
      <c r="AM97" s="66" t="e">
        <f t="shared" si="86"/>
        <v>#DIV/0!</v>
      </c>
      <c r="AN97" s="66" t="e">
        <f t="shared" si="86"/>
        <v>#DIV/0!</v>
      </c>
      <c r="AO97" s="66" t="e">
        <f t="shared" si="86"/>
        <v>#DIV/0!</v>
      </c>
      <c r="AP97" s="66" t="e">
        <f t="shared" si="86"/>
        <v>#DIV/0!</v>
      </c>
      <c r="AQ97" s="66" t="e">
        <f t="shared" si="86"/>
        <v>#DIV/0!</v>
      </c>
      <c r="AR97" s="66" t="e">
        <f t="shared" si="86"/>
        <v>#DIV/0!</v>
      </c>
      <c r="AS97" s="66" t="e">
        <f t="shared" si="86"/>
        <v>#DIV/0!</v>
      </c>
      <c r="AT97" s="66" t="e">
        <f t="shared" si="86"/>
        <v>#DIV/0!</v>
      </c>
      <c r="AU97" s="66" t="e">
        <f t="shared" si="86"/>
        <v>#DIV/0!</v>
      </c>
      <c r="AV97" s="66" t="e">
        <f t="shared" si="86"/>
        <v>#DIV/0!</v>
      </c>
      <c r="AW97" s="66" t="e">
        <f t="shared" si="86"/>
        <v>#DIV/0!</v>
      </c>
      <c r="AX97" s="66" t="e">
        <f t="shared" si="86"/>
        <v>#DIV/0!</v>
      </c>
      <c r="AY97" s="66" t="e">
        <f t="shared" si="86"/>
        <v>#DIV/0!</v>
      </c>
      <c r="AZ97" s="66" t="e">
        <f t="shared" si="86"/>
        <v>#DIV/0!</v>
      </c>
      <c r="BA97" s="66" t="e">
        <f t="shared" si="86"/>
        <v>#DIV/0!</v>
      </c>
      <c r="BB97" s="66" t="e">
        <f t="shared" si="86"/>
        <v>#DIV/0!</v>
      </c>
      <c r="BC97" s="69"/>
    </row>
    <row r="98" spans="1:55" ht="14.25" customHeight="1">
      <c r="A98" s="103"/>
      <c r="E98" s="83"/>
      <c r="I98" s="83"/>
      <c r="J98" s="97" t="e">
        <f t="array" ref="J98">_xlfn.STDEV.P(IF($E$5:$E$27=$E97,J$5:J$27))</f>
        <v>#DIV/0!</v>
      </c>
      <c r="K98" s="96" t="s">
        <v>11</v>
      </c>
      <c r="L98" s="74" t="e">
        <f t="array" ref="L98">_xlfn.STDEV.P(IF($E$5:$E$27=$E97,L$5:L$27))</f>
        <v>#DIV/0!</v>
      </c>
      <c r="M98" s="74" t="e">
        <f t="array" ref="M98">_xlfn.STDEV.P(IF($E$5:$E$27=$E97,M$5:M$27))</f>
        <v>#DIV/0!</v>
      </c>
      <c r="N98" s="74" t="e">
        <f t="array" ref="N98">_xlfn.STDEV.P(IF($E$5:$E$27=$E97,N$5:N$27))</f>
        <v>#DIV/0!</v>
      </c>
      <c r="O98" s="74" t="e">
        <f t="array" ref="O98">_xlfn.STDEV.P(IF($E$5:$E$27=$E97,O$5:O$27))</f>
        <v>#DIV/0!</v>
      </c>
      <c r="P98" s="74" t="e">
        <f t="array" ref="P98">_xlfn.STDEV.P(IF($E$5:$E$27=$E97,P$5:P$27))</f>
        <v>#DIV/0!</v>
      </c>
      <c r="Q98" s="74" t="e">
        <f t="array" ref="Q98">_xlfn.STDEV.P(IF($E$5:$E$27=$E97,Q$5:Q$27))</f>
        <v>#DIV/0!</v>
      </c>
      <c r="R98" s="74" t="e">
        <f t="array" ref="R98">_xlfn.STDEV.P(IF($E$5:$E$27=$E97,R$5:R$27))</f>
        <v>#DIV/0!</v>
      </c>
      <c r="S98" s="74" t="e">
        <f t="array" ref="S98">_xlfn.STDEV.P(IF($E$5:$E$27=$E97,S$5:S$27))</f>
        <v>#DIV/0!</v>
      </c>
      <c r="T98" s="74" t="e">
        <f t="array" ref="T98">_xlfn.STDEV.P(IF($E$5:$E$27=$E97,T$5:T$27))</f>
        <v>#DIV/0!</v>
      </c>
      <c r="U98" s="74" t="e">
        <f t="array" ref="U98">_xlfn.STDEV.P(IF($E$5:$E$27=$E97,U$5:U$27))</f>
        <v>#DIV/0!</v>
      </c>
      <c r="V98" s="74" t="e">
        <f t="array" ref="V98">_xlfn.STDEV.P(IF($E$5:$E$27=$E97,V$5:V$27))</f>
        <v>#DIV/0!</v>
      </c>
      <c r="W98" s="74" t="e">
        <f t="array" ref="W98">_xlfn.STDEV.P(IF($E$5:$E$27=$E97,W$5:W$27))</f>
        <v>#DIV/0!</v>
      </c>
      <c r="X98" s="74" t="e">
        <f t="array" ref="X98">_xlfn.STDEV.P(IF($E$5:$E$27=$E97,X$5:X$27))</f>
        <v>#DIV/0!</v>
      </c>
      <c r="Y98" s="74" t="e">
        <f t="array" ref="Y98">_xlfn.STDEV.P(IF($E$5:$E$27=$E97,Y$5:Y$27))</f>
        <v>#DIV/0!</v>
      </c>
      <c r="Z98" s="74" t="e">
        <f t="array" ref="Z98">_xlfn.STDEV.P(IF($E$5:$E$27=$E97,Z$5:Z$27))</f>
        <v>#DIV/0!</v>
      </c>
      <c r="AA98" s="74" t="e">
        <f t="array" ref="AA98">_xlfn.STDEV.P(IF($E$5:$E$27=$E97,AA$5:AA$27))</f>
        <v>#DIV/0!</v>
      </c>
      <c r="AB98" s="74" t="e">
        <f t="array" ref="AB98">_xlfn.STDEV.P(IF($E$5:$E$27=$E97,AB$5:AB$27))</f>
        <v>#DIV/0!</v>
      </c>
      <c r="AC98" s="74" t="e">
        <f t="array" ref="AC98">_xlfn.STDEV.P(IF($E$5:$E$27=$E97,AC$5:AC$27))</f>
        <v>#DIV/0!</v>
      </c>
      <c r="AD98" s="74" t="e">
        <f t="array" ref="AD98">_xlfn.STDEV.P(IF($E$5:$E$27=$E97,AD$5:AD$27))</f>
        <v>#DIV/0!</v>
      </c>
      <c r="AE98" s="74" t="e">
        <f t="array" ref="AE98">_xlfn.STDEV.P(IF($E$5:$E$27=$E97,AE$5:AE$27))</f>
        <v>#DIV/0!</v>
      </c>
      <c r="AF98" s="74" t="e">
        <f t="array" ref="AF98">_xlfn.STDEV.P(IF($E$5:$E$27=$E97,AF$5:AF$27))</f>
        <v>#DIV/0!</v>
      </c>
      <c r="AG98" s="127" t="s">
        <v>11</v>
      </c>
      <c r="AH98" s="67" t="e">
        <f t="array" ref="AH98">_xlfn.STDEV.P(IF($E$5:$E$27=$E97,AH$5:AH$27))</f>
        <v>#DIV/0!</v>
      </c>
      <c r="AI98" s="67" t="e">
        <f t="array" ref="AI98">_xlfn.STDEV.P(IF($E$5:$E$27=$E97,AI$5:AI$27))</f>
        <v>#DIV/0!</v>
      </c>
      <c r="AJ98" s="67" t="e">
        <f t="array" ref="AJ98">_xlfn.STDEV.P(IF($E$5:$E$27=$E97,AJ$5:AJ$27))</f>
        <v>#DIV/0!</v>
      </c>
      <c r="AK98" s="67" t="e">
        <f t="array" ref="AK98">_xlfn.STDEV.P(IF($E$5:$E$27=$E97,AK$5:AK$27))</f>
        <v>#DIV/0!</v>
      </c>
      <c r="AL98" s="67" t="e">
        <f t="array" ref="AL98">_xlfn.STDEV.P(IF($E$5:$E$27=$E97,AL$5:AL$27))</f>
        <v>#DIV/0!</v>
      </c>
      <c r="AM98" s="67" t="e">
        <f t="array" ref="AM98">_xlfn.STDEV.P(IF($E$5:$E$27=$E97,AM$5:AM$27))</f>
        <v>#DIV/0!</v>
      </c>
      <c r="AN98" s="67" t="e">
        <f t="array" ref="AN98">_xlfn.STDEV.P(IF($E$5:$E$27=$E97,AN$5:AN$27))</f>
        <v>#DIV/0!</v>
      </c>
      <c r="AO98" s="67" t="e">
        <f t="array" ref="AO98">_xlfn.STDEV.P(IF($E$5:$E$27=$E97,AO$5:AO$27))</f>
        <v>#DIV/0!</v>
      </c>
      <c r="AP98" s="67" t="e">
        <f t="array" ref="AP98">_xlfn.STDEV.P(IF($E$5:$E$27=$E97,AP$5:AP$27))</f>
        <v>#DIV/0!</v>
      </c>
      <c r="AQ98" s="67" t="e">
        <f t="array" ref="AQ98">_xlfn.STDEV.P(IF($E$5:$E$27=$E97,AQ$5:AQ$27))</f>
        <v>#DIV/0!</v>
      </c>
      <c r="AR98" s="67" t="e">
        <f t="array" ref="AR98">_xlfn.STDEV.P(IF($E$5:$E$27=$E97,AR$5:AR$27))</f>
        <v>#DIV/0!</v>
      </c>
      <c r="AS98" s="67" t="e">
        <f t="array" ref="AS98">_xlfn.STDEV.P(IF($E$5:$E$27=$E97,AS$5:AS$27))</f>
        <v>#DIV/0!</v>
      </c>
      <c r="AT98" s="67" t="e">
        <f t="array" ref="AT98">_xlfn.STDEV.P(IF($E$5:$E$27=$E97,AT$5:AT$27))</f>
        <v>#DIV/0!</v>
      </c>
      <c r="AU98" s="67" t="e">
        <f t="array" ref="AU98">_xlfn.STDEV.P(IF($E$5:$E$27=$E97,AU$5:AU$27))</f>
        <v>#DIV/0!</v>
      </c>
      <c r="AV98" s="67" t="e">
        <f t="array" ref="AV98">_xlfn.STDEV.P(IF($E$5:$E$27=$E97,AV$5:AV$27))</f>
        <v>#DIV/0!</v>
      </c>
      <c r="AW98" s="67" t="e">
        <f t="array" ref="AW98">_xlfn.STDEV.P(IF($E$5:$E$27=$E97,AW$5:AW$27))</f>
        <v>#DIV/0!</v>
      </c>
      <c r="AX98" s="67" t="e">
        <f t="array" ref="AX98">_xlfn.STDEV.P(IF($E$5:$E$27=$E97,AX$5:AX$27))</f>
        <v>#DIV/0!</v>
      </c>
      <c r="AY98" s="67" t="e">
        <f t="array" ref="AY98">_xlfn.STDEV.P(IF($E$5:$E$27=$E97,AY$5:AY$27))</f>
        <v>#DIV/0!</v>
      </c>
      <c r="AZ98" s="67" t="e">
        <f t="array" ref="AZ98">_xlfn.STDEV.P(IF($E$5:$E$27=$E97,AZ$5:AZ$27))</f>
        <v>#DIV/0!</v>
      </c>
      <c r="BA98" s="67" t="e">
        <f t="array" ref="BA98">_xlfn.STDEV.P(IF($E$5:$E$27=$E97,BA$5:BA$27))</f>
        <v>#DIV/0!</v>
      </c>
      <c r="BB98" s="67" t="e">
        <f t="array" ref="BB98">_xlfn.STDEV.P(IF($E$5:$E$27=$E97,BB$5:BB$27))</f>
        <v>#DIV/0!</v>
      </c>
      <c r="BC98" s="69"/>
    </row>
    <row r="99" spans="1:55" ht="14.25" customHeight="1">
      <c r="A99" s="103"/>
      <c r="E99" s="83"/>
      <c r="I99" s="83"/>
      <c r="J99" s="97"/>
      <c r="K99" s="121" t="s">
        <v>34</v>
      </c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121" t="s">
        <v>34</v>
      </c>
      <c r="AH99" s="66" t="e">
        <f>AH97-AH$29</f>
        <v>#DIV/0!</v>
      </c>
      <c r="AI99" s="66" t="e">
        <f>AI97-AI$29</f>
        <v>#DIV/0!</v>
      </c>
      <c r="AJ99" s="66" t="e">
        <f t="shared" ref="AJ99:AX99" si="87">AJ97-AJ$29</f>
        <v>#DIV/0!</v>
      </c>
      <c r="AK99" s="66" t="e">
        <f t="shared" si="87"/>
        <v>#DIV/0!</v>
      </c>
      <c r="AL99" s="66" t="e">
        <f t="shared" si="87"/>
        <v>#DIV/0!</v>
      </c>
      <c r="AM99" s="66" t="e">
        <f t="shared" si="87"/>
        <v>#DIV/0!</v>
      </c>
      <c r="AN99" s="66" t="e">
        <f t="shared" si="87"/>
        <v>#DIV/0!</v>
      </c>
      <c r="AO99" s="66" t="e">
        <f t="shared" si="87"/>
        <v>#DIV/0!</v>
      </c>
      <c r="AP99" s="66" t="e">
        <f t="shared" si="87"/>
        <v>#DIV/0!</v>
      </c>
      <c r="AQ99" s="66" t="e">
        <f t="shared" si="87"/>
        <v>#DIV/0!</v>
      </c>
      <c r="AR99" s="66" t="e">
        <f t="shared" si="87"/>
        <v>#DIV/0!</v>
      </c>
      <c r="AS99" s="66" t="e">
        <f t="shared" si="87"/>
        <v>#DIV/0!</v>
      </c>
      <c r="AT99" s="66" t="e">
        <f t="shared" si="87"/>
        <v>#DIV/0!</v>
      </c>
      <c r="AU99" s="66" t="e">
        <f t="shared" si="87"/>
        <v>#DIV/0!</v>
      </c>
      <c r="AV99" s="66" t="e">
        <f t="shared" si="87"/>
        <v>#DIV/0!</v>
      </c>
      <c r="AW99" s="66" t="e">
        <f t="shared" si="87"/>
        <v>#DIV/0!</v>
      </c>
      <c r="AX99" s="66" t="e">
        <f t="shared" si="87"/>
        <v>#DIV/0!</v>
      </c>
      <c r="AY99" s="66" t="e">
        <f>AY97-AY$29</f>
        <v>#DIV/0!</v>
      </c>
      <c r="AZ99" s="66" t="e">
        <f>AZ97-AZ$29</f>
        <v>#DIV/0!</v>
      </c>
      <c r="BA99" s="66" t="e">
        <f>BA97-BA$29</f>
        <v>#DIV/0!</v>
      </c>
      <c r="BB99" s="66" t="e">
        <f>BB97-BB$29</f>
        <v>#DIV/0!</v>
      </c>
      <c r="BC99" s="120"/>
    </row>
    <row r="100" spans="1:55" ht="14.25" customHeight="1">
      <c r="A100" s="103"/>
      <c r="E100" s="83"/>
      <c r="I100" s="83"/>
      <c r="J100" s="97"/>
      <c r="K100" s="95" t="s">
        <v>48</v>
      </c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95" t="s">
        <v>48</v>
      </c>
      <c r="AH100" s="66"/>
      <c r="AI100" s="66" t="e">
        <f>AH97*EXP((AI$4-AH$4)*-LN(2)/8.091)</f>
        <v>#DIV/0!</v>
      </c>
      <c r="AJ100" s="66" t="e">
        <f>AI97*EXP((AJ$4-AI$4)*-LN(2)/8.091)</f>
        <v>#DIV/0!</v>
      </c>
      <c r="AK100" s="66" t="e">
        <f t="shared" ref="AK100:AX100" si="88">AJ97*EXP((AK$4-AJ$4)*-LN(2)/8.091)</f>
        <v>#DIV/0!</v>
      </c>
      <c r="AL100" s="66" t="e">
        <f t="shared" si="88"/>
        <v>#DIV/0!</v>
      </c>
      <c r="AM100" s="66" t="e">
        <f t="shared" si="88"/>
        <v>#DIV/0!</v>
      </c>
      <c r="AN100" s="66" t="e">
        <f t="shared" si="88"/>
        <v>#DIV/0!</v>
      </c>
      <c r="AO100" s="66" t="e">
        <f t="shared" si="88"/>
        <v>#DIV/0!</v>
      </c>
      <c r="AP100" s="66" t="e">
        <f t="shared" si="88"/>
        <v>#DIV/0!</v>
      </c>
      <c r="AQ100" s="66" t="e">
        <f t="shared" si="88"/>
        <v>#DIV/0!</v>
      </c>
      <c r="AR100" s="66" t="e">
        <f t="shared" si="88"/>
        <v>#DIV/0!</v>
      </c>
      <c r="AS100" s="66" t="e">
        <f t="shared" si="88"/>
        <v>#DIV/0!</v>
      </c>
      <c r="AT100" s="66" t="e">
        <f t="shared" si="88"/>
        <v>#DIV/0!</v>
      </c>
      <c r="AU100" s="66" t="e">
        <f t="shared" si="88"/>
        <v>#DIV/0!</v>
      </c>
      <c r="AV100" s="66" t="e">
        <f t="shared" si="88"/>
        <v>#DIV/0!</v>
      </c>
      <c r="AW100" s="66" t="e">
        <f t="shared" si="88"/>
        <v>#DIV/0!</v>
      </c>
      <c r="AX100" s="66" t="e">
        <f t="shared" si="88"/>
        <v>#DIV/0!</v>
      </c>
      <c r="AY100" s="66" t="e">
        <f>AX97*EXP((AY$4-AX$4)*-LN(2)/8.091)</f>
        <v>#DIV/0!</v>
      </c>
      <c r="AZ100" s="66" t="e">
        <f>AY97*EXP((AZ$4-AY$4)*-LN(2)/8.091)</f>
        <v>#DIV/0!</v>
      </c>
      <c r="BA100" s="66" t="e">
        <f>AZ97*EXP((BA$4-AZ$4)*-LN(2)/8.091)</f>
        <v>#DIV/0!</v>
      </c>
      <c r="BB100" s="66" t="e">
        <f>BA97*EXP((BB$4-BA$4)*-LN(2)/8.091)</f>
        <v>#DIV/0!</v>
      </c>
      <c r="BC100" s="120"/>
    </row>
    <row r="101" spans="1:55" ht="14.25" customHeight="1">
      <c r="A101" s="103"/>
      <c r="E101" s="83"/>
      <c r="I101" s="83"/>
      <c r="J101" s="97"/>
      <c r="K101" s="95" t="s">
        <v>35</v>
      </c>
      <c r="L101" s="73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95" t="s">
        <v>35</v>
      </c>
      <c r="AH101" s="135"/>
      <c r="AI101" s="67" t="e">
        <f t="shared" ref="AI101:BB101" si="89">AI97-AI100</f>
        <v>#DIV/0!</v>
      </c>
      <c r="AJ101" s="67" t="e">
        <f t="shared" si="89"/>
        <v>#DIV/0!</v>
      </c>
      <c r="AK101" s="67" t="e">
        <f t="shared" si="89"/>
        <v>#DIV/0!</v>
      </c>
      <c r="AL101" s="67" t="e">
        <f t="shared" si="89"/>
        <v>#DIV/0!</v>
      </c>
      <c r="AM101" s="67" t="e">
        <f t="shared" si="89"/>
        <v>#DIV/0!</v>
      </c>
      <c r="AN101" s="67" t="e">
        <f t="shared" si="89"/>
        <v>#DIV/0!</v>
      </c>
      <c r="AO101" s="67" t="e">
        <f t="shared" si="89"/>
        <v>#DIV/0!</v>
      </c>
      <c r="AP101" s="67" t="e">
        <f t="shared" si="89"/>
        <v>#DIV/0!</v>
      </c>
      <c r="AQ101" s="67" t="e">
        <f t="shared" si="89"/>
        <v>#DIV/0!</v>
      </c>
      <c r="AR101" s="67" t="e">
        <f t="shared" si="89"/>
        <v>#DIV/0!</v>
      </c>
      <c r="AS101" s="67" t="e">
        <f t="shared" si="89"/>
        <v>#DIV/0!</v>
      </c>
      <c r="AT101" s="67" t="e">
        <f t="shared" si="89"/>
        <v>#DIV/0!</v>
      </c>
      <c r="AU101" s="67" t="e">
        <f t="shared" si="89"/>
        <v>#DIV/0!</v>
      </c>
      <c r="AV101" s="67" t="e">
        <f t="shared" si="89"/>
        <v>#DIV/0!</v>
      </c>
      <c r="AW101" s="67" t="e">
        <f t="shared" si="89"/>
        <v>#DIV/0!</v>
      </c>
      <c r="AX101" s="67" t="e">
        <f t="shared" si="89"/>
        <v>#DIV/0!</v>
      </c>
      <c r="AY101" s="67" t="e">
        <f t="shared" si="89"/>
        <v>#DIV/0!</v>
      </c>
      <c r="AZ101" s="67" t="e">
        <f t="shared" si="89"/>
        <v>#DIV/0!</v>
      </c>
      <c r="BA101" s="67" t="e">
        <f t="shared" si="89"/>
        <v>#DIV/0!</v>
      </c>
      <c r="BB101" s="67" t="e">
        <f t="shared" si="89"/>
        <v>#DIV/0!</v>
      </c>
      <c r="BC101" s="120"/>
    </row>
    <row r="102" spans="1:55" ht="14.25" customHeight="1">
      <c r="A102" s="103"/>
      <c r="E102" s="83"/>
      <c r="I102" s="83"/>
      <c r="J102" s="97"/>
      <c r="K102" s="95" t="s">
        <v>49</v>
      </c>
      <c r="L102" s="73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95" t="s">
        <v>49</v>
      </c>
      <c r="AH102" s="135" t="e">
        <f>AH97/AH$29</f>
        <v>#DIV/0!</v>
      </c>
      <c r="AI102" s="67" t="e">
        <f>AI97/AI$29</f>
        <v>#DIV/0!</v>
      </c>
      <c r="AJ102" s="67" t="e">
        <f>AJ97/AJ$29</f>
        <v>#DIV/0!</v>
      </c>
      <c r="AK102" s="67" t="e">
        <f t="shared" ref="AK102:AX102" si="90">AK97/AK$29</f>
        <v>#DIV/0!</v>
      </c>
      <c r="AL102" s="67" t="e">
        <f t="shared" si="90"/>
        <v>#DIV/0!</v>
      </c>
      <c r="AM102" s="67" t="e">
        <f t="shared" si="90"/>
        <v>#DIV/0!</v>
      </c>
      <c r="AN102" s="67" t="e">
        <f t="shared" si="90"/>
        <v>#DIV/0!</v>
      </c>
      <c r="AO102" s="67" t="e">
        <f t="shared" si="90"/>
        <v>#DIV/0!</v>
      </c>
      <c r="AP102" s="67" t="e">
        <f t="shared" si="90"/>
        <v>#DIV/0!</v>
      </c>
      <c r="AQ102" s="67" t="e">
        <f t="shared" si="90"/>
        <v>#DIV/0!</v>
      </c>
      <c r="AR102" s="67" t="e">
        <f t="shared" si="90"/>
        <v>#DIV/0!</v>
      </c>
      <c r="AS102" s="67" t="e">
        <f t="shared" si="90"/>
        <v>#DIV/0!</v>
      </c>
      <c r="AT102" s="67" t="e">
        <f t="shared" si="90"/>
        <v>#DIV/0!</v>
      </c>
      <c r="AU102" s="67" t="e">
        <f t="shared" si="90"/>
        <v>#DIV/0!</v>
      </c>
      <c r="AV102" s="67" t="e">
        <f t="shared" si="90"/>
        <v>#DIV/0!</v>
      </c>
      <c r="AW102" s="67" t="e">
        <f t="shared" si="90"/>
        <v>#DIV/0!</v>
      </c>
      <c r="AX102" s="67" t="e">
        <f t="shared" si="90"/>
        <v>#DIV/0!</v>
      </c>
      <c r="AY102" s="67" t="e">
        <f>AY97/AY$29</f>
        <v>#DIV/0!</v>
      </c>
      <c r="AZ102" s="67" t="e">
        <f>AZ97/AZ$29</f>
        <v>#DIV/0!</v>
      </c>
      <c r="BA102" s="67" t="e">
        <f>BA97/BA$29</f>
        <v>#DIV/0!</v>
      </c>
      <c r="BB102" s="67" t="e">
        <f>BB97/BB$29</f>
        <v>#DIV/0!</v>
      </c>
      <c r="BC102" s="120"/>
    </row>
    <row r="103" spans="1:55" ht="15">
      <c r="A103" s="103"/>
      <c r="E103" s="45"/>
      <c r="I103" s="45"/>
      <c r="K103" s="123"/>
      <c r="AG103" s="122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136"/>
    </row>
  </sheetData>
  <autoFilter ref="A4:BB27" xr:uid="{00000000-0009-0000-0000-000002000000}">
    <sortState xmlns:xlrd2="http://schemas.microsoft.com/office/spreadsheetml/2017/richdata2" ref="A5:AX27">
      <sortCondition ref="B4:B27"/>
    </sortState>
  </autoFilter>
  <mergeCells count="4">
    <mergeCell ref="F2:H2"/>
    <mergeCell ref="I31:I32"/>
    <mergeCell ref="I29:K29"/>
    <mergeCell ref="I2:J2"/>
  </mergeCells>
  <dataValidations count="1">
    <dataValidation type="list" allowBlank="1" showInputMessage="1" showErrorMessage="1" sqref="E5:E27" xr:uid="{00000000-0002-0000-02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'NAB_PTX Groups'!$C$6:$C$21</xm:f>
          </x14:formula1>
          <xm:sqref>E34:E103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96"/>
  <sheetViews>
    <sheetView showGridLines="0" workbookViewId="0">
      <pane xSplit="8" ySplit="4" topLeftCell="I5" activePane="bottomRight" state="frozen"/>
      <selection activeCell="X3" sqref="X3"/>
      <selection pane="topRight" activeCell="X3" sqref="X3"/>
      <selection pane="bottomLeft" activeCell="X3" sqref="X3"/>
      <selection pane="bottomRight"/>
    </sheetView>
  </sheetViews>
  <sheetFormatPr defaultRowHeight="12.75" outlineLevelCol="1"/>
  <cols>
    <col min="1" max="1" width="9.85546875" style="47" bestFit="1" customWidth="1"/>
    <col min="2" max="2" width="9.140625" style="37"/>
    <col min="3" max="3" width="17.28515625" style="48" hidden="1" customWidth="1" outlineLevel="1"/>
    <col min="4" max="4" width="19" style="37" hidden="1" customWidth="1" outlineLevel="1"/>
    <col min="5" max="5" width="17.5703125" style="46" customWidth="1" collapsed="1"/>
    <col min="6" max="6" width="14.7109375" style="49" customWidth="1"/>
    <col min="7" max="7" width="12.7109375" style="72" hidden="1" customWidth="1" outlineLevel="1"/>
    <col min="8" max="8" width="12.85546875" style="49" customWidth="1" collapsed="1"/>
    <col min="9" max="9" width="11.85546875" style="37" customWidth="1"/>
    <col min="10" max="11" width="8.5703125" style="37" customWidth="1"/>
    <col min="12" max="53" width="8.5703125" style="37" customWidth="1" outlineLevel="1"/>
    <col min="54" max="16384" width="9.140625" style="46"/>
  </cols>
  <sheetData>
    <row r="1" spans="1:54" s="5" customFormat="1" ht="28.5">
      <c r="A1" s="4" t="s">
        <v>79</v>
      </c>
      <c r="C1" s="6"/>
      <c r="D1" s="7"/>
      <c r="F1" s="8"/>
      <c r="G1" s="202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</row>
    <row r="2" spans="1:54" s="43" customFormat="1" ht="15.75" customHeight="1">
      <c r="A2" s="128" t="s">
        <v>36</v>
      </c>
      <c r="B2" s="12"/>
      <c r="C2" s="13"/>
      <c r="D2" s="12"/>
      <c r="E2" s="14"/>
      <c r="F2" s="351" t="s">
        <v>12</v>
      </c>
      <c r="G2" s="352"/>
      <c r="H2" s="218" t="s">
        <v>0</v>
      </c>
      <c r="I2" s="15"/>
      <c r="J2" s="128" t="s">
        <v>37</v>
      </c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6"/>
      <c r="BB2" s="42"/>
    </row>
    <row r="3" spans="1:54" s="57" customFormat="1" ht="15.75">
      <c r="A3" s="52"/>
      <c r="B3" s="53"/>
      <c r="C3" s="54"/>
      <c r="D3" s="53"/>
      <c r="E3" s="55"/>
      <c r="F3" s="206"/>
      <c r="G3" s="219"/>
      <c r="H3" s="194"/>
      <c r="I3" s="178" t="s">
        <v>13</v>
      </c>
      <c r="J3" s="87">
        <v>42861</v>
      </c>
      <c r="K3" s="87">
        <v>42862</v>
      </c>
      <c r="L3" s="87">
        <v>42863</v>
      </c>
      <c r="M3" s="87">
        <v>42865</v>
      </c>
      <c r="N3" s="87">
        <v>42868</v>
      </c>
      <c r="O3" s="87">
        <v>42870</v>
      </c>
      <c r="P3" s="87">
        <v>42872</v>
      </c>
      <c r="Q3" s="87">
        <v>42877</v>
      </c>
      <c r="R3" s="87">
        <v>42879</v>
      </c>
      <c r="S3" s="87">
        <v>42881</v>
      </c>
      <c r="T3" s="87">
        <v>42884</v>
      </c>
      <c r="U3" s="87">
        <v>42886</v>
      </c>
      <c r="V3" s="87">
        <v>42888</v>
      </c>
      <c r="W3" s="87">
        <v>42891</v>
      </c>
      <c r="X3" s="87">
        <v>42893</v>
      </c>
      <c r="Y3" s="87">
        <v>42895</v>
      </c>
      <c r="Z3" s="87">
        <v>42898</v>
      </c>
      <c r="AA3" s="87">
        <v>42901</v>
      </c>
      <c r="AB3" s="87">
        <v>42903</v>
      </c>
      <c r="AC3" s="87">
        <v>42906</v>
      </c>
      <c r="AD3" s="87">
        <v>42909</v>
      </c>
      <c r="AE3" s="87">
        <v>42912</v>
      </c>
      <c r="AF3" s="87">
        <v>42914</v>
      </c>
      <c r="AG3" s="87">
        <v>42916</v>
      </c>
      <c r="AH3" s="87">
        <v>42919</v>
      </c>
      <c r="AI3" s="87">
        <v>42921</v>
      </c>
      <c r="AJ3" s="87">
        <v>42923</v>
      </c>
      <c r="AK3" s="87">
        <v>42925</v>
      </c>
      <c r="AL3" s="87">
        <v>42927</v>
      </c>
      <c r="AM3" s="87">
        <v>42930</v>
      </c>
      <c r="AN3" s="87">
        <v>42932</v>
      </c>
      <c r="AO3" s="87">
        <v>42934</v>
      </c>
      <c r="AP3" s="87">
        <v>42937</v>
      </c>
      <c r="AQ3" s="87">
        <v>42941</v>
      </c>
      <c r="AR3" s="87">
        <v>42944</v>
      </c>
      <c r="AS3" s="87">
        <v>42947</v>
      </c>
      <c r="AT3" s="87">
        <v>42953</v>
      </c>
      <c r="AU3" s="87">
        <v>42955</v>
      </c>
      <c r="AV3" s="87">
        <v>42959</v>
      </c>
      <c r="AW3" s="87">
        <v>42962</v>
      </c>
      <c r="AX3" s="87">
        <v>42965</v>
      </c>
      <c r="AY3" s="87">
        <v>42968</v>
      </c>
      <c r="AZ3" s="87"/>
      <c r="BA3" s="87"/>
      <c r="BB3" s="56"/>
    </row>
    <row r="4" spans="1:54" s="45" customFormat="1" ht="15.75" customHeight="1">
      <c r="A4" s="16" t="s">
        <v>5</v>
      </c>
      <c r="B4" s="17" t="s">
        <v>6</v>
      </c>
      <c r="C4" s="18" t="s">
        <v>7</v>
      </c>
      <c r="D4" s="16" t="s">
        <v>14</v>
      </c>
      <c r="E4" s="19" t="s">
        <v>10</v>
      </c>
      <c r="F4" s="20" t="s">
        <v>1</v>
      </c>
      <c r="G4" s="212" t="s">
        <v>67</v>
      </c>
      <c r="H4" s="20" t="s">
        <v>1</v>
      </c>
      <c r="I4" s="190" t="s">
        <v>8</v>
      </c>
      <c r="J4" s="173">
        <f t="shared" ref="J4:AT4" si="0">IF(ISBLANK(J3)=TRUE,"",J3-$H5)</f>
        <v>0</v>
      </c>
      <c r="K4" s="173">
        <f t="shared" si="0"/>
        <v>1</v>
      </c>
      <c r="L4" s="173">
        <f t="shared" si="0"/>
        <v>2</v>
      </c>
      <c r="M4" s="173">
        <f t="shared" si="0"/>
        <v>4</v>
      </c>
      <c r="N4" s="173">
        <f t="shared" si="0"/>
        <v>7</v>
      </c>
      <c r="O4" s="173">
        <f t="shared" si="0"/>
        <v>9</v>
      </c>
      <c r="P4" s="173">
        <f t="shared" si="0"/>
        <v>11</v>
      </c>
      <c r="Q4" s="173">
        <f t="shared" si="0"/>
        <v>16</v>
      </c>
      <c r="R4" s="173">
        <f t="shared" si="0"/>
        <v>18</v>
      </c>
      <c r="S4" s="173">
        <f t="shared" si="0"/>
        <v>20</v>
      </c>
      <c r="T4" s="173">
        <f t="shared" si="0"/>
        <v>23</v>
      </c>
      <c r="U4" s="173">
        <f t="shared" si="0"/>
        <v>25</v>
      </c>
      <c r="V4" s="173">
        <f t="shared" si="0"/>
        <v>27</v>
      </c>
      <c r="W4" s="173">
        <f t="shared" si="0"/>
        <v>30</v>
      </c>
      <c r="X4" s="173">
        <f t="shared" si="0"/>
        <v>32</v>
      </c>
      <c r="Y4" s="173">
        <f t="shared" si="0"/>
        <v>34</v>
      </c>
      <c r="Z4" s="173">
        <f t="shared" si="0"/>
        <v>37</v>
      </c>
      <c r="AA4" s="173">
        <f t="shared" si="0"/>
        <v>40</v>
      </c>
      <c r="AB4" s="173">
        <f t="shared" si="0"/>
        <v>42</v>
      </c>
      <c r="AC4" s="173">
        <f t="shared" si="0"/>
        <v>45</v>
      </c>
      <c r="AD4" s="173">
        <f t="shared" si="0"/>
        <v>48</v>
      </c>
      <c r="AE4" s="173">
        <f t="shared" si="0"/>
        <v>51</v>
      </c>
      <c r="AF4" s="173">
        <f t="shared" si="0"/>
        <v>53</v>
      </c>
      <c r="AG4" s="173">
        <f t="shared" si="0"/>
        <v>55</v>
      </c>
      <c r="AH4" s="173">
        <f t="shared" si="0"/>
        <v>58</v>
      </c>
      <c r="AI4" s="173">
        <f t="shared" si="0"/>
        <v>60</v>
      </c>
      <c r="AJ4" s="173">
        <f t="shared" si="0"/>
        <v>62</v>
      </c>
      <c r="AK4" s="173">
        <f t="shared" si="0"/>
        <v>64</v>
      </c>
      <c r="AL4" s="173">
        <f t="shared" si="0"/>
        <v>66</v>
      </c>
      <c r="AM4" s="173">
        <f t="shared" si="0"/>
        <v>69</v>
      </c>
      <c r="AN4" s="173">
        <f t="shared" si="0"/>
        <v>71</v>
      </c>
      <c r="AO4" s="173">
        <f t="shared" si="0"/>
        <v>73</v>
      </c>
      <c r="AP4" s="173">
        <f t="shared" si="0"/>
        <v>76</v>
      </c>
      <c r="AQ4" s="173">
        <f t="shared" si="0"/>
        <v>80</v>
      </c>
      <c r="AR4" s="173">
        <f t="shared" si="0"/>
        <v>83</v>
      </c>
      <c r="AS4" s="173">
        <f t="shared" si="0"/>
        <v>86</v>
      </c>
      <c r="AT4" s="173">
        <f t="shared" si="0"/>
        <v>92</v>
      </c>
      <c r="AU4" s="173">
        <f t="shared" ref="AU4:BA4" si="1">IF(ISBLANK(AU3)=TRUE,"",AU3-$H5)</f>
        <v>94</v>
      </c>
      <c r="AV4" s="173">
        <f t="shared" si="1"/>
        <v>98</v>
      </c>
      <c r="AW4" s="173">
        <f t="shared" si="1"/>
        <v>101</v>
      </c>
      <c r="AX4" s="173">
        <f t="shared" si="1"/>
        <v>104</v>
      </c>
      <c r="AY4" s="173">
        <f t="shared" si="1"/>
        <v>107</v>
      </c>
      <c r="AZ4" s="173" t="str">
        <f t="shared" si="1"/>
        <v/>
      </c>
      <c r="BA4" s="173" t="str">
        <f t="shared" si="1"/>
        <v/>
      </c>
      <c r="BB4" s="44"/>
    </row>
    <row r="5" spans="1:54">
      <c r="A5" s="23">
        <v>1066028</v>
      </c>
      <c r="B5" s="24">
        <v>11</v>
      </c>
      <c r="C5" s="25"/>
      <c r="D5" s="24"/>
      <c r="E5" s="26" t="s">
        <v>64</v>
      </c>
      <c r="F5" s="27">
        <v>42850</v>
      </c>
      <c r="G5" s="71" t="s">
        <v>66</v>
      </c>
      <c r="H5" s="27">
        <v>42861</v>
      </c>
      <c r="I5" s="111"/>
      <c r="J5" s="71" t="s">
        <v>70</v>
      </c>
      <c r="K5" s="71" t="s">
        <v>70</v>
      </c>
      <c r="L5" s="71" t="s">
        <v>70</v>
      </c>
      <c r="M5" s="71" t="s">
        <v>70</v>
      </c>
      <c r="N5" s="71" t="s">
        <v>70</v>
      </c>
      <c r="O5" s="71" t="s">
        <v>70</v>
      </c>
      <c r="P5" s="71" t="s">
        <v>70</v>
      </c>
      <c r="Q5" s="71" t="s">
        <v>70</v>
      </c>
      <c r="R5" s="71" t="s">
        <v>70</v>
      </c>
      <c r="S5" s="71" t="s">
        <v>70</v>
      </c>
      <c r="T5" s="71" t="s">
        <v>71</v>
      </c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3"/>
    </row>
    <row r="6" spans="1:54">
      <c r="A6" s="23">
        <v>1066028</v>
      </c>
      <c r="B6" s="1">
        <v>13</v>
      </c>
      <c r="C6" s="25"/>
      <c r="D6" s="24"/>
      <c r="E6" s="32" t="s">
        <v>62</v>
      </c>
      <c r="F6" s="27">
        <v>42850</v>
      </c>
      <c r="G6" s="76" t="s">
        <v>66</v>
      </c>
      <c r="H6" s="27">
        <v>42861</v>
      </c>
      <c r="I6" s="111"/>
      <c r="J6" s="71" t="s">
        <v>70</v>
      </c>
      <c r="K6" s="71" t="s">
        <v>70</v>
      </c>
      <c r="L6" s="71" t="s">
        <v>70</v>
      </c>
      <c r="M6" s="71" t="s">
        <v>70</v>
      </c>
      <c r="N6" s="71" t="s">
        <v>70</v>
      </c>
      <c r="O6" s="71" t="s">
        <v>70</v>
      </c>
      <c r="P6" s="71" t="s">
        <v>70</v>
      </c>
      <c r="Q6" s="71" t="s">
        <v>70</v>
      </c>
      <c r="R6" s="71" t="s">
        <v>70</v>
      </c>
      <c r="S6" s="71" t="s">
        <v>70</v>
      </c>
      <c r="T6" s="71" t="s">
        <v>71</v>
      </c>
      <c r="U6" s="71"/>
      <c r="V6" s="71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3"/>
    </row>
    <row r="7" spans="1:54">
      <c r="A7" s="23">
        <v>1066028</v>
      </c>
      <c r="B7" s="1">
        <v>14</v>
      </c>
      <c r="C7" s="25"/>
      <c r="D7" s="24"/>
      <c r="E7" s="32" t="s">
        <v>61</v>
      </c>
      <c r="F7" s="27">
        <v>42850</v>
      </c>
      <c r="G7" s="76" t="s">
        <v>66</v>
      </c>
      <c r="H7" s="27">
        <v>42861</v>
      </c>
      <c r="I7" s="111"/>
      <c r="J7" s="71" t="s">
        <v>70</v>
      </c>
      <c r="K7" s="71" t="s">
        <v>70</v>
      </c>
      <c r="L7" s="71" t="s">
        <v>70</v>
      </c>
      <c r="M7" s="71" t="s">
        <v>70</v>
      </c>
      <c r="N7" s="71" t="s">
        <v>70</v>
      </c>
      <c r="O7" s="71" t="s">
        <v>70</v>
      </c>
      <c r="P7" s="71" t="s">
        <v>70</v>
      </c>
      <c r="Q7" s="71" t="s">
        <v>70</v>
      </c>
      <c r="R7" s="71" t="s">
        <v>70</v>
      </c>
      <c r="S7" s="71" t="s">
        <v>70</v>
      </c>
      <c r="T7" s="71" t="s">
        <v>70</v>
      </c>
      <c r="U7" s="71" t="s">
        <v>70</v>
      </c>
      <c r="V7" s="71" t="s">
        <v>70</v>
      </c>
      <c r="W7" s="71" t="s">
        <v>70</v>
      </c>
      <c r="X7" s="71" t="s">
        <v>70</v>
      </c>
      <c r="Y7" s="71" t="s">
        <v>70</v>
      </c>
      <c r="Z7" s="71" t="s">
        <v>70</v>
      </c>
      <c r="AA7" s="76" t="s">
        <v>71</v>
      </c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3"/>
    </row>
    <row r="8" spans="1:54">
      <c r="A8" s="23">
        <v>1066028</v>
      </c>
      <c r="B8" s="1">
        <v>15</v>
      </c>
      <c r="C8" s="25"/>
      <c r="D8" s="24"/>
      <c r="E8" s="32" t="s">
        <v>61</v>
      </c>
      <c r="F8" s="27">
        <v>42850</v>
      </c>
      <c r="G8" s="76" t="s">
        <v>66</v>
      </c>
      <c r="H8" s="27">
        <v>42861</v>
      </c>
      <c r="I8" s="111"/>
      <c r="J8" s="71" t="s">
        <v>70</v>
      </c>
      <c r="K8" s="71" t="s">
        <v>70</v>
      </c>
      <c r="L8" s="71" t="s">
        <v>70</v>
      </c>
      <c r="M8" s="71" t="s">
        <v>70</v>
      </c>
      <c r="N8" s="71" t="s">
        <v>70</v>
      </c>
      <c r="O8" s="71" t="s">
        <v>70</v>
      </c>
      <c r="P8" s="71" t="s">
        <v>70</v>
      </c>
      <c r="Q8" s="71" t="s">
        <v>70</v>
      </c>
      <c r="R8" s="71" t="s">
        <v>70</v>
      </c>
      <c r="S8" s="71" t="s">
        <v>70</v>
      </c>
      <c r="T8" s="71" t="s">
        <v>70</v>
      </c>
      <c r="U8" s="71" t="s">
        <v>70</v>
      </c>
      <c r="V8" s="71" t="s">
        <v>70</v>
      </c>
      <c r="W8" s="71" t="s">
        <v>70</v>
      </c>
      <c r="X8" s="71" t="s">
        <v>70</v>
      </c>
      <c r="Y8" s="71" t="s">
        <v>70</v>
      </c>
      <c r="Z8" s="71" t="s">
        <v>70</v>
      </c>
      <c r="AA8" s="71" t="s">
        <v>70</v>
      </c>
      <c r="AB8" s="71" t="s">
        <v>70</v>
      </c>
      <c r="AC8" s="76" t="s">
        <v>70</v>
      </c>
      <c r="AD8" s="76" t="s">
        <v>70</v>
      </c>
      <c r="AE8" s="76" t="s">
        <v>70</v>
      </c>
      <c r="AF8" s="76" t="s">
        <v>70</v>
      </c>
      <c r="AG8" s="76" t="s">
        <v>70</v>
      </c>
      <c r="AH8" s="76" t="s">
        <v>70</v>
      </c>
      <c r="AI8" s="76" t="s">
        <v>70</v>
      </c>
      <c r="AJ8" s="76" t="s">
        <v>70</v>
      </c>
      <c r="AK8" s="76" t="s">
        <v>70</v>
      </c>
      <c r="AL8" s="76" t="s">
        <v>70</v>
      </c>
      <c r="AM8" s="76" t="s">
        <v>70</v>
      </c>
      <c r="AN8" s="76" t="s">
        <v>70</v>
      </c>
      <c r="AO8" s="76" t="s">
        <v>70</v>
      </c>
      <c r="AP8" s="76" t="s">
        <v>70</v>
      </c>
      <c r="AQ8" s="76" t="s">
        <v>70</v>
      </c>
      <c r="AR8" s="76" t="s">
        <v>70</v>
      </c>
      <c r="AS8" s="76" t="s">
        <v>70</v>
      </c>
      <c r="AT8" s="76" t="s">
        <v>70</v>
      </c>
      <c r="AU8" s="76" t="s">
        <v>70</v>
      </c>
      <c r="AV8" s="76" t="s">
        <v>70</v>
      </c>
      <c r="AW8" s="76" t="s">
        <v>70</v>
      </c>
      <c r="AX8" s="76" t="s">
        <v>70</v>
      </c>
      <c r="AY8" s="76" t="s">
        <v>71</v>
      </c>
      <c r="AZ8" s="76"/>
      <c r="BA8" s="76"/>
      <c r="BB8" s="3"/>
    </row>
    <row r="9" spans="1:54">
      <c r="A9" s="35">
        <v>1066029</v>
      </c>
      <c r="B9" s="1">
        <v>21</v>
      </c>
      <c r="C9" s="25"/>
      <c r="D9" s="24"/>
      <c r="E9" s="32" t="s">
        <v>64</v>
      </c>
      <c r="F9" s="27">
        <v>42850</v>
      </c>
      <c r="G9" s="76" t="s">
        <v>66</v>
      </c>
      <c r="H9" s="27">
        <v>42861</v>
      </c>
      <c r="I9" s="111"/>
      <c r="J9" s="71" t="s">
        <v>70</v>
      </c>
      <c r="K9" s="71" t="s">
        <v>70</v>
      </c>
      <c r="L9" s="71" t="s">
        <v>70</v>
      </c>
      <c r="M9" s="71" t="s">
        <v>70</v>
      </c>
      <c r="N9" s="71" t="s">
        <v>70</v>
      </c>
      <c r="O9" s="71" t="s">
        <v>70</v>
      </c>
      <c r="P9" s="71" t="s">
        <v>70</v>
      </c>
      <c r="Q9" s="71" t="s">
        <v>70</v>
      </c>
      <c r="R9" s="71" t="s">
        <v>70</v>
      </c>
      <c r="S9" s="71" t="s">
        <v>70</v>
      </c>
      <c r="T9" s="76" t="s">
        <v>71</v>
      </c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3"/>
    </row>
    <row r="10" spans="1:54">
      <c r="A10" s="35">
        <v>1066029</v>
      </c>
      <c r="B10" s="1">
        <v>22</v>
      </c>
      <c r="C10" s="25"/>
      <c r="D10" s="24"/>
      <c r="E10" s="32" t="s">
        <v>61</v>
      </c>
      <c r="F10" s="27">
        <v>42850</v>
      </c>
      <c r="G10" s="76" t="s">
        <v>66</v>
      </c>
      <c r="H10" s="27">
        <v>42861</v>
      </c>
      <c r="I10" s="111"/>
      <c r="J10" s="71" t="s">
        <v>70</v>
      </c>
      <c r="K10" s="71" t="s">
        <v>70</v>
      </c>
      <c r="L10" s="71" t="s">
        <v>70</v>
      </c>
      <c r="M10" s="71" t="s">
        <v>70</v>
      </c>
      <c r="N10" s="71" t="s">
        <v>70</v>
      </c>
      <c r="O10" s="71" t="s">
        <v>70</v>
      </c>
      <c r="P10" s="71" t="s">
        <v>70</v>
      </c>
      <c r="Q10" s="71" t="s">
        <v>70</v>
      </c>
      <c r="R10" s="71" t="s">
        <v>70</v>
      </c>
      <c r="S10" s="71" t="s">
        <v>70</v>
      </c>
      <c r="T10" s="71" t="s">
        <v>70</v>
      </c>
      <c r="U10" s="71" t="s">
        <v>70</v>
      </c>
      <c r="V10" s="71" t="s">
        <v>70</v>
      </c>
      <c r="W10" s="71" t="s">
        <v>70</v>
      </c>
      <c r="X10" s="71" t="s">
        <v>70</v>
      </c>
      <c r="Y10" s="71" t="s">
        <v>70</v>
      </c>
      <c r="Z10" s="71" t="s">
        <v>70</v>
      </c>
      <c r="AA10" s="71" t="s">
        <v>70</v>
      </c>
      <c r="AB10" s="71" t="s">
        <v>70</v>
      </c>
      <c r="AC10" s="76" t="s">
        <v>70</v>
      </c>
      <c r="AD10" s="76" t="s">
        <v>70</v>
      </c>
      <c r="AE10" s="76" t="s">
        <v>70</v>
      </c>
      <c r="AF10" s="76" t="s">
        <v>70</v>
      </c>
      <c r="AG10" s="76" t="s">
        <v>70</v>
      </c>
      <c r="AH10" s="76" t="s">
        <v>70</v>
      </c>
      <c r="AI10" s="76" t="s">
        <v>70</v>
      </c>
      <c r="AJ10" s="76" t="s">
        <v>70</v>
      </c>
      <c r="AK10" s="76" t="s">
        <v>70</v>
      </c>
      <c r="AL10" s="76" t="s">
        <v>70</v>
      </c>
      <c r="AM10" s="76" t="s">
        <v>70</v>
      </c>
      <c r="AN10" s="76" t="s">
        <v>70</v>
      </c>
      <c r="AO10" s="76" t="s">
        <v>70</v>
      </c>
      <c r="AP10" s="76" t="s">
        <v>70</v>
      </c>
      <c r="AQ10" s="76" t="s">
        <v>70</v>
      </c>
      <c r="AR10" s="76" t="s">
        <v>70</v>
      </c>
      <c r="AS10" s="76" t="s">
        <v>70</v>
      </c>
      <c r="AT10" s="76" t="s">
        <v>70</v>
      </c>
      <c r="AU10" s="76" t="s">
        <v>70</v>
      </c>
      <c r="AV10" s="76" t="s">
        <v>70</v>
      </c>
      <c r="AW10" s="76" t="s">
        <v>70</v>
      </c>
      <c r="AX10" s="76" t="s">
        <v>70</v>
      </c>
      <c r="AY10" s="76" t="s">
        <v>71</v>
      </c>
      <c r="AZ10" s="76"/>
      <c r="BA10" s="76"/>
      <c r="BB10" s="3"/>
    </row>
    <row r="11" spans="1:54">
      <c r="A11" s="35">
        <v>1066029</v>
      </c>
      <c r="B11" s="1">
        <v>23</v>
      </c>
      <c r="C11" s="25"/>
      <c r="D11" s="24"/>
      <c r="E11" s="32" t="s">
        <v>61</v>
      </c>
      <c r="F11" s="27">
        <v>42850</v>
      </c>
      <c r="G11" s="76" t="s">
        <v>66</v>
      </c>
      <c r="H11" s="27">
        <v>42861</v>
      </c>
      <c r="I11" s="111"/>
      <c r="J11" s="71" t="s">
        <v>70</v>
      </c>
      <c r="K11" s="71" t="s">
        <v>70</v>
      </c>
      <c r="L11" s="71" t="s">
        <v>70</v>
      </c>
      <c r="M11" s="71" t="s">
        <v>70</v>
      </c>
      <c r="N11" s="71" t="s">
        <v>70</v>
      </c>
      <c r="O11" s="71" t="s">
        <v>70</v>
      </c>
      <c r="P11" s="71" t="s">
        <v>70</v>
      </c>
      <c r="Q11" s="71" t="s">
        <v>70</v>
      </c>
      <c r="R11" s="71" t="s">
        <v>70</v>
      </c>
      <c r="S11" s="71" t="s">
        <v>70</v>
      </c>
      <c r="T11" s="71" t="s">
        <v>70</v>
      </c>
      <c r="U11" s="76" t="s">
        <v>70</v>
      </c>
      <c r="V11" s="76" t="s">
        <v>70</v>
      </c>
      <c r="W11" s="76" t="s">
        <v>70</v>
      </c>
      <c r="X11" s="76" t="s">
        <v>70</v>
      </c>
      <c r="Y11" s="76" t="s">
        <v>70</v>
      </c>
      <c r="Z11" s="76" t="s">
        <v>70</v>
      </c>
      <c r="AA11" s="76" t="s">
        <v>70</v>
      </c>
      <c r="AB11" s="76" t="s">
        <v>70</v>
      </c>
      <c r="AC11" s="76" t="s">
        <v>70</v>
      </c>
      <c r="AD11" s="76" t="s">
        <v>70</v>
      </c>
      <c r="AE11" s="76" t="s">
        <v>70</v>
      </c>
      <c r="AF11" s="76" t="s">
        <v>70</v>
      </c>
      <c r="AG11" s="76" t="s">
        <v>71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3"/>
    </row>
    <row r="12" spans="1:54">
      <c r="A12" s="35">
        <v>1066029</v>
      </c>
      <c r="B12" s="1">
        <v>24</v>
      </c>
      <c r="C12" s="25"/>
      <c r="D12" s="24"/>
      <c r="E12" s="32" t="s">
        <v>62</v>
      </c>
      <c r="F12" s="27">
        <v>42850</v>
      </c>
      <c r="G12" s="76" t="s">
        <v>66</v>
      </c>
      <c r="H12" s="27">
        <v>42861</v>
      </c>
      <c r="I12" s="111"/>
      <c r="J12" s="71" t="s">
        <v>70</v>
      </c>
      <c r="K12" s="71" t="s">
        <v>70</v>
      </c>
      <c r="L12" s="71" t="s">
        <v>70</v>
      </c>
      <c r="M12" s="71" t="s">
        <v>70</v>
      </c>
      <c r="N12" s="71" t="s">
        <v>70</v>
      </c>
      <c r="O12" s="71" t="s">
        <v>70</v>
      </c>
      <c r="P12" s="71" t="s">
        <v>70</v>
      </c>
      <c r="Q12" s="71" t="s">
        <v>70</v>
      </c>
      <c r="R12" s="71" t="s">
        <v>70</v>
      </c>
      <c r="S12" s="71" t="s">
        <v>70</v>
      </c>
      <c r="T12" s="71" t="s">
        <v>70</v>
      </c>
      <c r="U12" s="76" t="s">
        <v>71</v>
      </c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3"/>
    </row>
    <row r="13" spans="1:54">
      <c r="A13" s="35">
        <v>1066029</v>
      </c>
      <c r="B13" s="1">
        <v>25</v>
      </c>
      <c r="C13" s="25"/>
      <c r="D13" s="24"/>
      <c r="E13" s="32" t="s">
        <v>72</v>
      </c>
      <c r="F13" s="27">
        <v>42850</v>
      </c>
      <c r="G13" s="76" t="s">
        <v>66</v>
      </c>
      <c r="H13" s="27">
        <v>42861</v>
      </c>
      <c r="I13" s="111"/>
      <c r="J13" s="71" t="s">
        <v>70</v>
      </c>
      <c r="K13" s="71" t="s">
        <v>70</v>
      </c>
      <c r="L13" s="71" t="s">
        <v>70</v>
      </c>
      <c r="M13" s="71" t="s">
        <v>70</v>
      </c>
      <c r="N13" s="71" t="s">
        <v>70</v>
      </c>
      <c r="O13" s="71" t="s">
        <v>70</v>
      </c>
      <c r="P13" s="71" t="s">
        <v>70</v>
      </c>
      <c r="Q13" s="71" t="s">
        <v>70</v>
      </c>
      <c r="R13" s="76" t="s">
        <v>70</v>
      </c>
      <c r="S13" s="76" t="s">
        <v>70</v>
      </c>
      <c r="T13" s="76" t="s">
        <v>70</v>
      </c>
      <c r="U13" s="76" t="s">
        <v>70</v>
      </c>
      <c r="V13" s="76" t="s">
        <v>70</v>
      </c>
      <c r="W13" s="76" t="s">
        <v>70</v>
      </c>
      <c r="X13" s="76" t="s">
        <v>70</v>
      </c>
      <c r="Y13" s="76" t="s">
        <v>70</v>
      </c>
      <c r="Z13" s="76" t="s">
        <v>70</v>
      </c>
      <c r="AA13" s="76" t="s">
        <v>70</v>
      </c>
      <c r="AB13" s="76" t="s">
        <v>71</v>
      </c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3"/>
    </row>
    <row r="14" spans="1:54">
      <c r="A14" s="35">
        <v>1066030</v>
      </c>
      <c r="B14" s="1">
        <v>31</v>
      </c>
      <c r="C14" s="25"/>
      <c r="D14" s="24"/>
      <c r="E14" s="32" t="s">
        <v>64</v>
      </c>
      <c r="F14" s="27">
        <v>42850</v>
      </c>
      <c r="G14" s="76" t="s">
        <v>66</v>
      </c>
      <c r="H14" s="27">
        <v>42861</v>
      </c>
      <c r="I14" s="111"/>
      <c r="J14" s="71" t="s">
        <v>70</v>
      </c>
      <c r="K14" s="71" t="s">
        <v>70</v>
      </c>
      <c r="L14" s="71" t="s">
        <v>70</v>
      </c>
      <c r="M14" s="71" t="s">
        <v>70</v>
      </c>
      <c r="N14" s="71" t="s">
        <v>70</v>
      </c>
      <c r="O14" s="71" t="s">
        <v>70</v>
      </c>
      <c r="P14" s="71" t="s">
        <v>70</v>
      </c>
      <c r="Q14" s="71" t="s">
        <v>70</v>
      </c>
      <c r="R14" s="71" t="s">
        <v>70</v>
      </c>
      <c r="S14" s="71" t="s">
        <v>70</v>
      </c>
      <c r="T14" s="71" t="s">
        <v>70</v>
      </c>
      <c r="U14" s="71" t="s">
        <v>70</v>
      </c>
      <c r="V14" s="71" t="s">
        <v>70</v>
      </c>
      <c r="W14" s="71" t="s">
        <v>71</v>
      </c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3"/>
    </row>
    <row r="15" spans="1:54">
      <c r="A15" s="35">
        <v>1066030</v>
      </c>
      <c r="B15" s="1">
        <v>32</v>
      </c>
      <c r="C15" s="25"/>
      <c r="D15" s="24"/>
      <c r="E15" s="32" t="s">
        <v>64</v>
      </c>
      <c r="F15" s="27">
        <v>42850</v>
      </c>
      <c r="G15" s="76" t="s">
        <v>66</v>
      </c>
      <c r="H15" s="27">
        <v>42861</v>
      </c>
      <c r="I15" s="111"/>
      <c r="J15" s="71" t="s">
        <v>70</v>
      </c>
      <c r="K15" s="71" t="s">
        <v>70</v>
      </c>
      <c r="L15" s="71" t="s">
        <v>70</v>
      </c>
      <c r="M15" s="71" t="s">
        <v>70</v>
      </c>
      <c r="N15" s="71" t="s">
        <v>70</v>
      </c>
      <c r="O15" s="71" t="s">
        <v>70</v>
      </c>
      <c r="P15" s="71" t="s">
        <v>70</v>
      </c>
      <c r="Q15" s="71" t="s">
        <v>70</v>
      </c>
      <c r="R15" s="71" t="s">
        <v>70</v>
      </c>
      <c r="S15" s="71" t="s">
        <v>70</v>
      </c>
      <c r="T15" s="71" t="s">
        <v>70</v>
      </c>
      <c r="U15" s="71" t="s">
        <v>70</v>
      </c>
      <c r="V15" s="71" t="s">
        <v>70</v>
      </c>
      <c r="W15" s="71" t="s">
        <v>70</v>
      </c>
      <c r="X15" s="71" t="s">
        <v>70</v>
      </c>
      <c r="Y15" s="71" t="s">
        <v>70</v>
      </c>
      <c r="Z15" s="71" t="s">
        <v>70</v>
      </c>
      <c r="AA15" s="71" t="s">
        <v>70</v>
      </c>
      <c r="AB15" s="76" t="s">
        <v>70</v>
      </c>
      <c r="AC15" s="76" t="s">
        <v>71</v>
      </c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3"/>
    </row>
    <row r="16" spans="1:54">
      <c r="A16" s="35">
        <v>1066030</v>
      </c>
      <c r="B16" s="1">
        <v>33</v>
      </c>
      <c r="C16" s="25"/>
      <c r="D16" s="24"/>
      <c r="E16" s="32" t="s">
        <v>72</v>
      </c>
      <c r="F16" s="27">
        <v>42850</v>
      </c>
      <c r="G16" s="76" t="s">
        <v>66</v>
      </c>
      <c r="H16" s="27">
        <v>42861</v>
      </c>
      <c r="I16" s="111"/>
      <c r="J16" s="71" t="s">
        <v>70</v>
      </c>
      <c r="K16" s="71" t="s">
        <v>70</v>
      </c>
      <c r="L16" s="71" t="s">
        <v>70</v>
      </c>
      <c r="M16" s="71" t="s">
        <v>70</v>
      </c>
      <c r="N16" s="71" t="s">
        <v>70</v>
      </c>
      <c r="O16" s="71" t="s">
        <v>70</v>
      </c>
      <c r="P16" s="71" t="s">
        <v>70</v>
      </c>
      <c r="Q16" s="71" t="s">
        <v>70</v>
      </c>
      <c r="R16" s="71" t="s">
        <v>70</v>
      </c>
      <c r="S16" s="71" t="s">
        <v>70</v>
      </c>
      <c r="T16" s="71" t="s">
        <v>70</v>
      </c>
      <c r="U16" s="71" t="s">
        <v>70</v>
      </c>
      <c r="V16" s="71" t="s">
        <v>70</v>
      </c>
      <c r="W16" s="71" t="s">
        <v>70</v>
      </c>
      <c r="X16" s="71" t="s">
        <v>70</v>
      </c>
      <c r="Y16" s="71" t="s">
        <v>70</v>
      </c>
      <c r="Z16" s="71" t="s">
        <v>70</v>
      </c>
      <c r="AA16" s="71" t="s">
        <v>70</v>
      </c>
      <c r="AB16" s="76" t="s">
        <v>71</v>
      </c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3"/>
    </row>
    <row r="17" spans="1:54">
      <c r="A17" s="35">
        <v>1066030</v>
      </c>
      <c r="B17" s="1">
        <v>34</v>
      </c>
      <c r="C17" s="25"/>
      <c r="D17" s="24"/>
      <c r="E17" s="32" t="s">
        <v>62</v>
      </c>
      <c r="F17" s="27">
        <v>42850</v>
      </c>
      <c r="G17" s="76" t="s">
        <v>66</v>
      </c>
      <c r="H17" s="27">
        <v>42861</v>
      </c>
      <c r="I17" s="111"/>
      <c r="J17" s="71" t="s">
        <v>70</v>
      </c>
      <c r="K17" s="71" t="s">
        <v>70</v>
      </c>
      <c r="L17" s="71" t="s">
        <v>70</v>
      </c>
      <c r="M17" s="71" t="s">
        <v>70</v>
      </c>
      <c r="N17" s="71" t="s">
        <v>70</v>
      </c>
      <c r="O17" s="71" t="s">
        <v>70</v>
      </c>
      <c r="P17" s="71" t="s">
        <v>70</v>
      </c>
      <c r="Q17" s="71" t="s">
        <v>71</v>
      </c>
      <c r="R17" s="71"/>
      <c r="S17" s="71"/>
      <c r="T17" s="71"/>
      <c r="U17" s="71"/>
      <c r="V17" s="71"/>
      <c r="W17" s="71"/>
      <c r="X17" s="71"/>
      <c r="Y17" s="71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3"/>
    </row>
    <row r="18" spans="1:54">
      <c r="A18" s="35">
        <v>1066030</v>
      </c>
      <c r="B18" s="1">
        <v>35</v>
      </c>
      <c r="C18" s="25"/>
      <c r="D18" s="24"/>
      <c r="E18" s="32" t="s">
        <v>72</v>
      </c>
      <c r="F18" s="27">
        <v>42850</v>
      </c>
      <c r="G18" s="76" t="s">
        <v>66</v>
      </c>
      <c r="H18" s="27">
        <v>42861</v>
      </c>
      <c r="I18" s="111"/>
      <c r="J18" s="71" t="s">
        <v>70</v>
      </c>
      <c r="K18" s="71" t="s">
        <v>70</v>
      </c>
      <c r="L18" s="71" t="s">
        <v>70</v>
      </c>
      <c r="M18" s="71" t="s">
        <v>70</v>
      </c>
      <c r="N18" s="71" t="s">
        <v>70</v>
      </c>
      <c r="O18" s="71" t="s">
        <v>70</v>
      </c>
      <c r="P18" s="71" t="s">
        <v>70</v>
      </c>
      <c r="Q18" s="71" t="s">
        <v>70</v>
      </c>
      <c r="R18" s="71" t="s">
        <v>70</v>
      </c>
      <c r="S18" s="71" t="s">
        <v>70</v>
      </c>
      <c r="T18" s="71" t="s">
        <v>70</v>
      </c>
      <c r="U18" s="76" t="s">
        <v>70</v>
      </c>
      <c r="V18" s="76" t="s">
        <v>70</v>
      </c>
      <c r="W18" s="76" t="s">
        <v>70</v>
      </c>
      <c r="X18" s="76" t="s">
        <v>70</v>
      </c>
      <c r="Y18" s="76" t="s">
        <v>70</v>
      </c>
      <c r="Z18" s="76" t="s">
        <v>71</v>
      </c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3"/>
    </row>
    <row r="19" spans="1:54">
      <c r="A19" s="35">
        <v>1066031</v>
      </c>
      <c r="B19" s="1">
        <v>41</v>
      </c>
      <c r="C19" s="25"/>
      <c r="D19" s="24"/>
      <c r="E19" s="32" t="s">
        <v>62</v>
      </c>
      <c r="F19" s="27">
        <v>42850</v>
      </c>
      <c r="G19" s="76" t="s">
        <v>66</v>
      </c>
      <c r="H19" s="27">
        <v>42861</v>
      </c>
      <c r="I19" s="111"/>
      <c r="J19" s="71" t="s">
        <v>70</v>
      </c>
      <c r="K19" s="71" t="s">
        <v>70</v>
      </c>
      <c r="L19" s="71" t="s">
        <v>70</v>
      </c>
      <c r="M19" s="71" t="s">
        <v>70</v>
      </c>
      <c r="N19" s="71" t="s">
        <v>70</v>
      </c>
      <c r="O19" s="71" t="s">
        <v>70</v>
      </c>
      <c r="P19" s="71" t="s">
        <v>70</v>
      </c>
      <c r="Q19" s="71" t="s">
        <v>70</v>
      </c>
      <c r="R19" s="71" t="s">
        <v>70</v>
      </c>
      <c r="S19" s="71" t="s">
        <v>70</v>
      </c>
      <c r="T19" s="71" t="s">
        <v>70</v>
      </c>
      <c r="U19" s="71" t="s">
        <v>71</v>
      </c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3"/>
    </row>
    <row r="20" spans="1:54">
      <c r="A20" s="35">
        <v>1066031</v>
      </c>
      <c r="B20" s="1">
        <v>42</v>
      </c>
      <c r="C20" s="25"/>
      <c r="D20" s="24"/>
      <c r="E20" s="32" t="s">
        <v>64</v>
      </c>
      <c r="F20" s="27">
        <v>42850</v>
      </c>
      <c r="G20" s="76" t="s">
        <v>66</v>
      </c>
      <c r="H20" s="27">
        <v>42861</v>
      </c>
      <c r="I20" s="111"/>
      <c r="J20" s="71" t="s">
        <v>70</v>
      </c>
      <c r="K20" s="71" t="s">
        <v>70</v>
      </c>
      <c r="L20" s="71" t="s">
        <v>70</v>
      </c>
      <c r="M20" s="71" t="s">
        <v>70</v>
      </c>
      <c r="N20" s="71" t="s">
        <v>70</v>
      </c>
      <c r="O20" s="71" t="s">
        <v>70</v>
      </c>
      <c r="P20" s="71" t="s">
        <v>70</v>
      </c>
      <c r="Q20" s="71" t="s">
        <v>70</v>
      </c>
      <c r="R20" s="71" t="s">
        <v>70</v>
      </c>
      <c r="S20" s="71" t="s">
        <v>70</v>
      </c>
      <c r="T20" s="71" t="s">
        <v>70</v>
      </c>
      <c r="U20" s="71" t="s">
        <v>71</v>
      </c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3"/>
    </row>
    <row r="21" spans="1:54">
      <c r="A21" s="35">
        <v>1066031</v>
      </c>
      <c r="B21" s="1">
        <v>43</v>
      </c>
      <c r="C21" s="25"/>
      <c r="D21" s="24"/>
      <c r="E21" s="32" t="s">
        <v>61</v>
      </c>
      <c r="F21" s="27">
        <v>42850</v>
      </c>
      <c r="G21" s="76" t="s">
        <v>66</v>
      </c>
      <c r="H21" s="27">
        <v>42861</v>
      </c>
      <c r="I21" s="111"/>
      <c r="J21" s="71" t="s">
        <v>70</v>
      </c>
      <c r="K21" s="71" t="s">
        <v>70</v>
      </c>
      <c r="L21" s="71" t="s">
        <v>70</v>
      </c>
      <c r="M21" s="71" t="s">
        <v>70</v>
      </c>
      <c r="N21" s="71" t="s">
        <v>70</v>
      </c>
      <c r="O21" s="71" t="s">
        <v>70</v>
      </c>
      <c r="P21" s="71" t="s">
        <v>70</v>
      </c>
      <c r="Q21" s="71" t="s">
        <v>70</v>
      </c>
      <c r="R21" s="71" t="s">
        <v>70</v>
      </c>
      <c r="S21" s="71" t="s">
        <v>70</v>
      </c>
      <c r="T21" s="71" t="s">
        <v>70</v>
      </c>
      <c r="U21" s="76" t="s">
        <v>70</v>
      </c>
      <c r="V21" s="76" t="s">
        <v>70</v>
      </c>
      <c r="W21" s="76" t="s">
        <v>70</v>
      </c>
      <c r="X21" s="76" t="s">
        <v>70</v>
      </c>
      <c r="Y21" s="76" t="s">
        <v>70</v>
      </c>
      <c r="Z21" s="76" t="s">
        <v>70</v>
      </c>
      <c r="AA21" s="76" t="s">
        <v>70</v>
      </c>
      <c r="AB21" s="76" t="s">
        <v>70</v>
      </c>
      <c r="AC21" s="76" t="s">
        <v>70</v>
      </c>
      <c r="AD21" s="76" t="s">
        <v>70</v>
      </c>
      <c r="AE21" s="76" t="s">
        <v>70</v>
      </c>
      <c r="AF21" s="76" t="s">
        <v>70</v>
      </c>
      <c r="AG21" s="76" t="s">
        <v>70</v>
      </c>
      <c r="AH21" s="76" t="s">
        <v>70</v>
      </c>
      <c r="AI21" s="76" t="s">
        <v>70</v>
      </c>
      <c r="AJ21" s="76" t="s">
        <v>70</v>
      </c>
      <c r="AK21" s="76" t="s">
        <v>70</v>
      </c>
      <c r="AL21" s="76" t="s">
        <v>70</v>
      </c>
      <c r="AM21" s="76" t="s">
        <v>70</v>
      </c>
      <c r="AN21" s="76" t="s">
        <v>70</v>
      </c>
      <c r="AO21" s="76" t="s">
        <v>70</v>
      </c>
      <c r="AP21" s="76" t="s">
        <v>70</v>
      </c>
      <c r="AQ21" s="76" t="s">
        <v>70</v>
      </c>
      <c r="AR21" s="76" t="s">
        <v>70</v>
      </c>
      <c r="AS21" s="76" t="s">
        <v>70</v>
      </c>
      <c r="AT21" s="76" t="s">
        <v>70</v>
      </c>
      <c r="AU21" s="76" t="s">
        <v>70</v>
      </c>
      <c r="AV21" s="76" t="s">
        <v>70</v>
      </c>
      <c r="AW21" s="76" t="s">
        <v>70</v>
      </c>
      <c r="AX21" s="76" t="s">
        <v>70</v>
      </c>
      <c r="AY21" s="76" t="s">
        <v>71</v>
      </c>
      <c r="AZ21" s="76"/>
      <c r="BA21" s="76"/>
      <c r="BB21" s="3"/>
    </row>
    <row r="22" spans="1:54">
      <c r="A22" s="35">
        <v>1066031</v>
      </c>
      <c r="B22" s="1">
        <v>44</v>
      </c>
      <c r="C22" s="25"/>
      <c r="D22" s="24"/>
      <c r="E22" s="32" t="s">
        <v>62</v>
      </c>
      <c r="F22" s="27">
        <v>42850</v>
      </c>
      <c r="G22" s="76" t="s">
        <v>66</v>
      </c>
      <c r="H22" s="27">
        <v>42861</v>
      </c>
      <c r="I22" s="111"/>
      <c r="J22" s="71" t="s">
        <v>70</v>
      </c>
      <c r="K22" s="71" t="s">
        <v>70</v>
      </c>
      <c r="L22" s="71" t="s">
        <v>70</v>
      </c>
      <c r="M22" s="71" t="s">
        <v>70</v>
      </c>
      <c r="N22" s="71" t="s">
        <v>70</v>
      </c>
      <c r="O22" s="71" t="s">
        <v>70</v>
      </c>
      <c r="P22" s="71" t="s">
        <v>70</v>
      </c>
      <c r="Q22" s="71" t="s">
        <v>70</v>
      </c>
      <c r="R22" s="71" t="s">
        <v>71</v>
      </c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3"/>
    </row>
    <row r="23" spans="1:54">
      <c r="A23" s="35">
        <v>1066031</v>
      </c>
      <c r="B23" s="1">
        <v>45</v>
      </c>
      <c r="C23" s="25"/>
      <c r="D23" s="24"/>
      <c r="E23" s="26" t="s">
        <v>61</v>
      </c>
      <c r="F23" s="27">
        <v>42850</v>
      </c>
      <c r="G23" s="76" t="s">
        <v>66</v>
      </c>
      <c r="H23" s="27">
        <v>42861</v>
      </c>
      <c r="I23" s="111"/>
      <c r="J23" s="71" t="s">
        <v>70</v>
      </c>
      <c r="K23" s="71" t="s">
        <v>70</v>
      </c>
      <c r="L23" s="71" t="s">
        <v>70</v>
      </c>
      <c r="M23" s="71" t="s">
        <v>70</v>
      </c>
      <c r="N23" s="71" t="s">
        <v>70</v>
      </c>
      <c r="O23" s="71" t="s">
        <v>70</v>
      </c>
      <c r="P23" s="71" t="s">
        <v>70</v>
      </c>
      <c r="Q23" s="71" t="s">
        <v>70</v>
      </c>
      <c r="R23" s="71" t="s">
        <v>70</v>
      </c>
      <c r="S23" s="71" t="s">
        <v>70</v>
      </c>
      <c r="T23" s="71" t="s">
        <v>70</v>
      </c>
      <c r="U23" s="76" t="s">
        <v>70</v>
      </c>
      <c r="V23" s="76" t="s">
        <v>70</v>
      </c>
      <c r="W23" s="76" t="s">
        <v>70</v>
      </c>
      <c r="X23" s="76" t="s">
        <v>70</v>
      </c>
      <c r="Y23" s="76" t="s">
        <v>70</v>
      </c>
      <c r="Z23" s="76" t="s">
        <v>70</v>
      </c>
      <c r="AA23" s="76" t="s">
        <v>70</v>
      </c>
      <c r="AB23" s="76" t="s">
        <v>70</v>
      </c>
      <c r="AC23" s="76" t="s">
        <v>70</v>
      </c>
      <c r="AD23" s="76" t="s">
        <v>70</v>
      </c>
      <c r="AE23" s="76" t="s">
        <v>70</v>
      </c>
      <c r="AF23" s="76" t="s">
        <v>70</v>
      </c>
      <c r="AG23" s="76" t="s">
        <v>70</v>
      </c>
      <c r="AH23" s="76" t="s">
        <v>70</v>
      </c>
      <c r="AI23" s="76" t="s">
        <v>70</v>
      </c>
      <c r="AJ23" s="76" t="s">
        <v>70</v>
      </c>
      <c r="AK23" s="76" t="s">
        <v>70</v>
      </c>
      <c r="AL23" s="76" t="s">
        <v>70</v>
      </c>
      <c r="AM23" s="76" t="s">
        <v>70</v>
      </c>
      <c r="AN23" s="76" t="s">
        <v>70</v>
      </c>
      <c r="AO23" s="76" t="s">
        <v>70</v>
      </c>
      <c r="AP23" s="76" t="s">
        <v>70</v>
      </c>
      <c r="AQ23" s="76" t="s">
        <v>70</v>
      </c>
      <c r="AR23" s="76" t="s">
        <v>70</v>
      </c>
      <c r="AS23" s="76" t="s">
        <v>70</v>
      </c>
      <c r="AT23" s="76" t="s">
        <v>70</v>
      </c>
      <c r="AU23" s="76" t="s">
        <v>71</v>
      </c>
      <c r="AV23" s="76"/>
      <c r="AW23" s="76"/>
      <c r="AX23" s="76"/>
      <c r="AY23" s="76"/>
      <c r="AZ23" s="76"/>
      <c r="BA23" s="76"/>
      <c r="BB23" s="3"/>
    </row>
    <row r="24" spans="1:54">
      <c r="A24" s="35">
        <v>1066032</v>
      </c>
      <c r="B24" s="1">
        <v>51</v>
      </c>
      <c r="C24" s="25"/>
      <c r="D24" s="24"/>
      <c r="E24" s="26" t="s">
        <v>72</v>
      </c>
      <c r="F24" s="27">
        <v>42850</v>
      </c>
      <c r="G24" s="76" t="s">
        <v>66</v>
      </c>
      <c r="H24" s="27">
        <v>42861</v>
      </c>
      <c r="I24" s="111"/>
      <c r="J24" s="71" t="s">
        <v>70</v>
      </c>
      <c r="K24" s="71" t="s">
        <v>70</v>
      </c>
      <c r="L24" s="71" t="s">
        <v>70</v>
      </c>
      <c r="M24" s="71" t="s">
        <v>70</v>
      </c>
      <c r="N24" s="71" t="s">
        <v>70</v>
      </c>
      <c r="O24" s="71" t="s">
        <v>70</v>
      </c>
      <c r="P24" s="71" t="s">
        <v>70</v>
      </c>
      <c r="Q24" s="71" t="s">
        <v>70</v>
      </c>
      <c r="R24" s="71" t="s">
        <v>70</v>
      </c>
      <c r="S24" s="71" t="s">
        <v>70</v>
      </c>
      <c r="T24" s="71" t="s">
        <v>70</v>
      </c>
      <c r="U24" s="71" t="s">
        <v>70</v>
      </c>
      <c r="V24" s="71" t="s">
        <v>70</v>
      </c>
      <c r="W24" s="71" t="s">
        <v>70</v>
      </c>
      <c r="X24" s="71" t="s">
        <v>70</v>
      </c>
      <c r="Y24" s="71" t="s">
        <v>70</v>
      </c>
      <c r="Z24" s="71" t="s">
        <v>70</v>
      </c>
      <c r="AA24" s="76" t="s">
        <v>71</v>
      </c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3"/>
    </row>
    <row r="25" spans="1:54">
      <c r="A25" s="35">
        <v>1066032</v>
      </c>
      <c r="B25" s="1">
        <v>52</v>
      </c>
      <c r="C25" s="25"/>
      <c r="D25" s="24"/>
      <c r="E25" s="32" t="s">
        <v>72</v>
      </c>
      <c r="F25" s="27">
        <v>42850</v>
      </c>
      <c r="G25" s="76" t="s">
        <v>66</v>
      </c>
      <c r="H25" s="27">
        <v>42861</v>
      </c>
      <c r="I25" s="111"/>
      <c r="J25" s="71" t="s">
        <v>70</v>
      </c>
      <c r="K25" s="71" t="s">
        <v>70</v>
      </c>
      <c r="L25" s="71" t="s">
        <v>70</v>
      </c>
      <c r="M25" s="71" t="s">
        <v>70</v>
      </c>
      <c r="N25" s="71" t="s">
        <v>70</v>
      </c>
      <c r="O25" s="71" t="s">
        <v>70</v>
      </c>
      <c r="P25" s="71" t="s">
        <v>70</v>
      </c>
      <c r="Q25" s="71" t="s">
        <v>70</v>
      </c>
      <c r="R25" s="71" t="s">
        <v>70</v>
      </c>
      <c r="S25" s="71" t="s">
        <v>70</v>
      </c>
      <c r="T25" s="71" t="s">
        <v>70</v>
      </c>
      <c r="U25" s="71" t="s">
        <v>70</v>
      </c>
      <c r="V25" s="71" t="s">
        <v>70</v>
      </c>
      <c r="W25" s="71" t="s">
        <v>70</v>
      </c>
      <c r="X25" s="76" t="s">
        <v>71</v>
      </c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3"/>
    </row>
    <row r="26" spans="1:54">
      <c r="A26" s="35">
        <v>1066032</v>
      </c>
      <c r="B26" s="1">
        <v>53</v>
      </c>
      <c r="C26" s="25"/>
      <c r="D26" s="24"/>
      <c r="E26" s="32" t="s">
        <v>62</v>
      </c>
      <c r="F26" s="27">
        <v>42850</v>
      </c>
      <c r="G26" s="76" t="s">
        <v>66</v>
      </c>
      <c r="H26" s="27">
        <v>42861</v>
      </c>
      <c r="I26" s="111"/>
      <c r="J26" s="71" t="s">
        <v>70</v>
      </c>
      <c r="K26" s="71" t="s">
        <v>70</v>
      </c>
      <c r="L26" s="71" t="s">
        <v>70</v>
      </c>
      <c r="M26" s="71" t="s">
        <v>70</v>
      </c>
      <c r="N26" s="71" t="s">
        <v>70</v>
      </c>
      <c r="O26" s="71" t="s">
        <v>70</v>
      </c>
      <c r="P26" s="71" t="s">
        <v>70</v>
      </c>
      <c r="Q26" s="71" t="s">
        <v>70</v>
      </c>
      <c r="R26" s="71" t="s">
        <v>70</v>
      </c>
      <c r="S26" s="71" t="s">
        <v>71</v>
      </c>
      <c r="T26" s="71"/>
      <c r="U26" s="71"/>
      <c r="V26" s="71"/>
      <c r="W26" s="71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3"/>
    </row>
    <row r="27" spans="1:54">
      <c r="A27" s="35">
        <v>1066032</v>
      </c>
      <c r="B27" s="1">
        <v>54</v>
      </c>
      <c r="C27" s="25"/>
      <c r="D27" s="24"/>
      <c r="E27" s="32" t="s">
        <v>72</v>
      </c>
      <c r="F27" s="27">
        <v>42850</v>
      </c>
      <c r="G27" s="76" t="s">
        <v>66</v>
      </c>
      <c r="H27" s="27">
        <v>42861</v>
      </c>
      <c r="I27" s="111"/>
      <c r="J27" s="71" t="s">
        <v>70</v>
      </c>
      <c r="K27" s="71" t="s">
        <v>70</v>
      </c>
      <c r="L27" s="71" t="s">
        <v>70</v>
      </c>
      <c r="M27" s="71" t="s">
        <v>70</v>
      </c>
      <c r="N27" s="71" t="s">
        <v>70</v>
      </c>
      <c r="O27" s="71" t="s">
        <v>70</v>
      </c>
      <c r="P27" s="71" t="s">
        <v>70</v>
      </c>
      <c r="Q27" s="71" t="s">
        <v>70</v>
      </c>
      <c r="R27" s="71" t="s">
        <v>70</v>
      </c>
      <c r="S27" s="71" t="s">
        <v>70</v>
      </c>
      <c r="T27" s="71" t="s">
        <v>70</v>
      </c>
      <c r="U27" s="71" t="s">
        <v>70</v>
      </c>
      <c r="V27" s="71" t="s">
        <v>70</v>
      </c>
      <c r="W27" s="71" t="s">
        <v>70</v>
      </c>
      <c r="X27" s="71" t="s">
        <v>70</v>
      </c>
      <c r="Y27" s="71" t="s">
        <v>70</v>
      </c>
      <c r="Z27" s="76" t="s">
        <v>71</v>
      </c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3"/>
    </row>
    <row r="28" spans="1:54" s="80" customFormat="1">
      <c r="A28" s="98"/>
      <c r="B28" s="81"/>
      <c r="C28" s="99"/>
      <c r="D28" s="81"/>
      <c r="E28" s="90"/>
      <c r="F28" s="100"/>
      <c r="G28" s="89"/>
      <c r="H28" s="100"/>
      <c r="I28" s="81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4" s="80" customFormat="1">
      <c r="A29" s="113"/>
      <c r="B29" s="79"/>
      <c r="C29" s="114"/>
      <c r="D29" s="79"/>
      <c r="F29" s="115"/>
      <c r="G29" s="117"/>
      <c r="H29" s="115"/>
      <c r="I29" s="79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</row>
    <row r="30" spans="1:54" ht="14.25" customHeight="1">
      <c r="A30" s="77"/>
      <c r="B30" s="77"/>
      <c r="C30" s="77"/>
      <c r="D30" s="38"/>
      <c r="E30" s="84" t="s">
        <v>16</v>
      </c>
      <c r="F30" s="78"/>
      <c r="G30" s="75"/>
      <c r="H30" s="353" t="s">
        <v>16</v>
      </c>
      <c r="I30" s="96" t="s">
        <v>50</v>
      </c>
      <c r="J30" s="71">
        <f t="shared" ref="J30:BA30" si="2">COUNTIF(J5:J27,"Alive")</f>
        <v>23</v>
      </c>
      <c r="K30" s="71">
        <f t="shared" si="2"/>
        <v>23</v>
      </c>
      <c r="L30" s="71">
        <f t="shared" si="2"/>
        <v>23</v>
      </c>
      <c r="M30" s="71">
        <f t="shared" si="2"/>
        <v>23</v>
      </c>
      <c r="N30" s="71">
        <f t="shared" si="2"/>
        <v>23</v>
      </c>
      <c r="O30" s="71">
        <f t="shared" si="2"/>
        <v>23</v>
      </c>
      <c r="P30" s="71">
        <f t="shared" si="2"/>
        <v>23</v>
      </c>
      <c r="Q30" s="71">
        <f t="shared" si="2"/>
        <v>22</v>
      </c>
      <c r="R30" s="71">
        <f t="shared" si="2"/>
        <v>21</v>
      </c>
      <c r="S30" s="71">
        <f t="shared" si="2"/>
        <v>20</v>
      </c>
      <c r="T30" s="71">
        <f t="shared" si="2"/>
        <v>17</v>
      </c>
      <c r="U30" s="71">
        <f t="shared" si="2"/>
        <v>14</v>
      </c>
      <c r="V30" s="71">
        <f t="shared" si="2"/>
        <v>14</v>
      </c>
      <c r="W30" s="71">
        <f t="shared" si="2"/>
        <v>13</v>
      </c>
      <c r="X30" s="71">
        <f t="shared" si="2"/>
        <v>12</v>
      </c>
      <c r="Y30" s="71">
        <f t="shared" si="2"/>
        <v>12</v>
      </c>
      <c r="Z30" s="71">
        <f t="shared" si="2"/>
        <v>10</v>
      </c>
      <c r="AA30" s="71">
        <f t="shared" si="2"/>
        <v>8</v>
      </c>
      <c r="AB30" s="71">
        <f t="shared" si="2"/>
        <v>6</v>
      </c>
      <c r="AC30" s="71">
        <f t="shared" si="2"/>
        <v>5</v>
      </c>
      <c r="AD30" s="71">
        <f t="shared" si="2"/>
        <v>5</v>
      </c>
      <c r="AE30" s="71">
        <f t="shared" si="2"/>
        <v>5</v>
      </c>
      <c r="AF30" s="71">
        <f t="shared" si="2"/>
        <v>5</v>
      </c>
      <c r="AG30" s="71">
        <f t="shared" si="2"/>
        <v>4</v>
      </c>
      <c r="AH30" s="71">
        <f t="shared" si="2"/>
        <v>4</v>
      </c>
      <c r="AI30" s="71">
        <f t="shared" si="2"/>
        <v>4</v>
      </c>
      <c r="AJ30" s="71">
        <f t="shared" si="2"/>
        <v>4</v>
      </c>
      <c r="AK30" s="71">
        <f t="shared" si="2"/>
        <v>4</v>
      </c>
      <c r="AL30" s="71">
        <f t="shared" si="2"/>
        <v>4</v>
      </c>
      <c r="AM30" s="71">
        <f t="shared" si="2"/>
        <v>4</v>
      </c>
      <c r="AN30" s="71">
        <f t="shared" si="2"/>
        <v>4</v>
      </c>
      <c r="AO30" s="71">
        <f t="shared" si="2"/>
        <v>4</v>
      </c>
      <c r="AP30" s="71">
        <f t="shared" si="2"/>
        <v>4</v>
      </c>
      <c r="AQ30" s="71">
        <f t="shared" si="2"/>
        <v>4</v>
      </c>
      <c r="AR30" s="71">
        <f t="shared" si="2"/>
        <v>4</v>
      </c>
      <c r="AS30" s="71">
        <f t="shared" si="2"/>
        <v>4</v>
      </c>
      <c r="AT30" s="71">
        <f t="shared" si="2"/>
        <v>4</v>
      </c>
      <c r="AU30" s="71">
        <f t="shared" si="2"/>
        <v>3</v>
      </c>
      <c r="AV30" s="71">
        <f t="shared" si="2"/>
        <v>3</v>
      </c>
      <c r="AW30" s="71">
        <f t="shared" si="2"/>
        <v>3</v>
      </c>
      <c r="AX30" s="71">
        <f t="shared" si="2"/>
        <v>3</v>
      </c>
      <c r="AY30" s="71">
        <f t="shared" si="2"/>
        <v>0</v>
      </c>
      <c r="AZ30" s="71">
        <f t="shared" si="2"/>
        <v>0</v>
      </c>
      <c r="BA30" s="71">
        <f t="shared" si="2"/>
        <v>0</v>
      </c>
      <c r="BB30" s="3"/>
    </row>
    <row r="31" spans="1:54" ht="14.25" customHeight="1">
      <c r="A31" s="77"/>
      <c r="B31" s="77"/>
      <c r="C31" s="77"/>
      <c r="D31" s="38"/>
      <c r="E31" s="84"/>
      <c r="F31" s="78"/>
      <c r="G31" s="75"/>
      <c r="H31" s="353"/>
      <c r="I31" s="132" t="s">
        <v>51</v>
      </c>
      <c r="J31" s="75">
        <f t="shared" ref="J31:BA31" si="3">COUNTIF(J5:J27,"Censored")</f>
        <v>0</v>
      </c>
      <c r="K31" s="75">
        <f t="shared" si="3"/>
        <v>0</v>
      </c>
      <c r="L31" s="75">
        <f t="shared" si="3"/>
        <v>0</v>
      </c>
      <c r="M31" s="75">
        <f t="shared" si="3"/>
        <v>0</v>
      </c>
      <c r="N31" s="75">
        <f t="shared" si="3"/>
        <v>0</v>
      </c>
      <c r="O31" s="75">
        <f t="shared" si="3"/>
        <v>0</v>
      </c>
      <c r="P31" s="75">
        <f t="shared" si="3"/>
        <v>0</v>
      </c>
      <c r="Q31" s="75">
        <f t="shared" si="3"/>
        <v>0</v>
      </c>
      <c r="R31" s="75">
        <f t="shared" si="3"/>
        <v>0</v>
      </c>
      <c r="S31" s="75">
        <f t="shared" si="3"/>
        <v>0</v>
      </c>
      <c r="T31" s="75">
        <f t="shared" si="3"/>
        <v>0</v>
      </c>
      <c r="U31" s="75">
        <f t="shared" si="3"/>
        <v>0</v>
      </c>
      <c r="V31" s="75">
        <f t="shared" si="3"/>
        <v>0</v>
      </c>
      <c r="W31" s="75">
        <f t="shared" si="3"/>
        <v>0</v>
      </c>
      <c r="X31" s="75">
        <f t="shared" si="3"/>
        <v>0</v>
      </c>
      <c r="Y31" s="75">
        <f t="shared" si="3"/>
        <v>0</v>
      </c>
      <c r="Z31" s="75">
        <f t="shared" si="3"/>
        <v>0</v>
      </c>
      <c r="AA31" s="75">
        <f t="shared" si="3"/>
        <v>0</v>
      </c>
      <c r="AB31" s="75">
        <f t="shared" si="3"/>
        <v>0</v>
      </c>
      <c r="AC31" s="75">
        <f t="shared" si="3"/>
        <v>0</v>
      </c>
      <c r="AD31" s="75">
        <f t="shared" si="3"/>
        <v>0</v>
      </c>
      <c r="AE31" s="75">
        <f t="shared" si="3"/>
        <v>0</v>
      </c>
      <c r="AF31" s="75">
        <f t="shared" si="3"/>
        <v>0</v>
      </c>
      <c r="AG31" s="75">
        <f t="shared" si="3"/>
        <v>0</v>
      </c>
      <c r="AH31" s="75">
        <f t="shared" si="3"/>
        <v>0</v>
      </c>
      <c r="AI31" s="75">
        <f t="shared" si="3"/>
        <v>0</v>
      </c>
      <c r="AJ31" s="75">
        <f t="shared" si="3"/>
        <v>0</v>
      </c>
      <c r="AK31" s="75">
        <f t="shared" si="3"/>
        <v>0</v>
      </c>
      <c r="AL31" s="75">
        <f t="shared" si="3"/>
        <v>0</v>
      </c>
      <c r="AM31" s="75">
        <f t="shared" si="3"/>
        <v>0</v>
      </c>
      <c r="AN31" s="75">
        <f t="shared" si="3"/>
        <v>0</v>
      </c>
      <c r="AO31" s="75">
        <f t="shared" si="3"/>
        <v>0</v>
      </c>
      <c r="AP31" s="75">
        <f t="shared" si="3"/>
        <v>0</v>
      </c>
      <c r="AQ31" s="75">
        <f t="shared" si="3"/>
        <v>0</v>
      </c>
      <c r="AR31" s="75">
        <f t="shared" si="3"/>
        <v>0</v>
      </c>
      <c r="AS31" s="75">
        <f t="shared" si="3"/>
        <v>0</v>
      </c>
      <c r="AT31" s="75">
        <f t="shared" si="3"/>
        <v>0</v>
      </c>
      <c r="AU31" s="75">
        <f t="shared" si="3"/>
        <v>0</v>
      </c>
      <c r="AV31" s="75">
        <f t="shared" si="3"/>
        <v>0</v>
      </c>
      <c r="AW31" s="75">
        <f t="shared" si="3"/>
        <v>0</v>
      </c>
      <c r="AX31" s="75">
        <f t="shared" si="3"/>
        <v>0</v>
      </c>
      <c r="AY31" s="75">
        <f t="shared" si="3"/>
        <v>0</v>
      </c>
      <c r="AZ31" s="75">
        <f t="shared" si="3"/>
        <v>0</v>
      </c>
      <c r="BA31" s="75">
        <f t="shared" si="3"/>
        <v>0</v>
      </c>
      <c r="BB31" s="3"/>
    </row>
    <row r="32" spans="1:54" ht="14.25" customHeight="1">
      <c r="A32" s="39"/>
      <c r="B32" s="38"/>
      <c r="C32" s="40"/>
      <c r="D32" s="38"/>
      <c r="E32" s="82"/>
      <c r="F32" s="64"/>
      <c r="G32" s="75"/>
      <c r="H32" s="353"/>
      <c r="I32" s="96" t="s">
        <v>53</v>
      </c>
      <c r="J32" s="67">
        <f>J30/(COUNTIF(J5:J27,"Alive")+COUNTIF(J5:J27,"Sacrificed")+COUNTIF(J5:J27,"Died"))</f>
        <v>1</v>
      </c>
      <c r="K32" s="67">
        <f t="shared" ref="K32:BA32" si="4">K30/(COUNTIF(K5:K27,"Alive")+COUNTIF(K5:K27,"Sacrificed")+COUNTIF(K5:K27,"Died")) *J32</f>
        <v>1</v>
      </c>
      <c r="L32" s="67">
        <f t="shared" si="4"/>
        <v>1</v>
      </c>
      <c r="M32" s="67">
        <f t="shared" si="4"/>
        <v>1</v>
      </c>
      <c r="N32" s="67">
        <f t="shared" si="4"/>
        <v>1</v>
      </c>
      <c r="O32" s="67">
        <f t="shared" si="4"/>
        <v>1</v>
      </c>
      <c r="P32" s="67">
        <f t="shared" si="4"/>
        <v>1</v>
      </c>
      <c r="Q32" s="67">
        <f t="shared" si="4"/>
        <v>0.95652173913043481</v>
      </c>
      <c r="R32" s="67">
        <f t="shared" si="4"/>
        <v>0.91304347826086962</v>
      </c>
      <c r="S32" s="67">
        <f t="shared" si="4"/>
        <v>0.86956521739130432</v>
      </c>
      <c r="T32" s="67">
        <f t="shared" si="4"/>
        <v>0.73913043478260865</v>
      </c>
      <c r="U32" s="67">
        <f t="shared" si="4"/>
        <v>0.60869565217391297</v>
      </c>
      <c r="V32" s="67">
        <f t="shared" si="4"/>
        <v>0.60869565217391297</v>
      </c>
      <c r="W32" s="67">
        <f t="shared" si="4"/>
        <v>0.56521739130434778</v>
      </c>
      <c r="X32" s="67">
        <f t="shared" si="4"/>
        <v>0.52173913043478259</v>
      </c>
      <c r="Y32" s="67">
        <f t="shared" si="4"/>
        <v>0.52173913043478259</v>
      </c>
      <c r="Z32" s="67">
        <f t="shared" si="4"/>
        <v>0.43478260869565216</v>
      </c>
      <c r="AA32" s="67">
        <f t="shared" si="4"/>
        <v>0.34782608695652173</v>
      </c>
      <c r="AB32" s="67">
        <f t="shared" si="4"/>
        <v>0.2608695652173913</v>
      </c>
      <c r="AC32" s="67">
        <f t="shared" si="4"/>
        <v>0.21739130434782608</v>
      </c>
      <c r="AD32" s="67">
        <f t="shared" si="4"/>
        <v>0.21739130434782608</v>
      </c>
      <c r="AE32" s="67">
        <f t="shared" si="4"/>
        <v>0.21739130434782608</v>
      </c>
      <c r="AF32" s="67">
        <f t="shared" si="4"/>
        <v>0.21739130434782608</v>
      </c>
      <c r="AG32" s="67">
        <f t="shared" si="4"/>
        <v>0.17391304347826086</v>
      </c>
      <c r="AH32" s="67">
        <f t="shared" si="4"/>
        <v>0.17391304347826086</v>
      </c>
      <c r="AI32" s="67">
        <f t="shared" si="4"/>
        <v>0.17391304347826086</v>
      </c>
      <c r="AJ32" s="67">
        <f t="shared" si="4"/>
        <v>0.17391304347826086</v>
      </c>
      <c r="AK32" s="67">
        <f t="shared" si="4"/>
        <v>0.17391304347826086</v>
      </c>
      <c r="AL32" s="67">
        <f t="shared" si="4"/>
        <v>0.17391304347826086</v>
      </c>
      <c r="AM32" s="67">
        <f t="shared" si="4"/>
        <v>0.17391304347826086</v>
      </c>
      <c r="AN32" s="67">
        <f t="shared" si="4"/>
        <v>0.17391304347826086</v>
      </c>
      <c r="AO32" s="67">
        <f t="shared" si="4"/>
        <v>0.17391304347826086</v>
      </c>
      <c r="AP32" s="67">
        <f t="shared" si="4"/>
        <v>0.17391304347826086</v>
      </c>
      <c r="AQ32" s="67">
        <f t="shared" si="4"/>
        <v>0.17391304347826086</v>
      </c>
      <c r="AR32" s="67">
        <f t="shared" si="4"/>
        <v>0.17391304347826086</v>
      </c>
      <c r="AS32" s="67">
        <f t="shared" si="4"/>
        <v>0.17391304347826086</v>
      </c>
      <c r="AT32" s="67">
        <f t="shared" si="4"/>
        <v>0.17391304347826086</v>
      </c>
      <c r="AU32" s="67">
        <f t="shared" si="4"/>
        <v>0.13043478260869565</v>
      </c>
      <c r="AV32" s="67">
        <f t="shared" si="4"/>
        <v>0.13043478260869565</v>
      </c>
      <c r="AW32" s="67">
        <f t="shared" si="4"/>
        <v>0.13043478260869565</v>
      </c>
      <c r="AX32" s="67">
        <f t="shared" si="4"/>
        <v>0.13043478260869565</v>
      </c>
      <c r="AY32" s="67">
        <f t="shared" si="4"/>
        <v>0</v>
      </c>
      <c r="AZ32" s="67" t="e">
        <f t="shared" si="4"/>
        <v>#DIV/0!</v>
      </c>
      <c r="BA32" s="67" t="e">
        <f t="shared" si="4"/>
        <v>#DIV/0!</v>
      </c>
      <c r="BB32" s="3"/>
    </row>
    <row r="33" spans="1:54" ht="12.75" customHeight="1">
      <c r="A33" s="103"/>
      <c r="E33" s="83"/>
      <c r="I33" s="38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63"/>
    </row>
    <row r="34" spans="1:54" ht="14.25" customHeight="1">
      <c r="A34" s="103"/>
      <c r="E34" s="108" t="str">
        <f>'NAB_PTX Groups'!C6</f>
        <v>BxPc3 - Control</v>
      </c>
      <c r="H34" s="108" t="str">
        <f>E34</f>
        <v>BxPc3 - Control</v>
      </c>
      <c r="I34" s="96" t="s">
        <v>52</v>
      </c>
      <c r="J34" s="71">
        <f t="shared" ref="J34:BA34" si="5">COUNTIFS($E$5:$E$27,$E34,J$5:J$27,"Alive")</f>
        <v>6</v>
      </c>
      <c r="K34" s="71">
        <f t="shared" si="5"/>
        <v>6</v>
      </c>
      <c r="L34" s="71">
        <f t="shared" si="5"/>
        <v>6</v>
      </c>
      <c r="M34" s="71">
        <f t="shared" si="5"/>
        <v>6</v>
      </c>
      <c r="N34" s="71">
        <f t="shared" si="5"/>
        <v>6</v>
      </c>
      <c r="O34" s="71">
        <f t="shared" si="5"/>
        <v>6</v>
      </c>
      <c r="P34" s="71">
        <f t="shared" si="5"/>
        <v>6</v>
      </c>
      <c r="Q34" s="71">
        <f t="shared" si="5"/>
        <v>5</v>
      </c>
      <c r="R34" s="71">
        <f t="shared" si="5"/>
        <v>4</v>
      </c>
      <c r="S34" s="71">
        <f t="shared" si="5"/>
        <v>3</v>
      </c>
      <c r="T34" s="71">
        <f t="shared" si="5"/>
        <v>2</v>
      </c>
      <c r="U34" s="71">
        <f t="shared" si="5"/>
        <v>0</v>
      </c>
      <c r="V34" s="71">
        <f t="shared" si="5"/>
        <v>0</v>
      </c>
      <c r="W34" s="71">
        <f t="shared" si="5"/>
        <v>0</v>
      </c>
      <c r="X34" s="71">
        <f t="shared" si="5"/>
        <v>0</v>
      </c>
      <c r="Y34" s="71">
        <f t="shared" si="5"/>
        <v>0</v>
      </c>
      <c r="Z34" s="71">
        <f t="shared" si="5"/>
        <v>0</v>
      </c>
      <c r="AA34" s="71">
        <f t="shared" si="5"/>
        <v>0</v>
      </c>
      <c r="AB34" s="71">
        <f t="shared" si="5"/>
        <v>0</v>
      </c>
      <c r="AC34" s="71">
        <f t="shared" si="5"/>
        <v>0</v>
      </c>
      <c r="AD34" s="71">
        <f t="shared" si="5"/>
        <v>0</v>
      </c>
      <c r="AE34" s="71">
        <f t="shared" si="5"/>
        <v>0</v>
      </c>
      <c r="AF34" s="71">
        <f t="shared" si="5"/>
        <v>0</v>
      </c>
      <c r="AG34" s="71">
        <f t="shared" si="5"/>
        <v>0</v>
      </c>
      <c r="AH34" s="71">
        <f t="shared" si="5"/>
        <v>0</v>
      </c>
      <c r="AI34" s="71">
        <f t="shared" si="5"/>
        <v>0</v>
      </c>
      <c r="AJ34" s="71">
        <f t="shared" si="5"/>
        <v>0</v>
      </c>
      <c r="AK34" s="71">
        <f t="shared" si="5"/>
        <v>0</v>
      </c>
      <c r="AL34" s="71">
        <f t="shared" si="5"/>
        <v>0</v>
      </c>
      <c r="AM34" s="71">
        <f t="shared" si="5"/>
        <v>0</v>
      </c>
      <c r="AN34" s="71">
        <f t="shared" si="5"/>
        <v>0</v>
      </c>
      <c r="AO34" s="71">
        <f t="shared" si="5"/>
        <v>0</v>
      </c>
      <c r="AP34" s="71">
        <f t="shared" si="5"/>
        <v>0</v>
      </c>
      <c r="AQ34" s="71">
        <f t="shared" si="5"/>
        <v>0</v>
      </c>
      <c r="AR34" s="71">
        <f t="shared" si="5"/>
        <v>0</v>
      </c>
      <c r="AS34" s="71">
        <f t="shared" si="5"/>
        <v>0</v>
      </c>
      <c r="AT34" s="71">
        <f t="shared" si="5"/>
        <v>0</v>
      </c>
      <c r="AU34" s="71">
        <f t="shared" si="5"/>
        <v>0</v>
      </c>
      <c r="AV34" s="71">
        <f t="shared" si="5"/>
        <v>0</v>
      </c>
      <c r="AW34" s="71">
        <f t="shared" si="5"/>
        <v>0</v>
      </c>
      <c r="AX34" s="71">
        <f t="shared" si="5"/>
        <v>0</v>
      </c>
      <c r="AY34" s="71">
        <f t="shared" si="5"/>
        <v>0</v>
      </c>
      <c r="AZ34" s="71">
        <f t="shared" si="5"/>
        <v>0</v>
      </c>
      <c r="BA34" s="71">
        <f t="shared" si="5"/>
        <v>0</v>
      </c>
      <c r="BB34" s="69"/>
    </row>
    <row r="35" spans="1:54" ht="14.25" customHeight="1">
      <c r="A35" s="103"/>
      <c r="E35" s="83"/>
      <c r="H35" s="83"/>
      <c r="I35" s="132" t="s">
        <v>51</v>
      </c>
      <c r="J35" s="74">
        <f t="shared" ref="J35:BA35" si="6">COUNTIFS($E$5:$E$27,$E34,J$5:J$27,"Censored")</f>
        <v>0</v>
      </c>
      <c r="K35" s="74">
        <f t="shared" si="6"/>
        <v>0</v>
      </c>
      <c r="L35" s="74">
        <f t="shared" si="6"/>
        <v>0</v>
      </c>
      <c r="M35" s="74">
        <f t="shared" si="6"/>
        <v>0</v>
      </c>
      <c r="N35" s="74">
        <f t="shared" si="6"/>
        <v>0</v>
      </c>
      <c r="O35" s="74">
        <f t="shared" si="6"/>
        <v>0</v>
      </c>
      <c r="P35" s="74">
        <f t="shared" si="6"/>
        <v>0</v>
      </c>
      <c r="Q35" s="74">
        <f t="shared" si="6"/>
        <v>0</v>
      </c>
      <c r="R35" s="74">
        <f t="shared" si="6"/>
        <v>0</v>
      </c>
      <c r="S35" s="74">
        <f t="shared" si="6"/>
        <v>0</v>
      </c>
      <c r="T35" s="74">
        <f t="shared" si="6"/>
        <v>0</v>
      </c>
      <c r="U35" s="74">
        <f t="shared" si="6"/>
        <v>0</v>
      </c>
      <c r="V35" s="74">
        <f t="shared" si="6"/>
        <v>0</v>
      </c>
      <c r="W35" s="74">
        <f t="shared" si="6"/>
        <v>0</v>
      </c>
      <c r="X35" s="74">
        <f t="shared" si="6"/>
        <v>0</v>
      </c>
      <c r="Y35" s="74">
        <f t="shared" si="6"/>
        <v>0</v>
      </c>
      <c r="Z35" s="74">
        <f t="shared" si="6"/>
        <v>0</v>
      </c>
      <c r="AA35" s="74">
        <f t="shared" si="6"/>
        <v>0</v>
      </c>
      <c r="AB35" s="74">
        <f t="shared" si="6"/>
        <v>0</v>
      </c>
      <c r="AC35" s="74">
        <f t="shared" si="6"/>
        <v>0</v>
      </c>
      <c r="AD35" s="74">
        <f t="shared" si="6"/>
        <v>0</v>
      </c>
      <c r="AE35" s="74">
        <f t="shared" si="6"/>
        <v>0</v>
      </c>
      <c r="AF35" s="74">
        <f t="shared" si="6"/>
        <v>0</v>
      </c>
      <c r="AG35" s="74">
        <f t="shared" si="6"/>
        <v>0</v>
      </c>
      <c r="AH35" s="74">
        <f t="shared" si="6"/>
        <v>0</v>
      </c>
      <c r="AI35" s="74">
        <f t="shared" si="6"/>
        <v>0</v>
      </c>
      <c r="AJ35" s="74">
        <f t="shared" si="6"/>
        <v>0</v>
      </c>
      <c r="AK35" s="74">
        <f t="shared" si="6"/>
        <v>0</v>
      </c>
      <c r="AL35" s="74">
        <f t="shared" si="6"/>
        <v>0</v>
      </c>
      <c r="AM35" s="74">
        <f t="shared" si="6"/>
        <v>0</v>
      </c>
      <c r="AN35" s="74">
        <f t="shared" si="6"/>
        <v>0</v>
      </c>
      <c r="AO35" s="74">
        <f t="shared" si="6"/>
        <v>0</v>
      </c>
      <c r="AP35" s="74">
        <f t="shared" si="6"/>
        <v>0</v>
      </c>
      <c r="AQ35" s="74">
        <f t="shared" si="6"/>
        <v>0</v>
      </c>
      <c r="AR35" s="74">
        <f t="shared" si="6"/>
        <v>0</v>
      </c>
      <c r="AS35" s="74">
        <f t="shared" si="6"/>
        <v>0</v>
      </c>
      <c r="AT35" s="74">
        <f t="shared" si="6"/>
        <v>0</v>
      </c>
      <c r="AU35" s="74">
        <f t="shared" si="6"/>
        <v>0</v>
      </c>
      <c r="AV35" s="74">
        <f t="shared" si="6"/>
        <v>0</v>
      </c>
      <c r="AW35" s="74">
        <f t="shared" si="6"/>
        <v>0</v>
      </c>
      <c r="AX35" s="74">
        <f t="shared" si="6"/>
        <v>0</v>
      </c>
      <c r="AY35" s="74">
        <f t="shared" si="6"/>
        <v>0</v>
      </c>
      <c r="AZ35" s="74">
        <f t="shared" si="6"/>
        <v>0</v>
      </c>
      <c r="BA35" s="74">
        <f t="shared" si="6"/>
        <v>0</v>
      </c>
      <c r="BB35" s="69"/>
    </row>
    <row r="36" spans="1:54" ht="14.25" customHeight="1">
      <c r="A36" s="39"/>
      <c r="B36" s="38"/>
      <c r="C36" s="40"/>
      <c r="D36" s="38"/>
      <c r="E36" s="82"/>
      <c r="F36" s="64"/>
      <c r="G36" s="75"/>
      <c r="H36" s="83"/>
      <c r="I36" s="132" t="s">
        <v>53</v>
      </c>
      <c r="J36" s="67">
        <f>J34/(COUNTIFS($E$5:$E$27,$E34,J$5:J$27,"Alive")+COUNTIFS($E$5:$E$27,$E34,J$5:J$27,"Sacrificed")+COUNTIFS($E$5:$E$27,$E34,J$5:J$27,"Died"))</f>
        <v>1</v>
      </c>
      <c r="K36" s="67">
        <f t="shared" ref="K36:BA36" si="7">K34/(COUNTIFS($E$5:$E$27,$E34,K$5:K$27,"Alive")+COUNTIFS($E$5:$E$27,$E34,K$5:K$27,"Sacrificed")+COUNTIFS($E$5:$E$27,$E34,K$5:K$27,"Died"))*J36</f>
        <v>1</v>
      </c>
      <c r="L36" s="67">
        <f t="shared" si="7"/>
        <v>1</v>
      </c>
      <c r="M36" s="67">
        <f t="shared" si="7"/>
        <v>1</v>
      </c>
      <c r="N36" s="67">
        <f t="shared" si="7"/>
        <v>1</v>
      </c>
      <c r="O36" s="67">
        <f t="shared" si="7"/>
        <v>1</v>
      </c>
      <c r="P36" s="67">
        <f t="shared" si="7"/>
        <v>1</v>
      </c>
      <c r="Q36" s="67">
        <f t="shared" si="7"/>
        <v>0.83333333333333337</v>
      </c>
      <c r="R36" s="67">
        <f t="shared" si="7"/>
        <v>0.66666666666666674</v>
      </c>
      <c r="S36" s="67">
        <f t="shared" si="7"/>
        <v>0.5</v>
      </c>
      <c r="T36" s="67">
        <f t="shared" si="7"/>
        <v>0.33333333333333331</v>
      </c>
      <c r="U36" s="67">
        <f t="shared" si="7"/>
        <v>0</v>
      </c>
      <c r="V36" s="67" t="e">
        <f t="shared" si="7"/>
        <v>#DIV/0!</v>
      </c>
      <c r="W36" s="67" t="e">
        <f t="shared" si="7"/>
        <v>#DIV/0!</v>
      </c>
      <c r="X36" s="67" t="e">
        <f t="shared" si="7"/>
        <v>#DIV/0!</v>
      </c>
      <c r="Y36" s="67" t="e">
        <f t="shared" si="7"/>
        <v>#DIV/0!</v>
      </c>
      <c r="Z36" s="67" t="e">
        <f t="shared" si="7"/>
        <v>#DIV/0!</v>
      </c>
      <c r="AA36" s="67" t="e">
        <f t="shared" si="7"/>
        <v>#DIV/0!</v>
      </c>
      <c r="AB36" s="67" t="e">
        <f t="shared" si="7"/>
        <v>#DIV/0!</v>
      </c>
      <c r="AC36" s="67" t="e">
        <f t="shared" si="7"/>
        <v>#DIV/0!</v>
      </c>
      <c r="AD36" s="67" t="e">
        <f t="shared" si="7"/>
        <v>#DIV/0!</v>
      </c>
      <c r="AE36" s="67" t="e">
        <f t="shared" si="7"/>
        <v>#DIV/0!</v>
      </c>
      <c r="AF36" s="67" t="e">
        <f t="shared" si="7"/>
        <v>#DIV/0!</v>
      </c>
      <c r="AG36" s="67" t="e">
        <f t="shared" si="7"/>
        <v>#DIV/0!</v>
      </c>
      <c r="AH36" s="67" t="e">
        <f t="shared" si="7"/>
        <v>#DIV/0!</v>
      </c>
      <c r="AI36" s="67" t="e">
        <f t="shared" si="7"/>
        <v>#DIV/0!</v>
      </c>
      <c r="AJ36" s="67" t="e">
        <f t="shared" si="7"/>
        <v>#DIV/0!</v>
      </c>
      <c r="AK36" s="67" t="e">
        <f t="shared" si="7"/>
        <v>#DIV/0!</v>
      </c>
      <c r="AL36" s="67" t="e">
        <f t="shared" si="7"/>
        <v>#DIV/0!</v>
      </c>
      <c r="AM36" s="67" t="e">
        <f t="shared" si="7"/>
        <v>#DIV/0!</v>
      </c>
      <c r="AN36" s="67" t="e">
        <f t="shared" si="7"/>
        <v>#DIV/0!</v>
      </c>
      <c r="AO36" s="67" t="e">
        <f t="shared" si="7"/>
        <v>#DIV/0!</v>
      </c>
      <c r="AP36" s="67" t="e">
        <f t="shared" si="7"/>
        <v>#DIV/0!</v>
      </c>
      <c r="AQ36" s="67" t="e">
        <f t="shared" si="7"/>
        <v>#DIV/0!</v>
      </c>
      <c r="AR36" s="67" t="e">
        <f t="shared" si="7"/>
        <v>#DIV/0!</v>
      </c>
      <c r="AS36" s="67" t="e">
        <f t="shared" si="7"/>
        <v>#DIV/0!</v>
      </c>
      <c r="AT36" s="67" t="e">
        <f t="shared" si="7"/>
        <v>#DIV/0!</v>
      </c>
      <c r="AU36" s="67" t="e">
        <f t="shared" si="7"/>
        <v>#DIV/0!</v>
      </c>
      <c r="AV36" s="67" t="e">
        <f t="shared" si="7"/>
        <v>#DIV/0!</v>
      </c>
      <c r="AW36" s="67" t="e">
        <f t="shared" si="7"/>
        <v>#DIV/0!</v>
      </c>
      <c r="AX36" s="67" t="e">
        <f t="shared" si="7"/>
        <v>#DIV/0!</v>
      </c>
      <c r="AY36" s="67" t="e">
        <f t="shared" si="7"/>
        <v>#DIV/0!</v>
      </c>
      <c r="AZ36" s="67" t="e">
        <f t="shared" si="7"/>
        <v>#DIV/0!</v>
      </c>
      <c r="BA36" s="67" t="e">
        <f t="shared" si="7"/>
        <v>#DIV/0!</v>
      </c>
      <c r="BB36" s="3"/>
    </row>
    <row r="37" spans="1:54" ht="15">
      <c r="A37" s="103"/>
      <c r="E37" s="45"/>
      <c r="H37" s="45"/>
    </row>
    <row r="38" spans="1:54" ht="14.25" customHeight="1">
      <c r="A38" s="103"/>
      <c r="E38" s="108" t="str">
        <f>'NAB_PTX Groups'!C7</f>
        <v>BxPc3 - 131I-ELP only</v>
      </c>
      <c r="H38" s="108" t="str">
        <f>E38</f>
        <v>BxPc3 - 131I-ELP only</v>
      </c>
      <c r="I38" s="132" t="s">
        <v>52</v>
      </c>
      <c r="J38" s="71">
        <f t="shared" ref="J38:BA38" si="8">COUNTIFS($E$5:$E$27,$E38,J$5:J$27,"Alive")</f>
        <v>6</v>
      </c>
      <c r="K38" s="71">
        <f t="shared" si="8"/>
        <v>6</v>
      </c>
      <c r="L38" s="71">
        <f t="shared" si="8"/>
        <v>6</v>
      </c>
      <c r="M38" s="71">
        <f t="shared" si="8"/>
        <v>6</v>
      </c>
      <c r="N38" s="71">
        <f t="shared" si="8"/>
        <v>6</v>
      </c>
      <c r="O38" s="71">
        <f t="shared" si="8"/>
        <v>6</v>
      </c>
      <c r="P38" s="71">
        <f t="shared" si="8"/>
        <v>6</v>
      </c>
      <c r="Q38" s="71">
        <f t="shared" si="8"/>
        <v>6</v>
      </c>
      <c r="R38" s="71">
        <f t="shared" si="8"/>
        <v>6</v>
      </c>
      <c r="S38" s="71">
        <f t="shared" si="8"/>
        <v>6</v>
      </c>
      <c r="T38" s="71">
        <f t="shared" si="8"/>
        <v>6</v>
      </c>
      <c r="U38" s="71">
        <f t="shared" si="8"/>
        <v>6</v>
      </c>
      <c r="V38" s="71">
        <f t="shared" si="8"/>
        <v>6</v>
      </c>
      <c r="W38" s="71">
        <f t="shared" si="8"/>
        <v>6</v>
      </c>
      <c r="X38" s="71">
        <f t="shared" si="8"/>
        <v>5</v>
      </c>
      <c r="Y38" s="71">
        <f t="shared" si="8"/>
        <v>5</v>
      </c>
      <c r="Z38" s="71">
        <f t="shared" si="8"/>
        <v>3</v>
      </c>
      <c r="AA38" s="71">
        <f t="shared" si="8"/>
        <v>2</v>
      </c>
      <c r="AB38" s="71">
        <f t="shared" si="8"/>
        <v>0</v>
      </c>
      <c r="AC38" s="71">
        <f t="shared" si="8"/>
        <v>0</v>
      </c>
      <c r="AD38" s="71">
        <f t="shared" si="8"/>
        <v>0</v>
      </c>
      <c r="AE38" s="71">
        <f t="shared" si="8"/>
        <v>0</v>
      </c>
      <c r="AF38" s="71">
        <f t="shared" si="8"/>
        <v>0</v>
      </c>
      <c r="AG38" s="71">
        <f t="shared" si="8"/>
        <v>0</v>
      </c>
      <c r="AH38" s="71">
        <f t="shared" si="8"/>
        <v>0</v>
      </c>
      <c r="AI38" s="71">
        <f t="shared" si="8"/>
        <v>0</v>
      </c>
      <c r="AJ38" s="71">
        <f t="shared" si="8"/>
        <v>0</v>
      </c>
      <c r="AK38" s="71">
        <f t="shared" si="8"/>
        <v>0</v>
      </c>
      <c r="AL38" s="71">
        <f t="shared" si="8"/>
        <v>0</v>
      </c>
      <c r="AM38" s="71">
        <f t="shared" si="8"/>
        <v>0</v>
      </c>
      <c r="AN38" s="71">
        <f t="shared" si="8"/>
        <v>0</v>
      </c>
      <c r="AO38" s="71">
        <f t="shared" si="8"/>
        <v>0</v>
      </c>
      <c r="AP38" s="71">
        <f t="shared" si="8"/>
        <v>0</v>
      </c>
      <c r="AQ38" s="71">
        <f t="shared" si="8"/>
        <v>0</v>
      </c>
      <c r="AR38" s="71">
        <f t="shared" si="8"/>
        <v>0</v>
      </c>
      <c r="AS38" s="71">
        <f t="shared" si="8"/>
        <v>0</v>
      </c>
      <c r="AT38" s="71">
        <f t="shared" si="8"/>
        <v>0</v>
      </c>
      <c r="AU38" s="71">
        <f t="shared" si="8"/>
        <v>0</v>
      </c>
      <c r="AV38" s="71">
        <f t="shared" si="8"/>
        <v>0</v>
      </c>
      <c r="AW38" s="71">
        <f t="shared" si="8"/>
        <v>0</v>
      </c>
      <c r="AX38" s="71">
        <f t="shared" si="8"/>
        <v>0</v>
      </c>
      <c r="AY38" s="71">
        <f t="shared" si="8"/>
        <v>0</v>
      </c>
      <c r="AZ38" s="71">
        <f t="shared" si="8"/>
        <v>0</v>
      </c>
      <c r="BA38" s="71">
        <f t="shared" si="8"/>
        <v>0</v>
      </c>
      <c r="BB38" s="69"/>
    </row>
    <row r="39" spans="1:54" ht="14.25" customHeight="1">
      <c r="A39" s="103"/>
      <c r="E39" s="83"/>
      <c r="H39" s="83"/>
      <c r="I39" s="132" t="s">
        <v>51</v>
      </c>
      <c r="J39" s="74">
        <f t="shared" ref="J39:BA39" si="9">COUNTIFS($E$5:$E$27,$E38,J$5:J$27,"Censored")</f>
        <v>0</v>
      </c>
      <c r="K39" s="74">
        <f t="shared" si="9"/>
        <v>0</v>
      </c>
      <c r="L39" s="74">
        <f t="shared" si="9"/>
        <v>0</v>
      </c>
      <c r="M39" s="74">
        <f t="shared" si="9"/>
        <v>0</v>
      </c>
      <c r="N39" s="74">
        <f t="shared" si="9"/>
        <v>0</v>
      </c>
      <c r="O39" s="74">
        <f t="shared" si="9"/>
        <v>0</v>
      </c>
      <c r="P39" s="74">
        <f t="shared" si="9"/>
        <v>0</v>
      </c>
      <c r="Q39" s="74">
        <f t="shared" si="9"/>
        <v>0</v>
      </c>
      <c r="R39" s="74">
        <f t="shared" si="9"/>
        <v>0</v>
      </c>
      <c r="S39" s="74">
        <f t="shared" si="9"/>
        <v>0</v>
      </c>
      <c r="T39" s="74">
        <f t="shared" si="9"/>
        <v>0</v>
      </c>
      <c r="U39" s="74">
        <f t="shared" si="9"/>
        <v>0</v>
      </c>
      <c r="V39" s="74">
        <f t="shared" si="9"/>
        <v>0</v>
      </c>
      <c r="W39" s="74">
        <f t="shared" si="9"/>
        <v>0</v>
      </c>
      <c r="X39" s="74">
        <f t="shared" si="9"/>
        <v>0</v>
      </c>
      <c r="Y39" s="74">
        <f t="shared" si="9"/>
        <v>0</v>
      </c>
      <c r="Z39" s="74">
        <f t="shared" si="9"/>
        <v>0</v>
      </c>
      <c r="AA39" s="74">
        <f t="shared" si="9"/>
        <v>0</v>
      </c>
      <c r="AB39" s="74">
        <f t="shared" si="9"/>
        <v>0</v>
      </c>
      <c r="AC39" s="74">
        <f t="shared" si="9"/>
        <v>0</v>
      </c>
      <c r="AD39" s="74">
        <f t="shared" si="9"/>
        <v>0</v>
      </c>
      <c r="AE39" s="74">
        <f t="shared" si="9"/>
        <v>0</v>
      </c>
      <c r="AF39" s="74">
        <f t="shared" si="9"/>
        <v>0</v>
      </c>
      <c r="AG39" s="74">
        <f t="shared" si="9"/>
        <v>0</v>
      </c>
      <c r="AH39" s="74">
        <f t="shared" si="9"/>
        <v>0</v>
      </c>
      <c r="AI39" s="74">
        <f t="shared" si="9"/>
        <v>0</v>
      </c>
      <c r="AJ39" s="74">
        <f t="shared" si="9"/>
        <v>0</v>
      </c>
      <c r="AK39" s="74">
        <f t="shared" si="9"/>
        <v>0</v>
      </c>
      <c r="AL39" s="74">
        <f t="shared" si="9"/>
        <v>0</v>
      </c>
      <c r="AM39" s="74">
        <f t="shared" si="9"/>
        <v>0</v>
      </c>
      <c r="AN39" s="74">
        <f t="shared" si="9"/>
        <v>0</v>
      </c>
      <c r="AO39" s="74">
        <f t="shared" si="9"/>
        <v>0</v>
      </c>
      <c r="AP39" s="74">
        <f t="shared" si="9"/>
        <v>0</v>
      </c>
      <c r="AQ39" s="74">
        <f t="shared" si="9"/>
        <v>0</v>
      </c>
      <c r="AR39" s="74">
        <f t="shared" si="9"/>
        <v>0</v>
      </c>
      <c r="AS39" s="74">
        <f t="shared" si="9"/>
        <v>0</v>
      </c>
      <c r="AT39" s="74">
        <f t="shared" si="9"/>
        <v>0</v>
      </c>
      <c r="AU39" s="74">
        <f t="shared" si="9"/>
        <v>0</v>
      </c>
      <c r="AV39" s="74">
        <f t="shared" si="9"/>
        <v>0</v>
      </c>
      <c r="AW39" s="74">
        <f t="shared" si="9"/>
        <v>0</v>
      </c>
      <c r="AX39" s="74">
        <f t="shared" si="9"/>
        <v>0</v>
      </c>
      <c r="AY39" s="74">
        <f t="shared" si="9"/>
        <v>0</v>
      </c>
      <c r="AZ39" s="74">
        <f t="shared" si="9"/>
        <v>0</v>
      </c>
      <c r="BA39" s="74">
        <f t="shared" si="9"/>
        <v>0</v>
      </c>
      <c r="BB39" s="69"/>
    </row>
    <row r="40" spans="1:54" ht="14.25" customHeight="1">
      <c r="A40" s="39"/>
      <c r="B40" s="38"/>
      <c r="C40" s="40"/>
      <c r="D40" s="38"/>
      <c r="E40" s="82"/>
      <c r="F40" s="64"/>
      <c r="G40" s="75"/>
      <c r="H40" s="83"/>
      <c r="I40" s="132" t="s">
        <v>53</v>
      </c>
      <c r="J40" s="67">
        <f>J38/(COUNTIFS($E$5:$E$27,$E38,J$5:J$27,"Alive")+COUNTIFS($E$5:$E$27,$E38,J$5:J$27,"Sacrificed")+COUNTIFS($E$5:$E$27,$E38,J$5:J$27,"Died"))</f>
        <v>1</v>
      </c>
      <c r="K40" s="67">
        <f t="shared" ref="K40:BA40" si="10">K38/(COUNTIFS($E$5:$E$27,$E38,K$5:K$27,"Alive")+COUNTIFS($E$5:$E$27,$E38,K$5:K$27,"Sacrificed")+COUNTIFS($E$5:$E$27,$E38,K$5:K$27,"Died"))*J40</f>
        <v>1</v>
      </c>
      <c r="L40" s="67">
        <f t="shared" si="10"/>
        <v>1</v>
      </c>
      <c r="M40" s="67">
        <f t="shared" si="10"/>
        <v>1</v>
      </c>
      <c r="N40" s="67">
        <f t="shared" si="10"/>
        <v>1</v>
      </c>
      <c r="O40" s="67">
        <f t="shared" si="10"/>
        <v>1</v>
      </c>
      <c r="P40" s="67">
        <f t="shared" si="10"/>
        <v>1</v>
      </c>
      <c r="Q40" s="67">
        <f t="shared" si="10"/>
        <v>1</v>
      </c>
      <c r="R40" s="67">
        <f t="shared" si="10"/>
        <v>1</v>
      </c>
      <c r="S40" s="67">
        <f t="shared" si="10"/>
        <v>1</v>
      </c>
      <c r="T40" s="67">
        <f t="shared" si="10"/>
        <v>1</v>
      </c>
      <c r="U40" s="67">
        <f t="shared" si="10"/>
        <v>1</v>
      </c>
      <c r="V40" s="67">
        <f t="shared" si="10"/>
        <v>1</v>
      </c>
      <c r="W40" s="67">
        <f t="shared" si="10"/>
        <v>1</v>
      </c>
      <c r="X40" s="67">
        <f t="shared" si="10"/>
        <v>0.83333333333333337</v>
      </c>
      <c r="Y40" s="67">
        <f t="shared" si="10"/>
        <v>0.83333333333333337</v>
      </c>
      <c r="Z40" s="67">
        <f t="shared" si="10"/>
        <v>0.5</v>
      </c>
      <c r="AA40" s="67">
        <f t="shared" si="10"/>
        <v>0.33333333333333331</v>
      </c>
      <c r="AB40" s="67">
        <f t="shared" si="10"/>
        <v>0</v>
      </c>
      <c r="AC40" s="67" t="e">
        <f t="shared" si="10"/>
        <v>#DIV/0!</v>
      </c>
      <c r="AD40" s="67" t="e">
        <f t="shared" si="10"/>
        <v>#DIV/0!</v>
      </c>
      <c r="AE40" s="67" t="e">
        <f t="shared" si="10"/>
        <v>#DIV/0!</v>
      </c>
      <c r="AF40" s="67" t="e">
        <f t="shared" si="10"/>
        <v>#DIV/0!</v>
      </c>
      <c r="AG40" s="67" t="e">
        <f t="shared" si="10"/>
        <v>#DIV/0!</v>
      </c>
      <c r="AH40" s="67" t="e">
        <f t="shared" si="10"/>
        <v>#DIV/0!</v>
      </c>
      <c r="AI40" s="67" t="e">
        <f t="shared" si="10"/>
        <v>#DIV/0!</v>
      </c>
      <c r="AJ40" s="67" t="e">
        <f t="shared" si="10"/>
        <v>#DIV/0!</v>
      </c>
      <c r="AK40" s="67" t="e">
        <f t="shared" si="10"/>
        <v>#DIV/0!</v>
      </c>
      <c r="AL40" s="67" t="e">
        <f t="shared" si="10"/>
        <v>#DIV/0!</v>
      </c>
      <c r="AM40" s="67" t="e">
        <f t="shared" si="10"/>
        <v>#DIV/0!</v>
      </c>
      <c r="AN40" s="67" t="e">
        <f t="shared" si="10"/>
        <v>#DIV/0!</v>
      </c>
      <c r="AO40" s="67" t="e">
        <f t="shared" si="10"/>
        <v>#DIV/0!</v>
      </c>
      <c r="AP40" s="67" t="e">
        <f t="shared" si="10"/>
        <v>#DIV/0!</v>
      </c>
      <c r="AQ40" s="67" t="e">
        <f t="shared" si="10"/>
        <v>#DIV/0!</v>
      </c>
      <c r="AR40" s="67" t="e">
        <f t="shared" si="10"/>
        <v>#DIV/0!</v>
      </c>
      <c r="AS40" s="67" t="e">
        <f t="shared" si="10"/>
        <v>#DIV/0!</v>
      </c>
      <c r="AT40" s="67" t="e">
        <f t="shared" si="10"/>
        <v>#DIV/0!</v>
      </c>
      <c r="AU40" s="67" t="e">
        <f t="shared" si="10"/>
        <v>#DIV/0!</v>
      </c>
      <c r="AV40" s="67" t="e">
        <f t="shared" si="10"/>
        <v>#DIV/0!</v>
      </c>
      <c r="AW40" s="67" t="e">
        <f t="shared" si="10"/>
        <v>#DIV/0!</v>
      </c>
      <c r="AX40" s="67" t="e">
        <f t="shared" si="10"/>
        <v>#DIV/0!</v>
      </c>
      <c r="AY40" s="67" t="e">
        <f t="shared" si="10"/>
        <v>#DIV/0!</v>
      </c>
      <c r="AZ40" s="67" t="e">
        <f t="shared" si="10"/>
        <v>#DIV/0!</v>
      </c>
      <c r="BA40" s="67" t="e">
        <f t="shared" si="10"/>
        <v>#DIV/0!</v>
      </c>
      <c r="BB40" s="3"/>
    </row>
    <row r="42" spans="1:54" ht="14.25" customHeight="1">
      <c r="A42" s="103"/>
      <c r="E42" s="108" t="str">
        <f>'NAB_PTX Groups'!C8</f>
        <v>BxPc3 - Abraxane only</v>
      </c>
      <c r="H42" s="108" t="str">
        <f>E42</f>
        <v>BxPc3 - Abraxane only</v>
      </c>
      <c r="I42" s="132" t="s">
        <v>52</v>
      </c>
      <c r="J42" s="71">
        <f t="shared" ref="J42:BA42" si="11">COUNTIFS($E$5:$E$27,$E42,J$5:J$27,"Alive")</f>
        <v>5</v>
      </c>
      <c r="K42" s="71">
        <f t="shared" si="11"/>
        <v>5</v>
      </c>
      <c r="L42" s="71">
        <f t="shared" si="11"/>
        <v>5</v>
      </c>
      <c r="M42" s="71">
        <f t="shared" si="11"/>
        <v>5</v>
      </c>
      <c r="N42" s="71">
        <f t="shared" si="11"/>
        <v>5</v>
      </c>
      <c r="O42" s="71">
        <f t="shared" si="11"/>
        <v>5</v>
      </c>
      <c r="P42" s="71">
        <f t="shared" si="11"/>
        <v>5</v>
      </c>
      <c r="Q42" s="71">
        <f t="shared" si="11"/>
        <v>5</v>
      </c>
      <c r="R42" s="71">
        <f t="shared" si="11"/>
        <v>5</v>
      </c>
      <c r="S42" s="71">
        <f t="shared" si="11"/>
        <v>5</v>
      </c>
      <c r="T42" s="71">
        <f t="shared" si="11"/>
        <v>3</v>
      </c>
      <c r="U42" s="71">
        <f t="shared" si="11"/>
        <v>2</v>
      </c>
      <c r="V42" s="71">
        <f t="shared" si="11"/>
        <v>2</v>
      </c>
      <c r="W42" s="71">
        <f t="shared" si="11"/>
        <v>1</v>
      </c>
      <c r="X42" s="71">
        <f t="shared" si="11"/>
        <v>1</v>
      </c>
      <c r="Y42" s="71">
        <f t="shared" si="11"/>
        <v>1</v>
      </c>
      <c r="Z42" s="71">
        <f t="shared" si="11"/>
        <v>1</v>
      </c>
      <c r="AA42" s="71">
        <f t="shared" si="11"/>
        <v>1</v>
      </c>
      <c r="AB42" s="71">
        <f t="shared" si="11"/>
        <v>1</v>
      </c>
      <c r="AC42" s="71">
        <f t="shared" si="11"/>
        <v>0</v>
      </c>
      <c r="AD42" s="71">
        <f t="shared" si="11"/>
        <v>0</v>
      </c>
      <c r="AE42" s="71">
        <f t="shared" si="11"/>
        <v>0</v>
      </c>
      <c r="AF42" s="71">
        <f t="shared" si="11"/>
        <v>0</v>
      </c>
      <c r="AG42" s="71">
        <f t="shared" si="11"/>
        <v>0</v>
      </c>
      <c r="AH42" s="71">
        <f t="shared" si="11"/>
        <v>0</v>
      </c>
      <c r="AI42" s="71">
        <f t="shared" si="11"/>
        <v>0</v>
      </c>
      <c r="AJ42" s="71">
        <f t="shared" si="11"/>
        <v>0</v>
      </c>
      <c r="AK42" s="71">
        <f t="shared" si="11"/>
        <v>0</v>
      </c>
      <c r="AL42" s="71">
        <f t="shared" si="11"/>
        <v>0</v>
      </c>
      <c r="AM42" s="71">
        <f t="shared" si="11"/>
        <v>0</v>
      </c>
      <c r="AN42" s="71">
        <f t="shared" si="11"/>
        <v>0</v>
      </c>
      <c r="AO42" s="71">
        <f t="shared" si="11"/>
        <v>0</v>
      </c>
      <c r="AP42" s="71">
        <f t="shared" si="11"/>
        <v>0</v>
      </c>
      <c r="AQ42" s="71">
        <f t="shared" si="11"/>
        <v>0</v>
      </c>
      <c r="AR42" s="71">
        <f t="shared" si="11"/>
        <v>0</v>
      </c>
      <c r="AS42" s="71">
        <f t="shared" si="11"/>
        <v>0</v>
      </c>
      <c r="AT42" s="71">
        <f t="shared" si="11"/>
        <v>0</v>
      </c>
      <c r="AU42" s="71">
        <f t="shared" si="11"/>
        <v>0</v>
      </c>
      <c r="AV42" s="71">
        <f t="shared" si="11"/>
        <v>0</v>
      </c>
      <c r="AW42" s="71">
        <f t="shared" si="11"/>
        <v>0</v>
      </c>
      <c r="AX42" s="71">
        <f t="shared" si="11"/>
        <v>0</v>
      </c>
      <c r="AY42" s="71">
        <f t="shared" si="11"/>
        <v>0</v>
      </c>
      <c r="AZ42" s="71">
        <f t="shared" si="11"/>
        <v>0</v>
      </c>
      <c r="BA42" s="71">
        <f t="shared" si="11"/>
        <v>0</v>
      </c>
      <c r="BB42" s="69"/>
    </row>
    <row r="43" spans="1:54" ht="14.25" customHeight="1">
      <c r="A43" s="103"/>
      <c r="E43" s="83"/>
      <c r="H43" s="83"/>
      <c r="I43" s="132" t="s">
        <v>51</v>
      </c>
      <c r="J43" s="74">
        <f t="shared" ref="J43:BA43" si="12">COUNTIFS($E$5:$E$27,$E42,J$5:J$27,"Censored")</f>
        <v>0</v>
      </c>
      <c r="K43" s="74">
        <f t="shared" si="12"/>
        <v>0</v>
      </c>
      <c r="L43" s="74">
        <f t="shared" si="12"/>
        <v>0</v>
      </c>
      <c r="M43" s="74">
        <f t="shared" si="12"/>
        <v>0</v>
      </c>
      <c r="N43" s="74">
        <f t="shared" si="12"/>
        <v>0</v>
      </c>
      <c r="O43" s="74">
        <f t="shared" si="12"/>
        <v>0</v>
      </c>
      <c r="P43" s="74">
        <f t="shared" si="12"/>
        <v>0</v>
      </c>
      <c r="Q43" s="74">
        <f t="shared" si="12"/>
        <v>0</v>
      </c>
      <c r="R43" s="74">
        <f t="shared" si="12"/>
        <v>0</v>
      </c>
      <c r="S43" s="74">
        <f t="shared" si="12"/>
        <v>0</v>
      </c>
      <c r="T43" s="74">
        <f t="shared" si="12"/>
        <v>0</v>
      </c>
      <c r="U43" s="74">
        <f t="shared" si="12"/>
        <v>0</v>
      </c>
      <c r="V43" s="74">
        <f t="shared" si="12"/>
        <v>0</v>
      </c>
      <c r="W43" s="74">
        <f t="shared" si="12"/>
        <v>0</v>
      </c>
      <c r="X43" s="74">
        <f t="shared" si="12"/>
        <v>0</v>
      </c>
      <c r="Y43" s="74">
        <f t="shared" si="12"/>
        <v>0</v>
      </c>
      <c r="Z43" s="74">
        <f t="shared" si="12"/>
        <v>0</v>
      </c>
      <c r="AA43" s="74">
        <f t="shared" si="12"/>
        <v>0</v>
      </c>
      <c r="AB43" s="74">
        <f t="shared" si="12"/>
        <v>0</v>
      </c>
      <c r="AC43" s="74">
        <f t="shared" si="12"/>
        <v>0</v>
      </c>
      <c r="AD43" s="74">
        <f t="shared" si="12"/>
        <v>0</v>
      </c>
      <c r="AE43" s="74">
        <f t="shared" si="12"/>
        <v>0</v>
      </c>
      <c r="AF43" s="74">
        <f t="shared" si="12"/>
        <v>0</v>
      </c>
      <c r="AG43" s="74">
        <f t="shared" si="12"/>
        <v>0</v>
      </c>
      <c r="AH43" s="74">
        <f t="shared" si="12"/>
        <v>0</v>
      </c>
      <c r="AI43" s="74">
        <f t="shared" si="12"/>
        <v>0</v>
      </c>
      <c r="AJ43" s="74">
        <f t="shared" si="12"/>
        <v>0</v>
      </c>
      <c r="AK43" s="74">
        <f t="shared" si="12"/>
        <v>0</v>
      </c>
      <c r="AL43" s="74">
        <f t="shared" si="12"/>
        <v>0</v>
      </c>
      <c r="AM43" s="74">
        <f t="shared" si="12"/>
        <v>0</v>
      </c>
      <c r="AN43" s="74">
        <f t="shared" si="12"/>
        <v>0</v>
      </c>
      <c r="AO43" s="74">
        <f t="shared" si="12"/>
        <v>0</v>
      </c>
      <c r="AP43" s="74">
        <f t="shared" si="12"/>
        <v>0</v>
      </c>
      <c r="AQ43" s="74">
        <f t="shared" si="12"/>
        <v>0</v>
      </c>
      <c r="AR43" s="74">
        <f t="shared" si="12"/>
        <v>0</v>
      </c>
      <c r="AS43" s="74">
        <f t="shared" si="12"/>
        <v>0</v>
      </c>
      <c r="AT43" s="74">
        <f t="shared" si="12"/>
        <v>0</v>
      </c>
      <c r="AU43" s="74">
        <f t="shared" si="12"/>
        <v>0</v>
      </c>
      <c r="AV43" s="74">
        <f t="shared" si="12"/>
        <v>0</v>
      </c>
      <c r="AW43" s="74">
        <f t="shared" si="12"/>
        <v>0</v>
      </c>
      <c r="AX43" s="74">
        <f t="shared" si="12"/>
        <v>0</v>
      </c>
      <c r="AY43" s="74">
        <f t="shared" si="12"/>
        <v>0</v>
      </c>
      <c r="AZ43" s="74">
        <f t="shared" si="12"/>
        <v>0</v>
      </c>
      <c r="BA43" s="74">
        <f t="shared" si="12"/>
        <v>0</v>
      </c>
      <c r="BB43" s="69"/>
    </row>
    <row r="44" spans="1:54" ht="14.25" customHeight="1">
      <c r="A44" s="39"/>
      <c r="B44" s="38"/>
      <c r="C44" s="40"/>
      <c r="D44" s="38"/>
      <c r="E44" s="82"/>
      <c r="F44" s="64"/>
      <c r="G44" s="75"/>
      <c r="H44" s="83"/>
      <c r="I44" s="132" t="s">
        <v>53</v>
      </c>
      <c r="J44" s="67">
        <f>J42/(COUNTIFS($E$5:$E$27,$E42,J$5:J$27,"Alive")+COUNTIFS($E$5:$E$27,$E42,J$5:J$27,"Sacrificed")+COUNTIFS($E$5:$E$27,$E42,J$5:J$27,"Died"))</f>
        <v>1</v>
      </c>
      <c r="K44" s="67">
        <f t="shared" ref="K44:BA44" si="13">K42/(COUNTIFS($E$5:$E$27,$E42,K$5:K$27,"Alive")+COUNTIFS($E$5:$E$27,$E42,K$5:K$27,"Sacrificed")+COUNTIFS($E$5:$E$27,$E42,K$5:K$27,"Died"))*J44</f>
        <v>1</v>
      </c>
      <c r="L44" s="67">
        <f t="shared" si="13"/>
        <v>1</v>
      </c>
      <c r="M44" s="67">
        <f t="shared" si="13"/>
        <v>1</v>
      </c>
      <c r="N44" s="67">
        <f t="shared" si="13"/>
        <v>1</v>
      </c>
      <c r="O44" s="67">
        <f t="shared" si="13"/>
        <v>1</v>
      </c>
      <c r="P44" s="67">
        <f t="shared" si="13"/>
        <v>1</v>
      </c>
      <c r="Q44" s="67">
        <f t="shared" si="13"/>
        <v>1</v>
      </c>
      <c r="R44" s="67">
        <f t="shared" si="13"/>
        <v>1</v>
      </c>
      <c r="S44" s="67">
        <f t="shared" si="13"/>
        <v>1</v>
      </c>
      <c r="T44" s="67">
        <f t="shared" si="13"/>
        <v>0.6</v>
      </c>
      <c r="U44" s="67">
        <f t="shared" si="13"/>
        <v>0.39999999999999997</v>
      </c>
      <c r="V44" s="67">
        <f t="shared" si="13"/>
        <v>0.39999999999999997</v>
      </c>
      <c r="W44" s="67">
        <f t="shared" si="13"/>
        <v>0.19999999999999998</v>
      </c>
      <c r="X44" s="67">
        <f t="shared" si="13"/>
        <v>0.19999999999999998</v>
      </c>
      <c r="Y44" s="67">
        <f t="shared" si="13"/>
        <v>0.19999999999999998</v>
      </c>
      <c r="Z44" s="67">
        <f t="shared" si="13"/>
        <v>0.19999999999999998</v>
      </c>
      <c r="AA44" s="67">
        <f t="shared" si="13"/>
        <v>0.19999999999999998</v>
      </c>
      <c r="AB44" s="67">
        <f t="shared" si="13"/>
        <v>0.19999999999999998</v>
      </c>
      <c r="AC44" s="67">
        <f t="shared" si="13"/>
        <v>0</v>
      </c>
      <c r="AD44" s="67" t="e">
        <f t="shared" si="13"/>
        <v>#DIV/0!</v>
      </c>
      <c r="AE44" s="67" t="e">
        <f t="shared" si="13"/>
        <v>#DIV/0!</v>
      </c>
      <c r="AF44" s="67" t="e">
        <f t="shared" si="13"/>
        <v>#DIV/0!</v>
      </c>
      <c r="AG44" s="67" t="e">
        <f t="shared" si="13"/>
        <v>#DIV/0!</v>
      </c>
      <c r="AH44" s="67" t="e">
        <f t="shared" si="13"/>
        <v>#DIV/0!</v>
      </c>
      <c r="AI44" s="67" t="e">
        <f t="shared" si="13"/>
        <v>#DIV/0!</v>
      </c>
      <c r="AJ44" s="67" t="e">
        <f t="shared" si="13"/>
        <v>#DIV/0!</v>
      </c>
      <c r="AK44" s="67" t="e">
        <f t="shared" si="13"/>
        <v>#DIV/0!</v>
      </c>
      <c r="AL44" s="67" t="e">
        <f t="shared" si="13"/>
        <v>#DIV/0!</v>
      </c>
      <c r="AM44" s="67" t="e">
        <f t="shared" si="13"/>
        <v>#DIV/0!</v>
      </c>
      <c r="AN44" s="67" t="e">
        <f t="shared" si="13"/>
        <v>#DIV/0!</v>
      </c>
      <c r="AO44" s="67" t="e">
        <f t="shared" si="13"/>
        <v>#DIV/0!</v>
      </c>
      <c r="AP44" s="67" t="e">
        <f t="shared" si="13"/>
        <v>#DIV/0!</v>
      </c>
      <c r="AQ44" s="67" t="e">
        <f t="shared" si="13"/>
        <v>#DIV/0!</v>
      </c>
      <c r="AR44" s="67" t="e">
        <f t="shared" si="13"/>
        <v>#DIV/0!</v>
      </c>
      <c r="AS44" s="67" t="e">
        <f t="shared" si="13"/>
        <v>#DIV/0!</v>
      </c>
      <c r="AT44" s="67" t="e">
        <f t="shared" si="13"/>
        <v>#DIV/0!</v>
      </c>
      <c r="AU44" s="67" t="e">
        <f t="shared" si="13"/>
        <v>#DIV/0!</v>
      </c>
      <c r="AV44" s="67" t="e">
        <f t="shared" si="13"/>
        <v>#DIV/0!</v>
      </c>
      <c r="AW44" s="67" t="e">
        <f t="shared" si="13"/>
        <v>#DIV/0!</v>
      </c>
      <c r="AX44" s="67" t="e">
        <f t="shared" si="13"/>
        <v>#DIV/0!</v>
      </c>
      <c r="AY44" s="67" t="e">
        <f t="shared" si="13"/>
        <v>#DIV/0!</v>
      </c>
      <c r="AZ44" s="67" t="e">
        <f t="shared" si="13"/>
        <v>#DIV/0!</v>
      </c>
      <c r="BA44" s="67" t="e">
        <f t="shared" si="13"/>
        <v>#DIV/0!</v>
      </c>
      <c r="BB44" s="3"/>
    </row>
    <row r="46" spans="1:54" ht="14.25" customHeight="1">
      <c r="A46" s="103"/>
      <c r="E46" s="108" t="str">
        <f>'NAB_PTX Groups'!C9</f>
        <v>BxPc3 - Abraxane Combo</v>
      </c>
      <c r="H46" s="108" t="str">
        <f>E46</f>
        <v>BxPc3 - Abraxane Combo</v>
      </c>
      <c r="I46" s="132" t="s">
        <v>52</v>
      </c>
      <c r="J46" s="71">
        <f t="shared" ref="J46:BA46" si="14">COUNTIFS($E$5:$E$27,$E46,J$5:J$27,"Alive")</f>
        <v>6</v>
      </c>
      <c r="K46" s="71">
        <f t="shared" si="14"/>
        <v>6</v>
      </c>
      <c r="L46" s="71">
        <f t="shared" si="14"/>
        <v>6</v>
      </c>
      <c r="M46" s="71">
        <f t="shared" si="14"/>
        <v>6</v>
      </c>
      <c r="N46" s="71">
        <f t="shared" si="14"/>
        <v>6</v>
      </c>
      <c r="O46" s="71">
        <f t="shared" si="14"/>
        <v>6</v>
      </c>
      <c r="P46" s="71">
        <f t="shared" si="14"/>
        <v>6</v>
      </c>
      <c r="Q46" s="71">
        <f t="shared" si="14"/>
        <v>6</v>
      </c>
      <c r="R46" s="71">
        <f t="shared" si="14"/>
        <v>6</v>
      </c>
      <c r="S46" s="71">
        <f t="shared" si="14"/>
        <v>6</v>
      </c>
      <c r="T46" s="71">
        <f t="shared" si="14"/>
        <v>6</v>
      </c>
      <c r="U46" s="71">
        <f t="shared" si="14"/>
        <v>6</v>
      </c>
      <c r="V46" s="71">
        <f t="shared" si="14"/>
        <v>6</v>
      </c>
      <c r="W46" s="71">
        <f t="shared" si="14"/>
        <v>6</v>
      </c>
      <c r="X46" s="71">
        <f t="shared" si="14"/>
        <v>6</v>
      </c>
      <c r="Y46" s="71">
        <f t="shared" si="14"/>
        <v>6</v>
      </c>
      <c r="Z46" s="71">
        <f t="shared" si="14"/>
        <v>6</v>
      </c>
      <c r="AA46" s="71">
        <f t="shared" si="14"/>
        <v>5</v>
      </c>
      <c r="AB46" s="71">
        <f t="shared" si="14"/>
        <v>5</v>
      </c>
      <c r="AC46" s="71">
        <f t="shared" si="14"/>
        <v>5</v>
      </c>
      <c r="AD46" s="71">
        <f t="shared" si="14"/>
        <v>5</v>
      </c>
      <c r="AE46" s="71">
        <f t="shared" si="14"/>
        <v>5</v>
      </c>
      <c r="AF46" s="71">
        <f t="shared" si="14"/>
        <v>5</v>
      </c>
      <c r="AG46" s="71">
        <f t="shared" si="14"/>
        <v>4</v>
      </c>
      <c r="AH46" s="71">
        <f t="shared" si="14"/>
        <v>4</v>
      </c>
      <c r="AI46" s="71">
        <f t="shared" si="14"/>
        <v>4</v>
      </c>
      <c r="AJ46" s="71">
        <f t="shared" si="14"/>
        <v>4</v>
      </c>
      <c r="AK46" s="71">
        <f t="shared" si="14"/>
        <v>4</v>
      </c>
      <c r="AL46" s="71">
        <f t="shared" si="14"/>
        <v>4</v>
      </c>
      <c r="AM46" s="71">
        <f t="shared" si="14"/>
        <v>4</v>
      </c>
      <c r="AN46" s="71">
        <f t="shared" si="14"/>
        <v>4</v>
      </c>
      <c r="AO46" s="71">
        <f t="shared" si="14"/>
        <v>4</v>
      </c>
      <c r="AP46" s="71">
        <f t="shared" si="14"/>
        <v>4</v>
      </c>
      <c r="AQ46" s="71">
        <f t="shared" si="14"/>
        <v>4</v>
      </c>
      <c r="AR46" s="71">
        <f t="shared" si="14"/>
        <v>4</v>
      </c>
      <c r="AS46" s="71">
        <f t="shared" si="14"/>
        <v>4</v>
      </c>
      <c r="AT46" s="71">
        <f t="shared" si="14"/>
        <v>4</v>
      </c>
      <c r="AU46" s="71">
        <f t="shared" si="14"/>
        <v>3</v>
      </c>
      <c r="AV46" s="71">
        <f t="shared" si="14"/>
        <v>3</v>
      </c>
      <c r="AW46" s="71">
        <f t="shared" si="14"/>
        <v>3</v>
      </c>
      <c r="AX46" s="71">
        <f t="shared" si="14"/>
        <v>3</v>
      </c>
      <c r="AY46" s="71">
        <f t="shared" si="14"/>
        <v>0</v>
      </c>
      <c r="AZ46" s="71">
        <f t="shared" si="14"/>
        <v>0</v>
      </c>
      <c r="BA46" s="71">
        <f t="shared" si="14"/>
        <v>0</v>
      </c>
      <c r="BB46" s="69"/>
    </row>
    <row r="47" spans="1:54" ht="14.25" customHeight="1">
      <c r="A47" s="103"/>
      <c r="E47" s="83"/>
      <c r="H47" s="83"/>
      <c r="I47" s="132" t="s">
        <v>51</v>
      </c>
      <c r="J47" s="74">
        <f t="shared" ref="J47:BA47" si="15">COUNTIFS($E$5:$E$27,$E46,J$5:J$27,"Censored")</f>
        <v>0</v>
      </c>
      <c r="K47" s="74">
        <f t="shared" si="15"/>
        <v>0</v>
      </c>
      <c r="L47" s="74">
        <f t="shared" si="15"/>
        <v>0</v>
      </c>
      <c r="M47" s="74">
        <f t="shared" si="15"/>
        <v>0</v>
      </c>
      <c r="N47" s="74">
        <f t="shared" si="15"/>
        <v>0</v>
      </c>
      <c r="O47" s="74">
        <f t="shared" si="15"/>
        <v>0</v>
      </c>
      <c r="P47" s="74">
        <f t="shared" si="15"/>
        <v>0</v>
      </c>
      <c r="Q47" s="74">
        <f t="shared" si="15"/>
        <v>0</v>
      </c>
      <c r="R47" s="74">
        <f t="shared" si="15"/>
        <v>0</v>
      </c>
      <c r="S47" s="74">
        <f t="shared" si="15"/>
        <v>0</v>
      </c>
      <c r="T47" s="74">
        <f t="shared" si="15"/>
        <v>0</v>
      </c>
      <c r="U47" s="74">
        <f t="shared" si="15"/>
        <v>0</v>
      </c>
      <c r="V47" s="74">
        <f t="shared" si="15"/>
        <v>0</v>
      </c>
      <c r="W47" s="74">
        <f t="shared" si="15"/>
        <v>0</v>
      </c>
      <c r="X47" s="74">
        <f t="shared" si="15"/>
        <v>0</v>
      </c>
      <c r="Y47" s="74">
        <f t="shared" si="15"/>
        <v>0</v>
      </c>
      <c r="Z47" s="74">
        <f t="shared" si="15"/>
        <v>0</v>
      </c>
      <c r="AA47" s="74">
        <f t="shared" si="15"/>
        <v>0</v>
      </c>
      <c r="AB47" s="74">
        <f t="shared" si="15"/>
        <v>0</v>
      </c>
      <c r="AC47" s="74">
        <f t="shared" si="15"/>
        <v>0</v>
      </c>
      <c r="AD47" s="74">
        <f t="shared" si="15"/>
        <v>0</v>
      </c>
      <c r="AE47" s="74">
        <f t="shared" si="15"/>
        <v>0</v>
      </c>
      <c r="AF47" s="74">
        <f t="shared" si="15"/>
        <v>0</v>
      </c>
      <c r="AG47" s="74">
        <f t="shared" si="15"/>
        <v>0</v>
      </c>
      <c r="AH47" s="74">
        <f t="shared" si="15"/>
        <v>0</v>
      </c>
      <c r="AI47" s="74">
        <f t="shared" si="15"/>
        <v>0</v>
      </c>
      <c r="AJ47" s="74">
        <f t="shared" si="15"/>
        <v>0</v>
      </c>
      <c r="AK47" s="74">
        <f t="shared" si="15"/>
        <v>0</v>
      </c>
      <c r="AL47" s="74">
        <f t="shared" si="15"/>
        <v>0</v>
      </c>
      <c r="AM47" s="74">
        <f t="shared" si="15"/>
        <v>0</v>
      </c>
      <c r="AN47" s="74">
        <f t="shared" si="15"/>
        <v>0</v>
      </c>
      <c r="AO47" s="74">
        <f t="shared" si="15"/>
        <v>0</v>
      </c>
      <c r="AP47" s="74">
        <f t="shared" si="15"/>
        <v>0</v>
      </c>
      <c r="AQ47" s="74">
        <f t="shared" si="15"/>
        <v>0</v>
      </c>
      <c r="AR47" s="74">
        <f t="shared" si="15"/>
        <v>0</v>
      </c>
      <c r="AS47" s="74">
        <f t="shared" si="15"/>
        <v>0</v>
      </c>
      <c r="AT47" s="74">
        <f t="shared" si="15"/>
        <v>0</v>
      </c>
      <c r="AU47" s="74">
        <f t="shared" si="15"/>
        <v>0</v>
      </c>
      <c r="AV47" s="74">
        <f t="shared" si="15"/>
        <v>0</v>
      </c>
      <c r="AW47" s="74">
        <f t="shared" si="15"/>
        <v>0</v>
      </c>
      <c r="AX47" s="74">
        <f t="shared" si="15"/>
        <v>0</v>
      </c>
      <c r="AY47" s="74">
        <f t="shared" si="15"/>
        <v>0</v>
      </c>
      <c r="AZ47" s="74">
        <f t="shared" si="15"/>
        <v>0</v>
      </c>
      <c r="BA47" s="74">
        <f t="shared" si="15"/>
        <v>0</v>
      </c>
      <c r="BB47" s="69"/>
    </row>
    <row r="48" spans="1:54" ht="14.25" customHeight="1">
      <c r="A48" s="39"/>
      <c r="B48" s="38"/>
      <c r="C48" s="40"/>
      <c r="D48" s="38"/>
      <c r="E48" s="82"/>
      <c r="F48" s="64"/>
      <c r="G48" s="75"/>
      <c r="H48" s="83"/>
      <c r="I48" s="132" t="s">
        <v>53</v>
      </c>
      <c r="J48" s="67">
        <f>J46/(COUNTIFS($E$5:$E$27,$E46,J$5:J$27,"Alive")+COUNTIFS($E$5:$E$27,$E46,J$5:J$27,"Sacrificed")+COUNTIFS($E$5:$E$27,$E46,J$5:J$27,"Died"))</f>
        <v>1</v>
      </c>
      <c r="K48" s="67">
        <f t="shared" ref="K48:BA48" si="16">K46/(COUNTIFS($E$5:$E$27,$E46,K$5:K$27,"Alive")+COUNTIFS($E$5:$E$27,$E46,K$5:K$27,"Sacrificed")+COUNTIFS($E$5:$E$27,$E46,K$5:K$27,"Died"))*J48</f>
        <v>1</v>
      </c>
      <c r="L48" s="67">
        <f t="shared" si="16"/>
        <v>1</v>
      </c>
      <c r="M48" s="67">
        <f t="shared" si="16"/>
        <v>1</v>
      </c>
      <c r="N48" s="67">
        <f t="shared" si="16"/>
        <v>1</v>
      </c>
      <c r="O48" s="67">
        <f t="shared" si="16"/>
        <v>1</v>
      </c>
      <c r="P48" s="67">
        <f t="shared" si="16"/>
        <v>1</v>
      </c>
      <c r="Q48" s="67">
        <f t="shared" si="16"/>
        <v>1</v>
      </c>
      <c r="R48" s="67">
        <f t="shared" si="16"/>
        <v>1</v>
      </c>
      <c r="S48" s="67">
        <f t="shared" si="16"/>
        <v>1</v>
      </c>
      <c r="T48" s="67">
        <f t="shared" si="16"/>
        <v>1</v>
      </c>
      <c r="U48" s="67">
        <f t="shared" si="16"/>
        <v>1</v>
      </c>
      <c r="V48" s="67">
        <f t="shared" si="16"/>
        <v>1</v>
      </c>
      <c r="W48" s="67">
        <f t="shared" si="16"/>
        <v>1</v>
      </c>
      <c r="X48" s="67">
        <f t="shared" si="16"/>
        <v>1</v>
      </c>
      <c r="Y48" s="67">
        <f t="shared" si="16"/>
        <v>1</v>
      </c>
      <c r="Z48" s="67">
        <f t="shared" si="16"/>
        <v>1</v>
      </c>
      <c r="AA48" s="67">
        <f t="shared" si="16"/>
        <v>0.83333333333333337</v>
      </c>
      <c r="AB48" s="67">
        <f t="shared" si="16"/>
        <v>0.83333333333333337</v>
      </c>
      <c r="AC48" s="67">
        <f t="shared" si="16"/>
        <v>0.83333333333333337</v>
      </c>
      <c r="AD48" s="67">
        <f t="shared" si="16"/>
        <v>0.83333333333333337</v>
      </c>
      <c r="AE48" s="67">
        <f t="shared" si="16"/>
        <v>0.83333333333333337</v>
      </c>
      <c r="AF48" s="67">
        <f t="shared" si="16"/>
        <v>0.83333333333333337</v>
      </c>
      <c r="AG48" s="67">
        <f t="shared" si="16"/>
        <v>0.66666666666666674</v>
      </c>
      <c r="AH48" s="67">
        <f t="shared" si="16"/>
        <v>0.66666666666666674</v>
      </c>
      <c r="AI48" s="67">
        <f t="shared" si="16"/>
        <v>0.66666666666666674</v>
      </c>
      <c r="AJ48" s="67">
        <f t="shared" si="16"/>
        <v>0.66666666666666674</v>
      </c>
      <c r="AK48" s="67">
        <f t="shared" si="16"/>
        <v>0.66666666666666674</v>
      </c>
      <c r="AL48" s="67">
        <f t="shared" si="16"/>
        <v>0.66666666666666674</v>
      </c>
      <c r="AM48" s="67">
        <f t="shared" si="16"/>
        <v>0.66666666666666674</v>
      </c>
      <c r="AN48" s="67">
        <f t="shared" si="16"/>
        <v>0.66666666666666674</v>
      </c>
      <c r="AO48" s="67">
        <f t="shared" si="16"/>
        <v>0.66666666666666674</v>
      </c>
      <c r="AP48" s="67">
        <f t="shared" si="16"/>
        <v>0.66666666666666674</v>
      </c>
      <c r="AQ48" s="67">
        <f t="shared" si="16"/>
        <v>0.66666666666666674</v>
      </c>
      <c r="AR48" s="67">
        <f t="shared" si="16"/>
        <v>0.66666666666666674</v>
      </c>
      <c r="AS48" s="67">
        <f t="shared" si="16"/>
        <v>0.66666666666666674</v>
      </c>
      <c r="AT48" s="67">
        <f t="shared" si="16"/>
        <v>0.66666666666666674</v>
      </c>
      <c r="AU48" s="67">
        <f t="shared" si="16"/>
        <v>0.5</v>
      </c>
      <c r="AV48" s="67">
        <f t="shared" si="16"/>
        <v>0.5</v>
      </c>
      <c r="AW48" s="67">
        <f t="shared" si="16"/>
        <v>0.5</v>
      </c>
      <c r="AX48" s="67">
        <f t="shared" si="16"/>
        <v>0.5</v>
      </c>
      <c r="AY48" s="67">
        <f t="shared" si="16"/>
        <v>0</v>
      </c>
      <c r="AZ48" s="67" t="e">
        <f t="shared" si="16"/>
        <v>#DIV/0!</v>
      </c>
      <c r="BA48" s="67" t="e">
        <f t="shared" si="16"/>
        <v>#DIV/0!</v>
      </c>
      <c r="BB48" s="3"/>
    </row>
    <row r="50" spans="1:54" ht="14.25" customHeight="1">
      <c r="A50" s="103"/>
      <c r="E50" s="108" t="str">
        <f>'NAB_PTX Groups'!C10</f>
        <v>Group 5</v>
      </c>
      <c r="H50" s="108" t="str">
        <f>E50</f>
        <v>Group 5</v>
      </c>
      <c r="I50" s="132" t="s">
        <v>52</v>
      </c>
      <c r="J50" s="71">
        <f t="shared" ref="J50:BA50" si="17">COUNTIFS($E$5:$E$27,$E50,J$5:J$27,"Alive")</f>
        <v>0</v>
      </c>
      <c r="K50" s="71">
        <f t="shared" si="17"/>
        <v>0</v>
      </c>
      <c r="L50" s="71">
        <f t="shared" si="17"/>
        <v>0</v>
      </c>
      <c r="M50" s="71">
        <f t="shared" si="17"/>
        <v>0</v>
      </c>
      <c r="N50" s="71">
        <f t="shared" si="17"/>
        <v>0</v>
      </c>
      <c r="O50" s="71">
        <f t="shared" si="17"/>
        <v>0</v>
      </c>
      <c r="P50" s="71">
        <f t="shared" si="17"/>
        <v>0</v>
      </c>
      <c r="Q50" s="71">
        <f t="shared" si="17"/>
        <v>0</v>
      </c>
      <c r="R50" s="71">
        <f t="shared" si="17"/>
        <v>0</v>
      </c>
      <c r="S50" s="71">
        <f t="shared" si="17"/>
        <v>0</v>
      </c>
      <c r="T50" s="71">
        <f t="shared" si="17"/>
        <v>0</v>
      </c>
      <c r="U50" s="71">
        <f t="shared" si="17"/>
        <v>0</v>
      </c>
      <c r="V50" s="71">
        <f t="shared" si="17"/>
        <v>0</v>
      </c>
      <c r="W50" s="71">
        <f t="shared" si="17"/>
        <v>0</v>
      </c>
      <c r="X50" s="71">
        <f t="shared" si="17"/>
        <v>0</v>
      </c>
      <c r="Y50" s="71">
        <f t="shared" si="17"/>
        <v>0</v>
      </c>
      <c r="Z50" s="71">
        <f t="shared" si="17"/>
        <v>0</v>
      </c>
      <c r="AA50" s="71">
        <f t="shared" si="17"/>
        <v>0</v>
      </c>
      <c r="AB50" s="71">
        <f t="shared" si="17"/>
        <v>0</v>
      </c>
      <c r="AC50" s="71">
        <f t="shared" si="17"/>
        <v>0</v>
      </c>
      <c r="AD50" s="71">
        <f t="shared" si="17"/>
        <v>0</v>
      </c>
      <c r="AE50" s="71">
        <f t="shared" si="17"/>
        <v>0</v>
      </c>
      <c r="AF50" s="71">
        <f t="shared" si="17"/>
        <v>0</v>
      </c>
      <c r="AG50" s="71">
        <f t="shared" si="17"/>
        <v>0</v>
      </c>
      <c r="AH50" s="71">
        <f t="shared" si="17"/>
        <v>0</v>
      </c>
      <c r="AI50" s="71">
        <f t="shared" si="17"/>
        <v>0</v>
      </c>
      <c r="AJ50" s="71">
        <f t="shared" si="17"/>
        <v>0</v>
      </c>
      <c r="AK50" s="71">
        <f t="shared" si="17"/>
        <v>0</v>
      </c>
      <c r="AL50" s="71">
        <f t="shared" si="17"/>
        <v>0</v>
      </c>
      <c r="AM50" s="71">
        <f t="shared" si="17"/>
        <v>0</v>
      </c>
      <c r="AN50" s="71">
        <f t="shared" si="17"/>
        <v>0</v>
      </c>
      <c r="AO50" s="71">
        <f t="shared" si="17"/>
        <v>0</v>
      </c>
      <c r="AP50" s="71">
        <f t="shared" si="17"/>
        <v>0</v>
      </c>
      <c r="AQ50" s="71">
        <f t="shared" si="17"/>
        <v>0</v>
      </c>
      <c r="AR50" s="71">
        <f t="shared" si="17"/>
        <v>0</v>
      </c>
      <c r="AS50" s="71">
        <f t="shared" si="17"/>
        <v>0</v>
      </c>
      <c r="AT50" s="71">
        <f t="shared" si="17"/>
        <v>0</v>
      </c>
      <c r="AU50" s="71">
        <f t="shared" si="17"/>
        <v>0</v>
      </c>
      <c r="AV50" s="71">
        <f t="shared" si="17"/>
        <v>0</v>
      </c>
      <c r="AW50" s="71">
        <f t="shared" si="17"/>
        <v>0</v>
      </c>
      <c r="AX50" s="71">
        <f t="shared" si="17"/>
        <v>0</v>
      </c>
      <c r="AY50" s="71">
        <f t="shared" si="17"/>
        <v>0</v>
      </c>
      <c r="AZ50" s="71">
        <f t="shared" si="17"/>
        <v>0</v>
      </c>
      <c r="BA50" s="71">
        <f t="shared" si="17"/>
        <v>0</v>
      </c>
      <c r="BB50" s="69"/>
    </row>
    <row r="51" spans="1:54" ht="14.25" customHeight="1">
      <c r="A51" s="103"/>
      <c r="E51" s="83"/>
      <c r="H51" s="83"/>
      <c r="I51" s="132" t="s">
        <v>51</v>
      </c>
      <c r="J51" s="74">
        <f t="shared" ref="J51:BA51" si="18">COUNTIFS($E$5:$E$27,$E50,J$5:J$27,"Censored")</f>
        <v>0</v>
      </c>
      <c r="K51" s="74">
        <f t="shared" si="18"/>
        <v>0</v>
      </c>
      <c r="L51" s="74">
        <f t="shared" si="18"/>
        <v>0</v>
      </c>
      <c r="M51" s="74">
        <f t="shared" si="18"/>
        <v>0</v>
      </c>
      <c r="N51" s="74">
        <f t="shared" si="18"/>
        <v>0</v>
      </c>
      <c r="O51" s="74">
        <f t="shared" si="18"/>
        <v>0</v>
      </c>
      <c r="P51" s="74">
        <f t="shared" si="18"/>
        <v>0</v>
      </c>
      <c r="Q51" s="74">
        <f t="shared" si="18"/>
        <v>0</v>
      </c>
      <c r="R51" s="74">
        <f t="shared" si="18"/>
        <v>0</v>
      </c>
      <c r="S51" s="74">
        <f t="shared" si="18"/>
        <v>0</v>
      </c>
      <c r="T51" s="74">
        <f t="shared" si="18"/>
        <v>0</v>
      </c>
      <c r="U51" s="74">
        <f t="shared" si="18"/>
        <v>0</v>
      </c>
      <c r="V51" s="74">
        <f t="shared" si="18"/>
        <v>0</v>
      </c>
      <c r="W51" s="74">
        <f t="shared" si="18"/>
        <v>0</v>
      </c>
      <c r="X51" s="74">
        <f t="shared" si="18"/>
        <v>0</v>
      </c>
      <c r="Y51" s="74">
        <f t="shared" si="18"/>
        <v>0</v>
      </c>
      <c r="Z51" s="74">
        <f t="shared" si="18"/>
        <v>0</v>
      </c>
      <c r="AA51" s="74">
        <f t="shared" si="18"/>
        <v>0</v>
      </c>
      <c r="AB51" s="74">
        <f t="shared" si="18"/>
        <v>0</v>
      </c>
      <c r="AC51" s="74">
        <f t="shared" si="18"/>
        <v>0</v>
      </c>
      <c r="AD51" s="74">
        <f t="shared" si="18"/>
        <v>0</v>
      </c>
      <c r="AE51" s="74">
        <f t="shared" si="18"/>
        <v>0</v>
      </c>
      <c r="AF51" s="74">
        <f t="shared" si="18"/>
        <v>0</v>
      </c>
      <c r="AG51" s="74">
        <f t="shared" si="18"/>
        <v>0</v>
      </c>
      <c r="AH51" s="74">
        <f t="shared" si="18"/>
        <v>0</v>
      </c>
      <c r="AI51" s="74">
        <f t="shared" si="18"/>
        <v>0</v>
      </c>
      <c r="AJ51" s="74">
        <f t="shared" si="18"/>
        <v>0</v>
      </c>
      <c r="AK51" s="74">
        <f t="shared" si="18"/>
        <v>0</v>
      </c>
      <c r="AL51" s="74">
        <f t="shared" si="18"/>
        <v>0</v>
      </c>
      <c r="AM51" s="74">
        <f t="shared" si="18"/>
        <v>0</v>
      </c>
      <c r="AN51" s="74">
        <f t="shared" si="18"/>
        <v>0</v>
      </c>
      <c r="AO51" s="74">
        <f t="shared" si="18"/>
        <v>0</v>
      </c>
      <c r="AP51" s="74">
        <f t="shared" si="18"/>
        <v>0</v>
      </c>
      <c r="AQ51" s="74">
        <f t="shared" si="18"/>
        <v>0</v>
      </c>
      <c r="AR51" s="74">
        <f t="shared" si="18"/>
        <v>0</v>
      </c>
      <c r="AS51" s="74">
        <f t="shared" si="18"/>
        <v>0</v>
      </c>
      <c r="AT51" s="74">
        <f t="shared" si="18"/>
        <v>0</v>
      </c>
      <c r="AU51" s="74">
        <f t="shared" si="18"/>
        <v>0</v>
      </c>
      <c r="AV51" s="74">
        <f t="shared" si="18"/>
        <v>0</v>
      </c>
      <c r="AW51" s="74">
        <f t="shared" si="18"/>
        <v>0</v>
      </c>
      <c r="AX51" s="74">
        <f t="shared" si="18"/>
        <v>0</v>
      </c>
      <c r="AY51" s="74">
        <f t="shared" si="18"/>
        <v>0</v>
      </c>
      <c r="AZ51" s="74">
        <f t="shared" si="18"/>
        <v>0</v>
      </c>
      <c r="BA51" s="74">
        <f t="shared" si="18"/>
        <v>0</v>
      </c>
      <c r="BB51" s="69"/>
    </row>
    <row r="52" spans="1:54" ht="14.25" customHeight="1">
      <c r="A52" s="39"/>
      <c r="B52" s="38"/>
      <c r="C52" s="40"/>
      <c r="D52" s="38"/>
      <c r="E52" s="82"/>
      <c r="F52" s="64"/>
      <c r="G52" s="75"/>
      <c r="H52" s="83"/>
      <c r="I52" s="132" t="s">
        <v>53</v>
      </c>
      <c r="J52" s="67" t="e">
        <f>J50/(COUNTIFS($E$5:$E$27,$E50,J$5:J$27,"Alive")+COUNTIFS($E$5:$E$27,$E50,J$5:J$27,"Sacrificed")+COUNTIFS($E$5:$E$27,$E50,J$5:J$27,"Died"))</f>
        <v>#DIV/0!</v>
      </c>
      <c r="K52" s="67" t="e">
        <f t="shared" ref="K52:BA52" si="19">K50/(COUNTIFS($E$5:$E$27,$E50,K$5:K$27,"Alive")+COUNTIFS($E$5:$E$27,$E50,K$5:K$27,"Sacrificed")+COUNTIFS($E$5:$E$27,$E50,K$5:K$27,"Died"))*J52</f>
        <v>#DIV/0!</v>
      </c>
      <c r="L52" s="67" t="e">
        <f t="shared" si="19"/>
        <v>#DIV/0!</v>
      </c>
      <c r="M52" s="67" t="e">
        <f t="shared" si="19"/>
        <v>#DIV/0!</v>
      </c>
      <c r="N52" s="67" t="e">
        <f t="shared" si="19"/>
        <v>#DIV/0!</v>
      </c>
      <c r="O52" s="67" t="e">
        <f t="shared" si="19"/>
        <v>#DIV/0!</v>
      </c>
      <c r="P52" s="67" t="e">
        <f t="shared" si="19"/>
        <v>#DIV/0!</v>
      </c>
      <c r="Q52" s="67" t="e">
        <f t="shared" si="19"/>
        <v>#DIV/0!</v>
      </c>
      <c r="R52" s="67" t="e">
        <f t="shared" si="19"/>
        <v>#DIV/0!</v>
      </c>
      <c r="S52" s="67" t="e">
        <f t="shared" si="19"/>
        <v>#DIV/0!</v>
      </c>
      <c r="T52" s="67" t="e">
        <f t="shared" si="19"/>
        <v>#DIV/0!</v>
      </c>
      <c r="U52" s="67" t="e">
        <f t="shared" si="19"/>
        <v>#DIV/0!</v>
      </c>
      <c r="V52" s="67" t="e">
        <f t="shared" si="19"/>
        <v>#DIV/0!</v>
      </c>
      <c r="W52" s="67" t="e">
        <f t="shared" si="19"/>
        <v>#DIV/0!</v>
      </c>
      <c r="X52" s="67" t="e">
        <f t="shared" si="19"/>
        <v>#DIV/0!</v>
      </c>
      <c r="Y52" s="67" t="e">
        <f t="shared" si="19"/>
        <v>#DIV/0!</v>
      </c>
      <c r="Z52" s="67" t="e">
        <f t="shared" si="19"/>
        <v>#DIV/0!</v>
      </c>
      <c r="AA52" s="67" t="e">
        <f t="shared" si="19"/>
        <v>#DIV/0!</v>
      </c>
      <c r="AB52" s="67" t="e">
        <f t="shared" si="19"/>
        <v>#DIV/0!</v>
      </c>
      <c r="AC52" s="67" t="e">
        <f t="shared" si="19"/>
        <v>#DIV/0!</v>
      </c>
      <c r="AD52" s="67" t="e">
        <f t="shared" si="19"/>
        <v>#DIV/0!</v>
      </c>
      <c r="AE52" s="67" t="e">
        <f t="shared" si="19"/>
        <v>#DIV/0!</v>
      </c>
      <c r="AF52" s="67" t="e">
        <f t="shared" si="19"/>
        <v>#DIV/0!</v>
      </c>
      <c r="AG52" s="67" t="e">
        <f t="shared" si="19"/>
        <v>#DIV/0!</v>
      </c>
      <c r="AH52" s="67" t="e">
        <f t="shared" si="19"/>
        <v>#DIV/0!</v>
      </c>
      <c r="AI52" s="67" t="e">
        <f t="shared" si="19"/>
        <v>#DIV/0!</v>
      </c>
      <c r="AJ52" s="67" t="e">
        <f t="shared" si="19"/>
        <v>#DIV/0!</v>
      </c>
      <c r="AK52" s="67" t="e">
        <f t="shared" si="19"/>
        <v>#DIV/0!</v>
      </c>
      <c r="AL52" s="67" t="e">
        <f t="shared" si="19"/>
        <v>#DIV/0!</v>
      </c>
      <c r="AM52" s="67" t="e">
        <f t="shared" si="19"/>
        <v>#DIV/0!</v>
      </c>
      <c r="AN52" s="67" t="e">
        <f t="shared" si="19"/>
        <v>#DIV/0!</v>
      </c>
      <c r="AO52" s="67" t="e">
        <f t="shared" si="19"/>
        <v>#DIV/0!</v>
      </c>
      <c r="AP52" s="67" t="e">
        <f t="shared" si="19"/>
        <v>#DIV/0!</v>
      </c>
      <c r="AQ52" s="67" t="e">
        <f t="shared" si="19"/>
        <v>#DIV/0!</v>
      </c>
      <c r="AR52" s="67" t="e">
        <f t="shared" si="19"/>
        <v>#DIV/0!</v>
      </c>
      <c r="AS52" s="67" t="e">
        <f t="shared" si="19"/>
        <v>#DIV/0!</v>
      </c>
      <c r="AT52" s="67" t="e">
        <f t="shared" si="19"/>
        <v>#DIV/0!</v>
      </c>
      <c r="AU52" s="67" t="e">
        <f t="shared" si="19"/>
        <v>#DIV/0!</v>
      </c>
      <c r="AV52" s="67" t="e">
        <f t="shared" si="19"/>
        <v>#DIV/0!</v>
      </c>
      <c r="AW52" s="67" t="e">
        <f t="shared" si="19"/>
        <v>#DIV/0!</v>
      </c>
      <c r="AX52" s="67" t="e">
        <f t="shared" si="19"/>
        <v>#DIV/0!</v>
      </c>
      <c r="AY52" s="67" t="e">
        <f t="shared" si="19"/>
        <v>#DIV/0!</v>
      </c>
      <c r="AZ52" s="67" t="e">
        <f t="shared" si="19"/>
        <v>#DIV/0!</v>
      </c>
      <c r="BA52" s="67" t="e">
        <f t="shared" si="19"/>
        <v>#DIV/0!</v>
      </c>
      <c r="BB52" s="3"/>
    </row>
    <row r="54" spans="1:54" ht="14.25" customHeight="1">
      <c r="A54" s="103"/>
      <c r="E54" s="108" t="str">
        <f>'NAB_PTX Groups'!C11</f>
        <v>Group 6</v>
      </c>
      <c r="H54" s="108" t="str">
        <f>E54</f>
        <v>Group 6</v>
      </c>
      <c r="I54" s="132" t="s">
        <v>52</v>
      </c>
      <c r="J54" s="71">
        <f t="shared" ref="J54:BA54" si="20">COUNTIFS($E$5:$E$27,$E54,J$5:J$27,"Alive")</f>
        <v>0</v>
      </c>
      <c r="K54" s="71">
        <f t="shared" si="20"/>
        <v>0</v>
      </c>
      <c r="L54" s="71">
        <f t="shared" si="20"/>
        <v>0</v>
      </c>
      <c r="M54" s="71">
        <f t="shared" si="20"/>
        <v>0</v>
      </c>
      <c r="N54" s="71">
        <f t="shared" si="20"/>
        <v>0</v>
      </c>
      <c r="O54" s="71">
        <f t="shared" si="20"/>
        <v>0</v>
      </c>
      <c r="P54" s="71">
        <f t="shared" si="20"/>
        <v>0</v>
      </c>
      <c r="Q54" s="71">
        <f t="shared" si="20"/>
        <v>0</v>
      </c>
      <c r="R54" s="71">
        <f t="shared" si="20"/>
        <v>0</v>
      </c>
      <c r="S54" s="71">
        <f t="shared" si="20"/>
        <v>0</v>
      </c>
      <c r="T54" s="71">
        <f t="shared" si="20"/>
        <v>0</v>
      </c>
      <c r="U54" s="71">
        <f t="shared" si="20"/>
        <v>0</v>
      </c>
      <c r="V54" s="71">
        <f t="shared" si="20"/>
        <v>0</v>
      </c>
      <c r="W54" s="71">
        <f t="shared" si="20"/>
        <v>0</v>
      </c>
      <c r="X54" s="71">
        <f t="shared" si="20"/>
        <v>0</v>
      </c>
      <c r="Y54" s="71">
        <f t="shared" si="20"/>
        <v>0</v>
      </c>
      <c r="Z54" s="71">
        <f t="shared" si="20"/>
        <v>0</v>
      </c>
      <c r="AA54" s="71">
        <f t="shared" si="20"/>
        <v>0</v>
      </c>
      <c r="AB54" s="71">
        <f t="shared" si="20"/>
        <v>0</v>
      </c>
      <c r="AC54" s="71">
        <f t="shared" si="20"/>
        <v>0</v>
      </c>
      <c r="AD54" s="71">
        <f t="shared" si="20"/>
        <v>0</v>
      </c>
      <c r="AE54" s="71">
        <f t="shared" si="20"/>
        <v>0</v>
      </c>
      <c r="AF54" s="71">
        <f t="shared" si="20"/>
        <v>0</v>
      </c>
      <c r="AG54" s="71">
        <f t="shared" si="20"/>
        <v>0</v>
      </c>
      <c r="AH54" s="71">
        <f t="shared" si="20"/>
        <v>0</v>
      </c>
      <c r="AI54" s="71">
        <f t="shared" si="20"/>
        <v>0</v>
      </c>
      <c r="AJ54" s="71">
        <f t="shared" si="20"/>
        <v>0</v>
      </c>
      <c r="AK54" s="71">
        <f t="shared" si="20"/>
        <v>0</v>
      </c>
      <c r="AL54" s="71">
        <f t="shared" si="20"/>
        <v>0</v>
      </c>
      <c r="AM54" s="71">
        <f t="shared" si="20"/>
        <v>0</v>
      </c>
      <c r="AN54" s="71">
        <f t="shared" si="20"/>
        <v>0</v>
      </c>
      <c r="AO54" s="71">
        <f t="shared" si="20"/>
        <v>0</v>
      </c>
      <c r="AP54" s="71">
        <f t="shared" si="20"/>
        <v>0</v>
      </c>
      <c r="AQ54" s="71">
        <f t="shared" si="20"/>
        <v>0</v>
      </c>
      <c r="AR54" s="71">
        <f t="shared" si="20"/>
        <v>0</v>
      </c>
      <c r="AS54" s="71">
        <f t="shared" si="20"/>
        <v>0</v>
      </c>
      <c r="AT54" s="71">
        <f t="shared" si="20"/>
        <v>0</v>
      </c>
      <c r="AU54" s="71">
        <f t="shared" si="20"/>
        <v>0</v>
      </c>
      <c r="AV54" s="71">
        <f t="shared" si="20"/>
        <v>0</v>
      </c>
      <c r="AW54" s="71">
        <f t="shared" si="20"/>
        <v>0</v>
      </c>
      <c r="AX54" s="71">
        <f t="shared" si="20"/>
        <v>0</v>
      </c>
      <c r="AY54" s="71">
        <f t="shared" si="20"/>
        <v>0</v>
      </c>
      <c r="AZ54" s="71">
        <f t="shared" si="20"/>
        <v>0</v>
      </c>
      <c r="BA54" s="71">
        <f t="shared" si="20"/>
        <v>0</v>
      </c>
      <c r="BB54" s="69"/>
    </row>
    <row r="55" spans="1:54" ht="14.25" customHeight="1">
      <c r="A55" s="103"/>
      <c r="E55" s="83"/>
      <c r="H55" s="83"/>
      <c r="I55" s="132" t="s">
        <v>51</v>
      </c>
      <c r="J55" s="74">
        <f t="shared" ref="J55:BA55" si="21">COUNTIFS($E$5:$E$27,$E54,J$5:J$27,"Censored")</f>
        <v>0</v>
      </c>
      <c r="K55" s="74">
        <f t="shared" si="21"/>
        <v>0</v>
      </c>
      <c r="L55" s="74">
        <f t="shared" si="21"/>
        <v>0</v>
      </c>
      <c r="M55" s="74">
        <f t="shared" si="21"/>
        <v>0</v>
      </c>
      <c r="N55" s="74">
        <f t="shared" si="21"/>
        <v>0</v>
      </c>
      <c r="O55" s="74">
        <f t="shared" si="21"/>
        <v>0</v>
      </c>
      <c r="P55" s="74">
        <f t="shared" si="21"/>
        <v>0</v>
      </c>
      <c r="Q55" s="74">
        <f t="shared" si="21"/>
        <v>0</v>
      </c>
      <c r="R55" s="74">
        <f t="shared" si="21"/>
        <v>0</v>
      </c>
      <c r="S55" s="74">
        <f t="shared" si="21"/>
        <v>0</v>
      </c>
      <c r="T55" s="74">
        <f t="shared" si="21"/>
        <v>0</v>
      </c>
      <c r="U55" s="74">
        <f t="shared" si="21"/>
        <v>0</v>
      </c>
      <c r="V55" s="74">
        <f t="shared" si="21"/>
        <v>0</v>
      </c>
      <c r="W55" s="74">
        <f t="shared" si="21"/>
        <v>0</v>
      </c>
      <c r="X55" s="74">
        <f t="shared" si="21"/>
        <v>0</v>
      </c>
      <c r="Y55" s="74">
        <f t="shared" si="21"/>
        <v>0</v>
      </c>
      <c r="Z55" s="74">
        <f t="shared" si="21"/>
        <v>0</v>
      </c>
      <c r="AA55" s="74">
        <f t="shared" si="21"/>
        <v>0</v>
      </c>
      <c r="AB55" s="74">
        <f t="shared" si="21"/>
        <v>0</v>
      </c>
      <c r="AC55" s="74">
        <f t="shared" si="21"/>
        <v>0</v>
      </c>
      <c r="AD55" s="74">
        <f t="shared" si="21"/>
        <v>0</v>
      </c>
      <c r="AE55" s="74">
        <f t="shared" si="21"/>
        <v>0</v>
      </c>
      <c r="AF55" s="74">
        <f t="shared" si="21"/>
        <v>0</v>
      </c>
      <c r="AG55" s="74">
        <f t="shared" si="21"/>
        <v>0</v>
      </c>
      <c r="AH55" s="74">
        <f t="shared" si="21"/>
        <v>0</v>
      </c>
      <c r="AI55" s="74">
        <f t="shared" si="21"/>
        <v>0</v>
      </c>
      <c r="AJ55" s="74">
        <f t="shared" si="21"/>
        <v>0</v>
      </c>
      <c r="AK55" s="74">
        <f t="shared" si="21"/>
        <v>0</v>
      </c>
      <c r="AL55" s="74">
        <f t="shared" si="21"/>
        <v>0</v>
      </c>
      <c r="AM55" s="74">
        <f t="shared" si="21"/>
        <v>0</v>
      </c>
      <c r="AN55" s="74">
        <f t="shared" si="21"/>
        <v>0</v>
      </c>
      <c r="AO55" s="74">
        <f t="shared" si="21"/>
        <v>0</v>
      </c>
      <c r="AP55" s="74">
        <f t="shared" si="21"/>
        <v>0</v>
      </c>
      <c r="AQ55" s="74">
        <f t="shared" si="21"/>
        <v>0</v>
      </c>
      <c r="AR55" s="74">
        <f t="shared" si="21"/>
        <v>0</v>
      </c>
      <c r="AS55" s="74">
        <f t="shared" si="21"/>
        <v>0</v>
      </c>
      <c r="AT55" s="74">
        <f t="shared" si="21"/>
        <v>0</v>
      </c>
      <c r="AU55" s="74">
        <f t="shared" si="21"/>
        <v>0</v>
      </c>
      <c r="AV55" s="74">
        <f t="shared" si="21"/>
        <v>0</v>
      </c>
      <c r="AW55" s="74">
        <f t="shared" si="21"/>
        <v>0</v>
      </c>
      <c r="AX55" s="74">
        <f t="shared" si="21"/>
        <v>0</v>
      </c>
      <c r="AY55" s="74">
        <f t="shared" si="21"/>
        <v>0</v>
      </c>
      <c r="AZ55" s="74">
        <f t="shared" si="21"/>
        <v>0</v>
      </c>
      <c r="BA55" s="74">
        <f t="shared" si="21"/>
        <v>0</v>
      </c>
      <c r="BB55" s="69"/>
    </row>
    <row r="56" spans="1:54" ht="14.25" customHeight="1">
      <c r="A56" s="39"/>
      <c r="B56" s="38"/>
      <c r="C56" s="40"/>
      <c r="D56" s="38"/>
      <c r="E56" s="82"/>
      <c r="F56" s="64"/>
      <c r="G56" s="75"/>
      <c r="H56" s="83"/>
      <c r="I56" s="132" t="s">
        <v>53</v>
      </c>
      <c r="J56" s="67" t="e">
        <f>J54/(COUNTIFS($E$5:$E$27,$E54,J$5:J$27,"Alive")+COUNTIFS($E$5:$E$27,$E54,J$5:J$27,"Sacrificed")+COUNTIFS($E$5:$E$27,$E54,J$5:J$27,"Died"))</f>
        <v>#DIV/0!</v>
      </c>
      <c r="K56" s="67" t="e">
        <f t="shared" ref="K56:BA56" si="22">K54/(COUNTIFS($E$5:$E$27,$E54,K$5:K$27,"Alive")+COUNTIFS($E$5:$E$27,$E54,K$5:K$27,"Sacrificed")+COUNTIFS($E$5:$E$27,$E54,K$5:K$27,"Died"))*J56</f>
        <v>#DIV/0!</v>
      </c>
      <c r="L56" s="67" t="e">
        <f t="shared" si="22"/>
        <v>#DIV/0!</v>
      </c>
      <c r="M56" s="67" t="e">
        <f t="shared" si="22"/>
        <v>#DIV/0!</v>
      </c>
      <c r="N56" s="67" t="e">
        <f t="shared" si="22"/>
        <v>#DIV/0!</v>
      </c>
      <c r="O56" s="67" t="e">
        <f t="shared" si="22"/>
        <v>#DIV/0!</v>
      </c>
      <c r="P56" s="67" t="e">
        <f t="shared" si="22"/>
        <v>#DIV/0!</v>
      </c>
      <c r="Q56" s="67" t="e">
        <f t="shared" si="22"/>
        <v>#DIV/0!</v>
      </c>
      <c r="R56" s="67" t="e">
        <f t="shared" si="22"/>
        <v>#DIV/0!</v>
      </c>
      <c r="S56" s="67" t="e">
        <f t="shared" si="22"/>
        <v>#DIV/0!</v>
      </c>
      <c r="T56" s="67" t="e">
        <f t="shared" si="22"/>
        <v>#DIV/0!</v>
      </c>
      <c r="U56" s="67" t="e">
        <f t="shared" si="22"/>
        <v>#DIV/0!</v>
      </c>
      <c r="V56" s="67" t="e">
        <f t="shared" si="22"/>
        <v>#DIV/0!</v>
      </c>
      <c r="W56" s="67" t="e">
        <f t="shared" si="22"/>
        <v>#DIV/0!</v>
      </c>
      <c r="X56" s="67" t="e">
        <f t="shared" si="22"/>
        <v>#DIV/0!</v>
      </c>
      <c r="Y56" s="67" t="e">
        <f t="shared" si="22"/>
        <v>#DIV/0!</v>
      </c>
      <c r="Z56" s="67" t="e">
        <f t="shared" si="22"/>
        <v>#DIV/0!</v>
      </c>
      <c r="AA56" s="67" t="e">
        <f t="shared" si="22"/>
        <v>#DIV/0!</v>
      </c>
      <c r="AB56" s="67" t="e">
        <f t="shared" si="22"/>
        <v>#DIV/0!</v>
      </c>
      <c r="AC56" s="67" t="e">
        <f t="shared" si="22"/>
        <v>#DIV/0!</v>
      </c>
      <c r="AD56" s="67" t="e">
        <f t="shared" si="22"/>
        <v>#DIV/0!</v>
      </c>
      <c r="AE56" s="67" t="e">
        <f t="shared" si="22"/>
        <v>#DIV/0!</v>
      </c>
      <c r="AF56" s="67" t="e">
        <f t="shared" si="22"/>
        <v>#DIV/0!</v>
      </c>
      <c r="AG56" s="67" t="e">
        <f t="shared" si="22"/>
        <v>#DIV/0!</v>
      </c>
      <c r="AH56" s="67" t="e">
        <f t="shared" si="22"/>
        <v>#DIV/0!</v>
      </c>
      <c r="AI56" s="67" t="e">
        <f t="shared" si="22"/>
        <v>#DIV/0!</v>
      </c>
      <c r="AJ56" s="67" t="e">
        <f t="shared" si="22"/>
        <v>#DIV/0!</v>
      </c>
      <c r="AK56" s="67" t="e">
        <f t="shared" si="22"/>
        <v>#DIV/0!</v>
      </c>
      <c r="AL56" s="67" t="e">
        <f t="shared" si="22"/>
        <v>#DIV/0!</v>
      </c>
      <c r="AM56" s="67" t="e">
        <f t="shared" si="22"/>
        <v>#DIV/0!</v>
      </c>
      <c r="AN56" s="67" t="e">
        <f t="shared" si="22"/>
        <v>#DIV/0!</v>
      </c>
      <c r="AO56" s="67" t="e">
        <f t="shared" si="22"/>
        <v>#DIV/0!</v>
      </c>
      <c r="AP56" s="67" t="e">
        <f t="shared" si="22"/>
        <v>#DIV/0!</v>
      </c>
      <c r="AQ56" s="67" t="e">
        <f t="shared" si="22"/>
        <v>#DIV/0!</v>
      </c>
      <c r="AR56" s="67" t="e">
        <f t="shared" si="22"/>
        <v>#DIV/0!</v>
      </c>
      <c r="AS56" s="67" t="e">
        <f t="shared" si="22"/>
        <v>#DIV/0!</v>
      </c>
      <c r="AT56" s="67" t="e">
        <f t="shared" si="22"/>
        <v>#DIV/0!</v>
      </c>
      <c r="AU56" s="67" t="e">
        <f t="shared" si="22"/>
        <v>#DIV/0!</v>
      </c>
      <c r="AV56" s="67" t="e">
        <f t="shared" si="22"/>
        <v>#DIV/0!</v>
      </c>
      <c r="AW56" s="67" t="e">
        <f t="shared" si="22"/>
        <v>#DIV/0!</v>
      </c>
      <c r="AX56" s="67" t="e">
        <f t="shared" si="22"/>
        <v>#DIV/0!</v>
      </c>
      <c r="AY56" s="67" t="e">
        <f t="shared" si="22"/>
        <v>#DIV/0!</v>
      </c>
      <c r="AZ56" s="67" t="e">
        <f t="shared" si="22"/>
        <v>#DIV/0!</v>
      </c>
      <c r="BA56" s="67" t="e">
        <f t="shared" si="22"/>
        <v>#DIV/0!</v>
      </c>
      <c r="BB56" s="3"/>
    </row>
    <row r="58" spans="1:54" ht="14.25" customHeight="1">
      <c r="A58" s="103"/>
      <c r="E58" s="108" t="str">
        <f>'NAB_PTX Groups'!C12</f>
        <v>Group 7</v>
      </c>
      <c r="H58" s="108" t="str">
        <f>E58</f>
        <v>Group 7</v>
      </c>
      <c r="I58" s="132" t="s">
        <v>52</v>
      </c>
      <c r="J58" s="71">
        <f t="shared" ref="J58:BA58" si="23">COUNTIFS($E$5:$E$27,$E58,J$5:J$27,"Alive")</f>
        <v>0</v>
      </c>
      <c r="K58" s="71">
        <f t="shared" si="23"/>
        <v>0</v>
      </c>
      <c r="L58" s="71">
        <f t="shared" si="23"/>
        <v>0</v>
      </c>
      <c r="M58" s="71">
        <f t="shared" si="23"/>
        <v>0</v>
      </c>
      <c r="N58" s="71">
        <f t="shared" si="23"/>
        <v>0</v>
      </c>
      <c r="O58" s="71">
        <f t="shared" si="23"/>
        <v>0</v>
      </c>
      <c r="P58" s="71">
        <f t="shared" si="23"/>
        <v>0</v>
      </c>
      <c r="Q58" s="71">
        <f t="shared" si="23"/>
        <v>0</v>
      </c>
      <c r="R58" s="71">
        <f t="shared" si="23"/>
        <v>0</v>
      </c>
      <c r="S58" s="71">
        <f t="shared" si="23"/>
        <v>0</v>
      </c>
      <c r="T58" s="71">
        <f t="shared" si="23"/>
        <v>0</v>
      </c>
      <c r="U58" s="71">
        <f t="shared" si="23"/>
        <v>0</v>
      </c>
      <c r="V58" s="71">
        <f t="shared" si="23"/>
        <v>0</v>
      </c>
      <c r="W58" s="71">
        <f t="shared" si="23"/>
        <v>0</v>
      </c>
      <c r="X58" s="71">
        <f t="shared" si="23"/>
        <v>0</v>
      </c>
      <c r="Y58" s="71">
        <f t="shared" si="23"/>
        <v>0</v>
      </c>
      <c r="Z58" s="71">
        <f t="shared" si="23"/>
        <v>0</v>
      </c>
      <c r="AA58" s="71">
        <f t="shared" si="23"/>
        <v>0</v>
      </c>
      <c r="AB58" s="71">
        <f t="shared" si="23"/>
        <v>0</v>
      </c>
      <c r="AC58" s="71">
        <f t="shared" si="23"/>
        <v>0</v>
      </c>
      <c r="AD58" s="71">
        <f t="shared" si="23"/>
        <v>0</v>
      </c>
      <c r="AE58" s="71">
        <f t="shared" si="23"/>
        <v>0</v>
      </c>
      <c r="AF58" s="71">
        <f t="shared" si="23"/>
        <v>0</v>
      </c>
      <c r="AG58" s="71">
        <f t="shared" si="23"/>
        <v>0</v>
      </c>
      <c r="AH58" s="71">
        <f t="shared" si="23"/>
        <v>0</v>
      </c>
      <c r="AI58" s="71">
        <f t="shared" si="23"/>
        <v>0</v>
      </c>
      <c r="AJ58" s="71">
        <f t="shared" si="23"/>
        <v>0</v>
      </c>
      <c r="AK58" s="71">
        <f t="shared" si="23"/>
        <v>0</v>
      </c>
      <c r="AL58" s="71">
        <f t="shared" si="23"/>
        <v>0</v>
      </c>
      <c r="AM58" s="71">
        <f t="shared" si="23"/>
        <v>0</v>
      </c>
      <c r="AN58" s="71">
        <f t="shared" si="23"/>
        <v>0</v>
      </c>
      <c r="AO58" s="71">
        <f t="shared" si="23"/>
        <v>0</v>
      </c>
      <c r="AP58" s="71">
        <f t="shared" si="23"/>
        <v>0</v>
      </c>
      <c r="AQ58" s="71">
        <f t="shared" si="23"/>
        <v>0</v>
      </c>
      <c r="AR58" s="71">
        <f t="shared" si="23"/>
        <v>0</v>
      </c>
      <c r="AS58" s="71">
        <f t="shared" si="23"/>
        <v>0</v>
      </c>
      <c r="AT58" s="71">
        <f t="shared" si="23"/>
        <v>0</v>
      </c>
      <c r="AU58" s="71">
        <f t="shared" si="23"/>
        <v>0</v>
      </c>
      <c r="AV58" s="71">
        <f t="shared" si="23"/>
        <v>0</v>
      </c>
      <c r="AW58" s="71">
        <f t="shared" si="23"/>
        <v>0</v>
      </c>
      <c r="AX58" s="71">
        <f t="shared" si="23"/>
        <v>0</v>
      </c>
      <c r="AY58" s="71">
        <f t="shared" si="23"/>
        <v>0</v>
      </c>
      <c r="AZ58" s="71">
        <f t="shared" si="23"/>
        <v>0</v>
      </c>
      <c r="BA58" s="71">
        <f t="shared" si="23"/>
        <v>0</v>
      </c>
      <c r="BB58" s="69"/>
    </row>
    <row r="59" spans="1:54" ht="14.25" customHeight="1">
      <c r="A59" s="103"/>
      <c r="E59" s="83"/>
      <c r="H59" s="83"/>
      <c r="I59" s="132" t="s">
        <v>51</v>
      </c>
      <c r="J59" s="74">
        <f t="shared" ref="J59:BA59" si="24">COUNTIFS($E$5:$E$27,$E58,J$5:J$27,"Censored")</f>
        <v>0</v>
      </c>
      <c r="K59" s="74">
        <f t="shared" si="24"/>
        <v>0</v>
      </c>
      <c r="L59" s="74">
        <f t="shared" si="24"/>
        <v>0</v>
      </c>
      <c r="M59" s="74">
        <f t="shared" si="24"/>
        <v>0</v>
      </c>
      <c r="N59" s="74">
        <f t="shared" si="24"/>
        <v>0</v>
      </c>
      <c r="O59" s="74">
        <f t="shared" si="24"/>
        <v>0</v>
      </c>
      <c r="P59" s="74">
        <f t="shared" si="24"/>
        <v>0</v>
      </c>
      <c r="Q59" s="74">
        <f t="shared" si="24"/>
        <v>0</v>
      </c>
      <c r="R59" s="74">
        <f t="shared" si="24"/>
        <v>0</v>
      </c>
      <c r="S59" s="74">
        <f t="shared" si="24"/>
        <v>0</v>
      </c>
      <c r="T59" s="74">
        <f t="shared" si="24"/>
        <v>0</v>
      </c>
      <c r="U59" s="74">
        <f t="shared" si="24"/>
        <v>0</v>
      </c>
      <c r="V59" s="74">
        <f t="shared" si="24"/>
        <v>0</v>
      </c>
      <c r="W59" s="74">
        <f t="shared" si="24"/>
        <v>0</v>
      </c>
      <c r="X59" s="74">
        <f t="shared" si="24"/>
        <v>0</v>
      </c>
      <c r="Y59" s="74">
        <f t="shared" si="24"/>
        <v>0</v>
      </c>
      <c r="Z59" s="74">
        <f t="shared" si="24"/>
        <v>0</v>
      </c>
      <c r="AA59" s="74">
        <f t="shared" si="24"/>
        <v>0</v>
      </c>
      <c r="AB59" s="74">
        <f t="shared" si="24"/>
        <v>0</v>
      </c>
      <c r="AC59" s="74">
        <f t="shared" si="24"/>
        <v>0</v>
      </c>
      <c r="AD59" s="74">
        <f t="shared" si="24"/>
        <v>0</v>
      </c>
      <c r="AE59" s="74">
        <f t="shared" si="24"/>
        <v>0</v>
      </c>
      <c r="AF59" s="74">
        <f t="shared" si="24"/>
        <v>0</v>
      </c>
      <c r="AG59" s="74">
        <f t="shared" si="24"/>
        <v>0</v>
      </c>
      <c r="AH59" s="74">
        <f t="shared" si="24"/>
        <v>0</v>
      </c>
      <c r="AI59" s="74">
        <f t="shared" si="24"/>
        <v>0</v>
      </c>
      <c r="AJ59" s="74">
        <f t="shared" si="24"/>
        <v>0</v>
      </c>
      <c r="AK59" s="74">
        <f t="shared" si="24"/>
        <v>0</v>
      </c>
      <c r="AL59" s="74">
        <f t="shared" si="24"/>
        <v>0</v>
      </c>
      <c r="AM59" s="74">
        <f t="shared" si="24"/>
        <v>0</v>
      </c>
      <c r="AN59" s="74">
        <f t="shared" si="24"/>
        <v>0</v>
      </c>
      <c r="AO59" s="74">
        <f t="shared" si="24"/>
        <v>0</v>
      </c>
      <c r="AP59" s="74">
        <f t="shared" si="24"/>
        <v>0</v>
      </c>
      <c r="AQ59" s="74">
        <f t="shared" si="24"/>
        <v>0</v>
      </c>
      <c r="AR59" s="74">
        <f t="shared" si="24"/>
        <v>0</v>
      </c>
      <c r="AS59" s="74">
        <f t="shared" si="24"/>
        <v>0</v>
      </c>
      <c r="AT59" s="74">
        <f t="shared" si="24"/>
        <v>0</v>
      </c>
      <c r="AU59" s="74">
        <f t="shared" si="24"/>
        <v>0</v>
      </c>
      <c r="AV59" s="74">
        <f t="shared" si="24"/>
        <v>0</v>
      </c>
      <c r="AW59" s="74">
        <f t="shared" si="24"/>
        <v>0</v>
      </c>
      <c r="AX59" s="74">
        <f t="shared" si="24"/>
        <v>0</v>
      </c>
      <c r="AY59" s="74">
        <f t="shared" si="24"/>
        <v>0</v>
      </c>
      <c r="AZ59" s="74">
        <f t="shared" si="24"/>
        <v>0</v>
      </c>
      <c r="BA59" s="74">
        <f t="shared" si="24"/>
        <v>0</v>
      </c>
      <c r="BB59" s="69"/>
    </row>
    <row r="60" spans="1:54" ht="14.25" customHeight="1">
      <c r="A60" s="39"/>
      <c r="B60" s="38"/>
      <c r="C60" s="40"/>
      <c r="D60" s="38"/>
      <c r="E60" s="82"/>
      <c r="F60" s="64"/>
      <c r="G60" s="75"/>
      <c r="H60" s="83"/>
      <c r="I60" s="132" t="s">
        <v>53</v>
      </c>
      <c r="J60" s="67" t="e">
        <f>J58/(COUNTIFS($E$5:$E$27,$E58,J$5:J$27,"Alive")+COUNTIFS($E$5:$E$27,$E58,J$5:J$27,"Sacrificed")+COUNTIFS($E$5:$E$27,$E58,J$5:J$27,"Died"))</f>
        <v>#DIV/0!</v>
      </c>
      <c r="K60" s="67" t="e">
        <f t="shared" ref="K60:BA60" si="25">K58/(COUNTIFS($E$5:$E$27,$E58,K$5:K$27,"Alive")+COUNTIFS($E$5:$E$27,$E58,K$5:K$27,"Sacrificed")+COUNTIFS($E$5:$E$27,$E58,K$5:K$27,"Died"))*J60</f>
        <v>#DIV/0!</v>
      </c>
      <c r="L60" s="67" t="e">
        <f t="shared" si="25"/>
        <v>#DIV/0!</v>
      </c>
      <c r="M60" s="67" t="e">
        <f t="shared" si="25"/>
        <v>#DIV/0!</v>
      </c>
      <c r="N60" s="67" t="e">
        <f t="shared" si="25"/>
        <v>#DIV/0!</v>
      </c>
      <c r="O60" s="67" t="e">
        <f t="shared" si="25"/>
        <v>#DIV/0!</v>
      </c>
      <c r="P60" s="67" t="e">
        <f t="shared" si="25"/>
        <v>#DIV/0!</v>
      </c>
      <c r="Q60" s="67" t="e">
        <f t="shared" si="25"/>
        <v>#DIV/0!</v>
      </c>
      <c r="R60" s="67" t="e">
        <f t="shared" si="25"/>
        <v>#DIV/0!</v>
      </c>
      <c r="S60" s="67" t="e">
        <f t="shared" si="25"/>
        <v>#DIV/0!</v>
      </c>
      <c r="T60" s="67" t="e">
        <f t="shared" si="25"/>
        <v>#DIV/0!</v>
      </c>
      <c r="U60" s="67" t="e">
        <f t="shared" si="25"/>
        <v>#DIV/0!</v>
      </c>
      <c r="V60" s="67" t="e">
        <f t="shared" si="25"/>
        <v>#DIV/0!</v>
      </c>
      <c r="W60" s="67" t="e">
        <f t="shared" si="25"/>
        <v>#DIV/0!</v>
      </c>
      <c r="X60" s="67" t="e">
        <f t="shared" si="25"/>
        <v>#DIV/0!</v>
      </c>
      <c r="Y60" s="67" t="e">
        <f t="shared" si="25"/>
        <v>#DIV/0!</v>
      </c>
      <c r="Z60" s="67" t="e">
        <f t="shared" si="25"/>
        <v>#DIV/0!</v>
      </c>
      <c r="AA60" s="67" t="e">
        <f t="shared" si="25"/>
        <v>#DIV/0!</v>
      </c>
      <c r="AB60" s="67" t="e">
        <f t="shared" si="25"/>
        <v>#DIV/0!</v>
      </c>
      <c r="AC60" s="67" t="e">
        <f t="shared" si="25"/>
        <v>#DIV/0!</v>
      </c>
      <c r="AD60" s="67" t="e">
        <f t="shared" si="25"/>
        <v>#DIV/0!</v>
      </c>
      <c r="AE60" s="67" t="e">
        <f t="shared" si="25"/>
        <v>#DIV/0!</v>
      </c>
      <c r="AF60" s="67" t="e">
        <f t="shared" si="25"/>
        <v>#DIV/0!</v>
      </c>
      <c r="AG60" s="67" t="e">
        <f t="shared" si="25"/>
        <v>#DIV/0!</v>
      </c>
      <c r="AH60" s="67" t="e">
        <f t="shared" si="25"/>
        <v>#DIV/0!</v>
      </c>
      <c r="AI60" s="67" t="e">
        <f t="shared" si="25"/>
        <v>#DIV/0!</v>
      </c>
      <c r="AJ60" s="67" t="e">
        <f t="shared" si="25"/>
        <v>#DIV/0!</v>
      </c>
      <c r="AK60" s="67" t="e">
        <f t="shared" si="25"/>
        <v>#DIV/0!</v>
      </c>
      <c r="AL60" s="67" t="e">
        <f t="shared" si="25"/>
        <v>#DIV/0!</v>
      </c>
      <c r="AM60" s="67" t="e">
        <f t="shared" si="25"/>
        <v>#DIV/0!</v>
      </c>
      <c r="AN60" s="67" t="e">
        <f t="shared" si="25"/>
        <v>#DIV/0!</v>
      </c>
      <c r="AO60" s="67" t="e">
        <f t="shared" si="25"/>
        <v>#DIV/0!</v>
      </c>
      <c r="AP60" s="67" t="e">
        <f t="shared" si="25"/>
        <v>#DIV/0!</v>
      </c>
      <c r="AQ60" s="67" t="e">
        <f t="shared" si="25"/>
        <v>#DIV/0!</v>
      </c>
      <c r="AR60" s="67" t="e">
        <f t="shared" si="25"/>
        <v>#DIV/0!</v>
      </c>
      <c r="AS60" s="67" t="e">
        <f t="shared" si="25"/>
        <v>#DIV/0!</v>
      </c>
      <c r="AT60" s="67" t="e">
        <f t="shared" si="25"/>
        <v>#DIV/0!</v>
      </c>
      <c r="AU60" s="67" t="e">
        <f t="shared" si="25"/>
        <v>#DIV/0!</v>
      </c>
      <c r="AV60" s="67" t="e">
        <f t="shared" si="25"/>
        <v>#DIV/0!</v>
      </c>
      <c r="AW60" s="67" t="e">
        <f t="shared" si="25"/>
        <v>#DIV/0!</v>
      </c>
      <c r="AX60" s="67" t="e">
        <f t="shared" si="25"/>
        <v>#DIV/0!</v>
      </c>
      <c r="AY60" s="67" t="e">
        <f t="shared" si="25"/>
        <v>#DIV/0!</v>
      </c>
      <c r="AZ60" s="67" t="e">
        <f t="shared" si="25"/>
        <v>#DIV/0!</v>
      </c>
      <c r="BA60" s="67" t="e">
        <f t="shared" si="25"/>
        <v>#DIV/0!</v>
      </c>
      <c r="BB60" s="3"/>
    </row>
    <row r="62" spans="1:54" ht="14.25" customHeight="1">
      <c r="A62" s="103"/>
      <c r="E62" s="108" t="str">
        <f>'NAB_PTX Groups'!C13</f>
        <v>Group 8</v>
      </c>
      <c r="H62" s="108" t="str">
        <f>E62</f>
        <v>Group 8</v>
      </c>
      <c r="I62" s="132" t="s">
        <v>52</v>
      </c>
      <c r="J62" s="71">
        <f t="shared" ref="J62:BA62" si="26">COUNTIFS($E$5:$E$27,$E62,J$5:J$27,"Alive")</f>
        <v>0</v>
      </c>
      <c r="K62" s="71">
        <f t="shared" si="26"/>
        <v>0</v>
      </c>
      <c r="L62" s="71">
        <f t="shared" si="26"/>
        <v>0</v>
      </c>
      <c r="M62" s="71">
        <f t="shared" si="26"/>
        <v>0</v>
      </c>
      <c r="N62" s="71">
        <f t="shared" si="26"/>
        <v>0</v>
      </c>
      <c r="O62" s="71">
        <f t="shared" si="26"/>
        <v>0</v>
      </c>
      <c r="P62" s="71">
        <f t="shared" si="26"/>
        <v>0</v>
      </c>
      <c r="Q62" s="71">
        <f t="shared" si="26"/>
        <v>0</v>
      </c>
      <c r="R62" s="71">
        <f t="shared" si="26"/>
        <v>0</v>
      </c>
      <c r="S62" s="71">
        <f t="shared" si="26"/>
        <v>0</v>
      </c>
      <c r="T62" s="71">
        <f t="shared" si="26"/>
        <v>0</v>
      </c>
      <c r="U62" s="71">
        <f t="shared" si="26"/>
        <v>0</v>
      </c>
      <c r="V62" s="71">
        <f t="shared" si="26"/>
        <v>0</v>
      </c>
      <c r="W62" s="71">
        <f t="shared" si="26"/>
        <v>0</v>
      </c>
      <c r="X62" s="71">
        <f t="shared" si="26"/>
        <v>0</v>
      </c>
      <c r="Y62" s="71">
        <f t="shared" si="26"/>
        <v>0</v>
      </c>
      <c r="Z62" s="71">
        <f t="shared" si="26"/>
        <v>0</v>
      </c>
      <c r="AA62" s="71">
        <f t="shared" si="26"/>
        <v>0</v>
      </c>
      <c r="AB62" s="71">
        <f t="shared" si="26"/>
        <v>0</v>
      </c>
      <c r="AC62" s="71">
        <f t="shared" si="26"/>
        <v>0</v>
      </c>
      <c r="AD62" s="71">
        <f t="shared" si="26"/>
        <v>0</v>
      </c>
      <c r="AE62" s="71">
        <f t="shared" si="26"/>
        <v>0</v>
      </c>
      <c r="AF62" s="71">
        <f t="shared" si="26"/>
        <v>0</v>
      </c>
      <c r="AG62" s="71">
        <f t="shared" si="26"/>
        <v>0</v>
      </c>
      <c r="AH62" s="71">
        <f t="shared" si="26"/>
        <v>0</v>
      </c>
      <c r="AI62" s="71">
        <f t="shared" si="26"/>
        <v>0</v>
      </c>
      <c r="AJ62" s="71">
        <f t="shared" si="26"/>
        <v>0</v>
      </c>
      <c r="AK62" s="71">
        <f t="shared" si="26"/>
        <v>0</v>
      </c>
      <c r="AL62" s="71">
        <f t="shared" si="26"/>
        <v>0</v>
      </c>
      <c r="AM62" s="71">
        <f t="shared" si="26"/>
        <v>0</v>
      </c>
      <c r="AN62" s="71">
        <f t="shared" si="26"/>
        <v>0</v>
      </c>
      <c r="AO62" s="71">
        <f t="shared" si="26"/>
        <v>0</v>
      </c>
      <c r="AP62" s="71">
        <f t="shared" si="26"/>
        <v>0</v>
      </c>
      <c r="AQ62" s="71">
        <f t="shared" si="26"/>
        <v>0</v>
      </c>
      <c r="AR62" s="71">
        <f t="shared" si="26"/>
        <v>0</v>
      </c>
      <c r="AS62" s="71">
        <f t="shared" si="26"/>
        <v>0</v>
      </c>
      <c r="AT62" s="71">
        <f t="shared" si="26"/>
        <v>0</v>
      </c>
      <c r="AU62" s="71">
        <f t="shared" si="26"/>
        <v>0</v>
      </c>
      <c r="AV62" s="71">
        <f t="shared" si="26"/>
        <v>0</v>
      </c>
      <c r="AW62" s="71">
        <f t="shared" si="26"/>
        <v>0</v>
      </c>
      <c r="AX62" s="71">
        <f t="shared" si="26"/>
        <v>0</v>
      </c>
      <c r="AY62" s="71">
        <f t="shared" si="26"/>
        <v>0</v>
      </c>
      <c r="AZ62" s="71">
        <f t="shared" si="26"/>
        <v>0</v>
      </c>
      <c r="BA62" s="71">
        <f t="shared" si="26"/>
        <v>0</v>
      </c>
      <c r="BB62" s="69"/>
    </row>
    <row r="63" spans="1:54" ht="14.25" customHeight="1">
      <c r="A63" s="103"/>
      <c r="E63" s="83"/>
      <c r="H63" s="83"/>
      <c r="I63" s="132" t="s">
        <v>51</v>
      </c>
      <c r="J63" s="74">
        <f t="shared" ref="J63:BA63" si="27">COUNTIFS($E$5:$E$27,$E62,J$5:J$27,"Censored")</f>
        <v>0</v>
      </c>
      <c r="K63" s="74">
        <f t="shared" si="27"/>
        <v>0</v>
      </c>
      <c r="L63" s="74">
        <f t="shared" si="27"/>
        <v>0</v>
      </c>
      <c r="M63" s="74">
        <f t="shared" si="27"/>
        <v>0</v>
      </c>
      <c r="N63" s="74">
        <f t="shared" si="27"/>
        <v>0</v>
      </c>
      <c r="O63" s="74">
        <f t="shared" si="27"/>
        <v>0</v>
      </c>
      <c r="P63" s="74">
        <f t="shared" si="27"/>
        <v>0</v>
      </c>
      <c r="Q63" s="74">
        <f t="shared" si="27"/>
        <v>0</v>
      </c>
      <c r="R63" s="74">
        <f t="shared" si="27"/>
        <v>0</v>
      </c>
      <c r="S63" s="74">
        <f t="shared" si="27"/>
        <v>0</v>
      </c>
      <c r="T63" s="74">
        <f t="shared" si="27"/>
        <v>0</v>
      </c>
      <c r="U63" s="74">
        <f t="shared" si="27"/>
        <v>0</v>
      </c>
      <c r="V63" s="74">
        <f t="shared" si="27"/>
        <v>0</v>
      </c>
      <c r="W63" s="74">
        <f t="shared" si="27"/>
        <v>0</v>
      </c>
      <c r="X63" s="74">
        <f t="shared" si="27"/>
        <v>0</v>
      </c>
      <c r="Y63" s="74">
        <f t="shared" si="27"/>
        <v>0</v>
      </c>
      <c r="Z63" s="74">
        <f t="shared" si="27"/>
        <v>0</v>
      </c>
      <c r="AA63" s="74">
        <f t="shared" si="27"/>
        <v>0</v>
      </c>
      <c r="AB63" s="74">
        <f t="shared" si="27"/>
        <v>0</v>
      </c>
      <c r="AC63" s="74">
        <f t="shared" si="27"/>
        <v>0</v>
      </c>
      <c r="AD63" s="74">
        <f t="shared" si="27"/>
        <v>0</v>
      </c>
      <c r="AE63" s="74">
        <f t="shared" si="27"/>
        <v>0</v>
      </c>
      <c r="AF63" s="74">
        <f t="shared" si="27"/>
        <v>0</v>
      </c>
      <c r="AG63" s="74">
        <f t="shared" si="27"/>
        <v>0</v>
      </c>
      <c r="AH63" s="74">
        <f t="shared" si="27"/>
        <v>0</v>
      </c>
      <c r="AI63" s="74">
        <f t="shared" si="27"/>
        <v>0</v>
      </c>
      <c r="AJ63" s="74">
        <f t="shared" si="27"/>
        <v>0</v>
      </c>
      <c r="AK63" s="74">
        <f t="shared" si="27"/>
        <v>0</v>
      </c>
      <c r="AL63" s="74">
        <f t="shared" si="27"/>
        <v>0</v>
      </c>
      <c r="AM63" s="74">
        <f t="shared" si="27"/>
        <v>0</v>
      </c>
      <c r="AN63" s="74">
        <f t="shared" si="27"/>
        <v>0</v>
      </c>
      <c r="AO63" s="74">
        <f t="shared" si="27"/>
        <v>0</v>
      </c>
      <c r="AP63" s="74">
        <f t="shared" si="27"/>
        <v>0</v>
      </c>
      <c r="AQ63" s="74">
        <f t="shared" si="27"/>
        <v>0</v>
      </c>
      <c r="AR63" s="74">
        <f t="shared" si="27"/>
        <v>0</v>
      </c>
      <c r="AS63" s="74">
        <f t="shared" si="27"/>
        <v>0</v>
      </c>
      <c r="AT63" s="74">
        <f t="shared" si="27"/>
        <v>0</v>
      </c>
      <c r="AU63" s="74">
        <f t="shared" si="27"/>
        <v>0</v>
      </c>
      <c r="AV63" s="74">
        <f t="shared" si="27"/>
        <v>0</v>
      </c>
      <c r="AW63" s="74">
        <f t="shared" si="27"/>
        <v>0</v>
      </c>
      <c r="AX63" s="74">
        <f t="shared" si="27"/>
        <v>0</v>
      </c>
      <c r="AY63" s="74">
        <f t="shared" si="27"/>
        <v>0</v>
      </c>
      <c r="AZ63" s="74">
        <f t="shared" si="27"/>
        <v>0</v>
      </c>
      <c r="BA63" s="74">
        <f t="shared" si="27"/>
        <v>0</v>
      </c>
      <c r="BB63" s="69"/>
    </row>
    <row r="64" spans="1:54" ht="14.25" customHeight="1">
      <c r="A64" s="39"/>
      <c r="B64" s="38"/>
      <c r="C64" s="40"/>
      <c r="D64" s="38"/>
      <c r="E64" s="82"/>
      <c r="F64" s="64"/>
      <c r="G64" s="75"/>
      <c r="H64" s="83"/>
      <c r="I64" s="132" t="s">
        <v>53</v>
      </c>
      <c r="J64" s="67" t="e">
        <f>J62/(COUNTIFS($E$5:$E$27,$E62,J$5:J$27,"Alive")+COUNTIFS($E$5:$E$27,$E62,J$5:J$27,"Sacrificed")+COUNTIFS($E$5:$E$27,$E62,J$5:J$27,"Died"))</f>
        <v>#DIV/0!</v>
      </c>
      <c r="K64" s="67" t="e">
        <f t="shared" ref="K64:BA64" si="28">K62/(COUNTIFS($E$5:$E$27,$E62,K$5:K$27,"Alive")+COUNTIFS($E$5:$E$27,$E62,K$5:K$27,"Sacrificed")+COUNTIFS($E$5:$E$27,$E62,K$5:K$27,"Died"))*J64</f>
        <v>#DIV/0!</v>
      </c>
      <c r="L64" s="67" t="e">
        <f t="shared" si="28"/>
        <v>#DIV/0!</v>
      </c>
      <c r="M64" s="67" t="e">
        <f t="shared" si="28"/>
        <v>#DIV/0!</v>
      </c>
      <c r="N64" s="67" t="e">
        <f t="shared" si="28"/>
        <v>#DIV/0!</v>
      </c>
      <c r="O64" s="67" t="e">
        <f t="shared" si="28"/>
        <v>#DIV/0!</v>
      </c>
      <c r="P64" s="67" t="e">
        <f t="shared" si="28"/>
        <v>#DIV/0!</v>
      </c>
      <c r="Q64" s="67" t="e">
        <f t="shared" si="28"/>
        <v>#DIV/0!</v>
      </c>
      <c r="R64" s="67" t="e">
        <f t="shared" si="28"/>
        <v>#DIV/0!</v>
      </c>
      <c r="S64" s="67" t="e">
        <f t="shared" si="28"/>
        <v>#DIV/0!</v>
      </c>
      <c r="T64" s="67" t="e">
        <f t="shared" si="28"/>
        <v>#DIV/0!</v>
      </c>
      <c r="U64" s="67" t="e">
        <f t="shared" si="28"/>
        <v>#DIV/0!</v>
      </c>
      <c r="V64" s="67" t="e">
        <f t="shared" si="28"/>
        <v>#DIV/0!</v>
      </c>
      <c r="W64" s="67" t="e">
        <f t="shared" si="28"/>
        <v>#DIV/0!</v>
      </c>
      <c r="X64" s="67" t="e">
        <f t="shared" si="28"/>
        <v>#DIV/0!</v>
      </c>
      <c r="Y64" s="67" t="e">
        <f t="shared" si="28"/>
        <v>#DIV/0!</v>
      </c>
      <c r="Z64" s="67" t="e">
        <f t="shared" si="28"/>
        <v>#DIV/0!</v>
      </c>
      <c r="AA64" s="67" t="e">
        <f t="shared" si="28"/>
        <v>#DIV/0!</v>
      </c>
      <c r="AB64" s="67" t="e">
        <f t="shared" si="28"/>
        <v>#DIV/0!</v>
      </c>
      <c r="AC64" s="67" t="e">
        <f t="shared" si="28"/>
        <v>#DIV/0!</v>
      </c>
      <c r="AD64" s="67" t="e">
        <f t="shared" si="28"/>
        <v>#DIV/0!</v>
      </c>
      <c r="AE64" s="67" t="e">
        <f t="shared" si="28"/>
        <v>#DIV/0!</v>
      </c>
      <c r="AF64" s="67" t="e">
        <f t="shared" si="28"/>
        <v>#DIV/0!</v>
      </c>
      <c r="AG64" s="67" t="e">
        <f t="shared" si="28"/>
        <v>#DIV/0!</v>
      </c>
      <c r="AH64" s="67" t="e">
        <f t="shared" si="28"/>
        <v>#DIV/0!</v>
      </c>
      <c r="AI64" s="67" t="e">
        <f t="shared" si="28"/>
        <v>#DIV/0!</v>
      </c>
      <c r="AJ64" s="67" t="e">
        <f t="shared" si="28"/>
        <v>#DIV/0!</v>
      </c>
      <c r="AK64" s="67" t="e">
        <f t="shared" si="28"/>
        <v>#DIV/0!</v>
      </c>
      <c r="AL64" s="67" t="e">
        <f t="shared" si="28"/>
        <v>#DIV/0!</v>
      </c>
      <c r="AM64" s="67" t="e">
        <f t="shared" si="28"/>
        <v>#DIV/0!</v>
      </c>
      <c r="AN64" s="67" t="e">
        <f t="shared" si="28"/>
        <v>#DIV/0!</v>
      </c>
      <c r="AO64" s="67" t="e">
        <f t="shared" si="28"/>
        <v>#DIV/0!</v>
      </c>
      <c r="AP64" s="67" t="e">
        <f t="shared" si="28"/>
        <v>#DIV/0!</v>
      </c>
      <c r="AQ64" s="67" t="e">
        <f t="shared" si="28"/>
        <v>#DIV/0!</v>
      </c>
      <c r="AR64" s="67" t="e">
        <f t="shared" si="28"/>
        <v>#DIV/0!</v>
      </c>
      <c r="AS64" s="67" t="e">
        <f t="shared" si="28"/>
        <v>#DIV/0!</v>
      </c>
      <c r="AT64" s="67" t="e">
        <f t="shared" si="28"/>
        <v>#DIV/0!</v>
      </c>
      <c r="AU64" s="67" t="e">
        <f t="shared" si="28"/>
        <v>#DIV/0!</v>
      </c>
      <c r="AV64" s="67" t="e">
        <f t="shared" si="28"/>
        <v>#DIV/0!</v>
      </c>
      <c r="AW64" s="67" t="e">
        <f t="shared" si="28"/>
        <v>#DIV/0!</v>
      </c>
      <c r="AX64" s="67" t="e">
        <f t="shared" si="28"/>
        <v>#DIV/0!</v>
      </c>
      <c r="AY64" s="67" t="e">
        <f t="shared" si="28"/>
        <v>#DIV/0!</v>
      </c>
      <c r="AZ64" s="67" t="e">
        <f t="shared" si="28"/>
        <v>#DIV/0!</v>
      </c>
      <c r="BA64" s="67" t="e">
        <f t="shared" si="28"/>
        <v>#DIV/0!</v>
      </c>
      <c r="BB64" s="3"/>
    </row>
    <row r="66" spans="1:54" ht="14.25" customHeight="1">
      <c r="A66" s="103"/>
      <c r="E66" s="108" t="str">
        <f>'NAB_PTX Groups'!C14</f>
        <v>Group 9</v>
      </c>
      <c r="H66" s="108" t="str">
        <f>E66</f>
        <v>Group 9</v>
      </c>
      <c r="I66" s="132" t="s">
        <v>52</v>
      </c>
      <c r="J66" s="71">
        <f t="shared" ref="J66:BA66" si="29">COUNTIFS($E$5:$E$27,$E66,J$5:J$27,"Alive")</f>
        <v>0</v>
      </c>
      <c r="K66" s="71">
        <f t="shared" si="29"/>
        <v>0</v>
      </c>
      <c r="L66" s="71">
        <f t="shared" si="29"/>
        <v>0</v>
      </c>
      <c r="M66" s="71">
        <f t="shared" si="29"/>
        <v>0</v>
      </c>
      <c r="N66" s="71">
        <f t="shared" si="29"/>
        <v>0</v>
      </c>
      <c r="O66" s="71">
        <f t="shared" si="29"/>
        <v>0</v>
      </c>
      <c r="P66" s="71">
        <f t="shared" si="29"/>
        <v>0</v>
      </c>
      <c r="Q66" s="71">
        <f t="shared" si="29"/>
        <v>0</v>
      </c>
      <c r="R66" s="71">
        <f t="shared" si="29"/>
        <v>0</v>
      </c>
      <c r="S66" s="71">
        <f t="shared" si="29"/>
        <v>0</v>
      </c>
      <c r="T66" s="71">
        <f t="shared" si="29"/>
        <v>0</v>
      </c>
      <c r="U66" s="71">
        <f t="shared" si="29"/>
        <v>0</v>
      </c>
      <c r="V66" s="71">
        <f t="shared" si="29"/>
        <v>0</v>
      </c>
      <c r="W66" s="71">
        <f t="shared" si="29"/>
        <v>0</v>
      </c>
      <c r="X66" s="71">
        <f t="shared" si="29"/>
        <v>0</v>
      </c>
      <c r="Y66" s="71">
        <f t="shared" si="29"/>
        <v>0</v>
      </c>
      <c r="Z66" s="71">
        <f t="shared" si="29"/>
        <v>0</v>
      </c>
      <c r="AA66" s="71">
        <f t="shared" si="29"/>
        <v>0</v>
      </c>
      <c r="AB66" s="71">
        <f t="shared" si="29"/>
        <v>0</v>
      </c>
      <c r="AC66" s="71">
        <f t="shared" si="29"/>
        <v>0</v>
      </c>
      <c r="AD66" s="71">
        <f t="shared" si="29"/>
        <v>0</v>
      </c>
      <c r="AE66" s="71">
        <f t="shared" si="29"/>
        <v>0</v>
      </c>
      <c r="AF66" s="71">
        <f t="shared" si="29"/>
        <v>0</v>
      </c>
      <c r="AG66" s="71">
        <f t="shared" si="29"/>
        <v>0</v>
      </c>
      <c r="AH66" s="71">
        <f t="shared" si="29"/>
        <v>0</v>
      </c>
      <c r="AI66" s="71">
        <f t="shared" si="29"/>
        <v>0</v>
      </c>
      <c r="AJ66" s="71">
        <f t="shared" si="29"/>
        <v>0</v>
      </c>
      <c r="AK66" s="71">
        <f t="shared" si="29"/>
        <v>0</v>
      </c>
      <c r="AL66" s="71">
        <f t="shared" si="29"/>
        <v>0</v>
      </c>
      <c r="AM66" s="71">
        <f t="shared" si="29"/>
        <v>0</v>
      </c>
      <c r="AN66" s="71">
        <f t="shared" si="29"/>
        <v>0</v>
      </c>
      <c r="AO66" s="71">
        <f t="shared" si="29"/>
        <v>0</v>
      </c>
      <c r="AP66" s="71">
        <f t="shared" si="29"/>
        <v>0</v>
      </c>
      <c r="AQ66" s="71">
        <f t="shared" si="29"/>
        <v>0</v>
      </c>
      <c r="AR66" s="71">
        <f t="shared" si="29"/>
        <v>0</v>
      </c>
      <c r="AS66" s="71">
        <f t="shared" si="29"/>
        <v>0</v>
      </c>
      <c r="AT66" s="71">
        <f t="shared" si="29"/>
        <v>0</v>
      </c>
      <c r="AU66" s="71">
        <f t="shared" si="29"/>
        <v>0</v>
      </c>
      <c r="AV66" s="71">
        <f t="shared" si="29"/>
        <v>0</v>
      </c>
      <c r="AW66" s="71">
        <f t="shared" si="29"/>
        <v>0</v>
      </c>
      <c r="AX66" s="71">
        <f t="shared" si="29"/>
        <v>0</v>
      </c>
      <c r="AY66" s="71">
        <f t="shared" si="29"/>
        <v>0</v>
      </c>
      <c r="AZ66" s="71">
        <f t="shared" si="29"/>
        <v>0</v>
      </c>
      <c r="BA66" s="71">
        <f t="shared" si="29"/>
        <v>0</v>
      </c>
      <c r="BB66" s="69"/>
    </row>
    <row r="67" spans="1:54" ht="14.25" customHeight="1">
      <c r="A67" s="103"/>
      <c r="E67" s="83"/>
      <c r="H67" s="83"/>
      <c r="I67" s="132" t="s">
        <v>51</v>
      </c>
      <c r="J67" s="74">
        <f t="shared" ref="J67:BA67" si="30">COUNTIFS($E$5:$E$27,$E66,J$5:J$27,"Censored")</f>
        <v>0</v>
      </c>
      <c r="K67" s="74">
        <f t="shared" si="30"/>
        <v>0</v>
      </c>
      <c r="L67" s="74">
        <f t="shared" si="30"/>
        <v>0</v>
      </c>
      <c r="M67" s="74">
        <f t="shared" si="30"/>
        <v>0</v>
      </c>
      <c r="N67" s="74">
        <f t="shared" si="30"/>
        <v>0</v>
      </c>
      <c r="O67" s="74">
        <f t="shared" si="30"/>
        <v>0</v>
      </c>
      <c r="P67" s="74">
        <f t="shared" si="30"/>
        <v>0</v>
      </c>
      <c r="Q67" s="74">
        <f t="shared" si="30"/>
        <v>0</v>
      </c>
      <c r="R67" s="74">
        <f t="shared" si="30"/>
        <v>0</v>
      </c>
      <c r="S67" s="74">
        <f t="shared" si="30"/>
        <v>0</v>
      </c>
      <c r="T67" s="74">
        <f t="shared" si="30"/>
        <v>0</v>
      </c>
      <c r="U67" s="74">
        <f t="shared" si="30"/>
        <v>0</v>
      </c>
      <c r="V67" s="74">
        <f t="shared" si="30"/>
        <v>0</v>
      </c>
      <c r="W67" s="74">
        <f t="shared" si="30"/>
        <v>0</v>
      </c>
      <c r="X67" s="74">
        <f t="shared" si="30"/>
        <v>0</v>
      </c>
      <c r="Y67" s="74">
        <f t="shared" si="30"/>
        <v>0</v>
      </c>
      <c r="Z67" s="74">
        <f t="shared" si="30"/>
        <v>0</v>
      </c>
      <c r="AA67" s="74">
        <f t="shared" si="30"/>
        <v>0</v>
      </c>
      <c r="AB67" s="74">
        <f t="shared" si="30"/>
        <v>0</v>
      </c>
      <c r="AC67" s="74">
        <f t="shared" si="30"/>
        <v>0</v>
      </c>
      <c r="AD67" s="74">
        <f t="shared" si="30"/>
        <v>0</v>
      </c>
      <c r="AE67" s="74">
        <f t="shared" si="30"/>
        <v>0</v>
      </c>
      <c r="AF67" s="74">
        <f t="shared" si="30"/>
        <v>0</v>
      </c>
      <c r="AG67" s="74">
        <f t="shared" si="30"/>
        <v>0</v>
      </c>
      <c r="AH67" s="74">
        <f t="shared" si="30"/>
        <v>0</v>
      </c>
      <c r="AI67" s="74">
        <f t="shared" si="30"/>
        <v>0</v>
      </c>
      <c r="AJ67" s="74">
        <f t="shared" si="30"/>
        <v>0</v>
      </c>
      <c r="AK67" s="74">
        <f t="shared" si="30"/>
        <v>0</v>
      </c>
      <c r="AL67" s="74">
        <f t="shared" si="30"/>
        <v>0</v>
      </c>
      <c r="AM67" s="74">
        <f t="shared" si="30"/>
        <v>0</v>
      </c>
      <c r="AN67" s="74">
        <f t="shared" si="30"/>
        <v>0</v>
      </c>
      <c r="AO67" s="74">
        <f t="shared" si="30"/>
        <v>0</v>
      </c>
      <c r="AP67" s="74">
        <f t="shared" si="30"/>
        <v>0</v>
      </c>
      <c r="AQ67" s="74">
        <f t="shared" si="30"/>
        <v>0</v>
      </c>
      <c r="AR67" s="74">
        <f t="shared" si="30"/>
        <v>0</v>
      </c>
      <c r="AS67" s="74">
        <f t="shared" si="30"/>
        <v>0</v>
      </c>
      <c r="AT67" s="74">
        <f t="shared" si="30"/>
        <v>0</v>
      </c>
      <c r="AU67" s="74">
        <f t="shared" si="30"/>
        <v>0</v>
      </c>
      <c r="AV67" s="74">
        <f t="shared" si="30"/>
        <v>0</v>
      </c>
      <c r="AW67" s="74">
        <f t="shared" si="30"/>
        <v>0</v>
      </c>
      <c r="AX67" s="74">
        <f t="shared" si="30"/>
        <v>0</v>
      </c>
      <c r="AY67" s="74">
        <f t="shared" si="30"/>
        <v>0</v>
      </c>
      <c r="AZ67" s="74">
        <f t="shared" si="30"/>
        <v>0</v>
      </c>
      <c r="BA67" s="74">
        <f t="shared" si="30"/>
        <v>0</v>
      </c>
      <c r="BB67" s="69"/>
    </row>
    <row r="68" spans="1:54" ht="14.25" customHeight="1">
      <c r="A68" s="39"/>
      <c r="B68" s="38"/>
      <c r="C68" s="40"/>
      <c r="D68" s="38"/>
      <c r="E68" s="82"/>
      <c r="F68" s="64"/>
      <c r="G68" s="75"/>
      <c r="H68" s="83"/>
      <c r="I68" s="132" t="s">
        <v>53</v>
      </c>
      <c r="J68" s="67" t="e">
        <f>J66/(COUNTIFS($E$5:$E$27,$E66,J$5:J$27,"Alive")+COUNTIFS($E$5:$E$27,$E66,J$5:J$27,"Sacrificed")+COUNTIFS($E$5:$E$27,$E66,J$5:J$27,"Died"))</f>
        <v>#DIV/0!</v>
      </c>
      <c r="K68" s="67" t="e">
        <f t="shared" ref="K68:BA68" si="31">K66/(COUNTIFS($E$5:$E$27,$E66,K$5:K$27,"Alive")+COUNTIFS($E$5:$E$27,$E66,K$5:K$27,"Sacrificed")+COUNTIFS($E$5:$E$27,$E66,K$5:K$27,"Died"))*J68</f>
        <v>#DIV/0!</v>
      </c>
      <c r="L68" s="67" t="e">
        <f t="shared" si="31"/>
        <v>#DIV/0!</v>
      </c>
      <c r="M68" s="67" t="e">
        <f t="shared" si="31"/>
        <v>#DIV/0!</v>
      </c>
      <c r="N68" s="67" t="e">
        <f t="shared" si="31"/>
        <v>#DIV/0!</v>
      </c>
      <c r="O68" s="67" t="e">
        <f t="shared" si="31"/>
        <v>#DIV/0!</v>
      </c>
      <c r="P68" s="67" t="e">
        <f t="shared" si="31"/>
        <v>#DIV/0!</v>
      </c>
      <c r="Q68" s="67" t="e">
        <f t="shared" si="31"/>
        <v>#DIV/0!</v>
      </c>
      <c r="R68" s="67" t="e">
        <f t="shared" si="31"/>
        <v>#DIV/0!</v>
      </c>
      <c r="S68" s="67" t="e">
        <f t="shared" si="31"/>
        <v>#DIV/0!</v>
      </c>
      <c r="T68" s="67" t="e">
        <f t="shared" si="31"/>
        <v>#DIV/0!</v>
      </c>
      <c r="U68" s="67" t="e">
        <f t="shared" si="31"/>
        <v>#DIV/0!</v>
      </c>
      <c r="V68" s="67" t="e">
        <f t="shared" si="31"/>
        <v>#DIV/0!</v>
      </c>
      <c r="W68" s="67" t="e">
        <f t="shared" si="31"/>
        <v>#DIV/0!</v>
      </c>
      <c r="X68" s="67" t="e">
        <f t="shared" si="31"/>
        <v>#DIV/0!</v>
      </c>
      <c r="Y68" s="67" t="e">
        <f t="shared" si="31"/>
        <v>#DIV/0!</v>
      </c>
      <c r="Z68" s="67" t="e">
        <f t="shared" si="31"/>
        <v>#DIV/0!</v>
      </c>
      <c r="AA68" s="67" t="e">
        <f t="shared" si="31"/>
        <v>#DIV/0!</v>
      </c>
      <c r="AB68" s="67" t="e">
        <f t="shared" si="31"/>
        <v>#DIV/0!</v>
      </c>
      <c r="AC68" s="67" t="e">
        <f t="shared" si="31"/>
        <v>#DIV/0!</v>
      </c>
      <c r="AD68" s="67" t="e">
        <f t="shared" si="31"/>
        <v>#DIV/0!</v>
      </c>
      <c r="AE68" s="67" t="e">
        <f t="shared" si="31"/>
        <v>#DIV/0!</v>
      </c>
      <c r="AF68" s="67" t="e">
        <f t="shared" si="31"/>
        <v>#DIV/0!</v>
      </c>
      <c r="AG68" s="67" t="e">
        <f t="shared" si="31"/>
        <v>#DIV/0!</v>
      </c>
      <c r="AH68" s="67" t="e">
        <f t="shared" si="31"/>
        <v>#DIV/0!</v>
      </c>
      <c r="AI68" s="67" t="e">
        <f t="shared" si="31"/>
        <v>#DIV/0!</v>
      </c>
      <c r="AJ68" s="67" t="e">
        <f t="shared" si="31"/>
        <v>#DIV/0!</v>
      </c>
      <c r="AK68" s="67" t="e">
        <f t="shared" si="31"/>
        <v>#DIV/0!</v>
      </c>
      <c r="AL68" s="67" t="e">
        <f t="shared" si="31"/>
        <v>#DIV/0!</v>
      </c>
      <c r="AM68" s="67" t="e">
        <f t="shared" si="31"/>
        <v>#DIV/0!</v>
      </c>
      <c r="AN68" s="67" t="e">
        <f t="shared" si="31"/>
        <v>#DIV/0!</v>
      </c>
      <c r="AO68" s="67" t="e">
        <f t="shared" si="31"/>
        <v>#DIV/0!</v>
      </c>
      <c r="AP68" s="67" t="e">
        <f t="shared" si="31"/>
        <v>#DIV/0!</v>
      </c>
      <c r="AQ68" s="67" t="e">
        <f t="shared" si="31"/>
        <v>#DIV/0!</v>
      </c>
      <c r="AR68" s="67" t="e">
        <f t="shared" si="31"/>
        <v>#DIV/0!</v>
      </c>
      <c r="AS68" s="67" t="e">
        <f t="shared" si="31"/>
        <v>#DIV/0!</v>
      </c>
      <c r="AT68" s="67" t="e">
        <f t="shared" si="31"/>
        <v>#DIV/0!</v>
      </c>
      <c r="AU68" s="67" t="e">
        <f t="shared" si="31"/>
        <v>#DIV/0!</v>
      </c>
      <c r="AV68" s="67" t="e">
        <f t="shared" si="31"/>
        <v>#DIV/0!</v>
      </c>
      <c r="AW68" s="67" t="e">
        <f t="shared" si="31"/>
        <v>#DIV/0!</v>
      </c>
      <c r="AX68" s="67" t="e">
        <f t="shared" si="31"/>
        <v>#DIV/0!</v>
      </c>
      <c r="AY68" s="67" t="e">
        <f t="shared" si="31"/>
        <v>#DIV/0!</v>
      </c>
      <c r="AZ68" s="67" t="e">
        <f t="shared" si="31"/>
        <v>#DIV/0!</v>
      </c>
      <c r="BA68" s="67" t="e">
        <f t="shared" si="31"/>
        <v>#DIV/0!</v>
      </c>
      <c r="BB68" s="3"/>
    </row>
    <row r="70" spans="1:54" ht="14.25" customHeight="1">
      <c r="A70" s="103"/>
      <c r="E70" s="108" t="str">
        <f>'NAB_PTX Groups'!C15</f>
        <v>Group 10</v>
      </c>
      <c r="H70" s="108" t="str">
        <f>E70</f>
        <v>Group 10</v>
      </c>
      <c r="I70" s="132" t="s">
        <v>52</v>
      </c>
      <c r="J70" s="71">
        <f t="shared" ref="J70:BA70" si="32">COUNTIFS($E$5:$E$27,$E70,J$5:J$27,"Alive")</f>
        <v>0</v>
      </c>
      <c r="K70" s="71">
        <f t="shared" si="32"/>
        <v>0</v>
      </c>
      <c r="L70" s="71">
        <f t="shared" si="32"/>
        <v>0</v>
      </c>
      <c r="M70" s="71">
        <f t="shared" si="32"/>
        <v>0</v>
      </c>
      <c r="N70" s="71">
        <f t="shared" si="32"/>
        <v>0</v>
      </c>
      <c r="O70" s="71">
        <f t="shared" si="32"/>
        <v>0</v>
      </c>
      <c r="P70" s="71">
        <f t="shared" si="32"/>
        <v>0</v>
      </c>
      <c r="Q70" s="71">
        <f t="shared" si="32"/>
        <v>0</v>
      </c>
      <c r="R70" s="71">
        <f t="shared" si="32"/>
        <v>0</v>
      </c>
      <c r="S70" s="71">
        <f t="shared" si="32"/>
        <v>0</v>
      </c>
      <c r="T70" s="71">
        <f t="shared" si="32"/>
        <v>0</v>
      </c>
      <c r="U70" s="71">
        <f t="shared" si="32"/>
        <v>0</v>
      </c>
      <c r="V70" s="71">
        <f t="shared" si="32"/>
        <v>0</v>
      </c>
      <c r="W70" s="71">
        <f t="shared" si="32"/>
        <v>0</v>
      </c>
      <c r="X70" s="71">
        <f t="shared" si="32"/>
        <v>0</v>
      </c>
      <c r="Y70" s="71">
        <f t="shared" si="32"/>
        <v>0</v>
      </c>
      <c r="Z70" s="71">
        <f t="shared" si="32"/>
        <v>0</v>
      </c>
      <c r="AA70" s="71">
        <f t="shared" si="32"/>
        <v>0</v>
      </c>
      <c r="AB70" s="71">
        <f t="shared" si="32"/>
        <v>0</v>
      </c>
      <c r="AC70" s="71">
        <f t="shared" si="32"/>
        <v>0</v>
      </c>
      <c r="AD70" s="71">
        <f t="shared" si="32"/>
        <v>0</v>
      </c>
      <c r="AE70" s="71">
        <f t="shared" si="32"/>
        <v>0</v>
      </c>
      <c r="AF70" s="71">
        <f t="shared" si="32"/>
        <v>0</v>
      </c>
      <c r="AG70" s="71">
        <f t="shared" si="32"/>
        <v>0</v>
      </c>
      <c r="AH70" s="71">
        <f t="shared" si="32"/>
        <v>0</v>
      </c>
      <c r="AI70" s="71">
        <f t="shared" si="32"/>
        <v>0</v>
      </c>
      <c r="AJ70" s="71">
        <f t="shared" si="32"/>
        <v>0</v>
      </c>
      <c r="AK70" s="71">
        <f t="shared" si="32"/>
        <v>0</v>
      </c>
      <c r="AL70" s="71">
        <f t="shared" si="32"/>
        <v>0</v>
      </c>
      <c r="AM70" s="71">
        <f t="shared" si="32"/>
        <v>0</v>
      </c>
      <c r="AN70" s="71">
        <f t="shared" si="32"/>
        <v>0</v>
      </c>
      <c r="AO70" s="71">
        <f t="shared" si="32"/>
        <v>0</v>
      </c>
      <c r="AP70" s="71">
        <f t="shared" si="32"/>
        <v>0</v>
      </c>
      <c r="AQ70" s="71">
        <f t="shared" si="32"/>
        <v>0</v>
      </c>
      <c r="AR70" s="71">
        <f t="shared" si="32"/>
        <v>0</v>
      </c>
      <c r="AS70" s="71">
        <f t="shared" si="32"/>
        <v>0</v>
      </c>
      <c r="AT70" s="71">
        <f t="shared" si="32"/>
        <v>0</v>
      </c>
      <c r="AU70" s="71">
        <f t="shared" si="32"/>
        <v>0</v>
      </c>
      <c r="AV70" s="71">
        <f t="shared" si="32"/>
        <v>0</v>
      </c>
      <c r="AW70" s="71">
        <f t="shared" si="32"/>
        <v>0</v>
      </c>
      <c r="AX70" s="71">
        <f t="shared" si="32"/>
        <v>0</v>
      </c>
      <c r="AY70" s="71">
        <f t="shared" si="32"/>
        <v>0</v>
      </c>
      <c r="AZ70" s="71">
        <f t="shared" si="32"/>
        <v>0</v>
      </c>
      <c r="BA70" s="71">
        <f t="shared" si="32"/>
        <v>0</v>
      </c>
      <c r="BB70" s="69"/>
    </row>
    <row r="71" spans="1:54" ht="14.25" customHeight="1">
      <c r="A71" s="103"/>
      <c r="E71" s="83"/>
      <c r="H71" s="83"/>
      <c r="I71" s="132" t="s">
        <v>51</v>
      </c>
      <c r="J71" s="74">
        <f t="shared" ref="J71:BA71" si="33">COUNTIFS($E$5:$E$27,$E70,J$5:J$27,"Censored")</f>
        <v>0</v>
      </c>
      <c r="K71" s="74">
        <f t="shared" si="33"/>
        <v>0</v>
      </c>
      <c r="L71" s="74">
        <f t="shared" si="33"/>
        <v>0</v>
      </c>
      <c r="M71" s="74">
        <f t="shared" si="33"/>
        <v>0</v>
      </c>
      <c r="N71" s="74">
        <f t="shared" si="33"/>
        <v>0</v>
      </c>
      <c r="O71" s="74">
        <f t="shared" si="33"/>
        <v>0</v>
      </c>
      <c r="P71" s="74">
        <f t="shared" si="33"/>
        <v>0</v>
      </c>
      <c r="Q71" s="74">
        <f t="shared" si="33"/>
        <v>0</v>
      </c>
      <c r="R71" s="74">
        <f t="shared" si="33"/>
        <v>0</v>
      </c>
      <c r="S71" s="74">
        <f t="shared" si="33"/>
        <v>0</v>
      </c>
      <c r="T71" s="74">
        <f t="shared" si="33"/>
        <v>0</v>
      </c>
      <c r="U71" s="74">
        <f t="shared" si="33"/>
        <v>0</v>
      </c>
      <c r="V71" s="74">
        <f t="shared" si="33"/>
        <v>0</v>
      </c>
      <c r="W71" s="74">
        <f t="shared" si="33"/>
        <v>0</v>
      </c>
      <c r="X71" s="74">
        <f t="shared" si="33"/>
        <v>0</v>
      </c>
      <c r="Y71" s="74">
        <f t="shared" si="33"/>
        <v>0</v>
      </c>
      <c r="Z71" s="74">
        <f t="shared" si="33"/>
        <v>0</v>
      </c>
      <c r="AA71" s="74">
        <f t="shared" si="33"/>
        <v>0</v>
      </c>
      <c r="AB71" s="74">
        <f t="shared" si="33"/>
        <v>0</v>
      </c>
      <c r="AC71" s="74">
        <f t="shared" si="33"/>
        <v>0</v>
      </c>
      <c r="AD71" s="74">
        <f t="shared" si="33"/>
        <v>0</v>
      </c>
      <c r="AE71" s="74">
        <f t="shared" si="33"/>
        <v>0</v>
      </c>
      <c r="AF71" s="74">
        <f t="shared" si="33"/>
        <v>0</v>
      </c>
      <c r="AG71" s="74">
        <f t="shared" si="33"/>
        <v>0</v>
      </c>
      <c r="AH71" s="74">
        <f t="shared" si="33"/>
        <v>0</v>
      </c>
      <c r="AI71" s="74">
        <f t="shared" si="33"/>
        <v>0</v>
      </c>
      <c r="AJ71" s="74">
        <f t="shared" si="33"/>
        <v>0</v>
      </c>
      <c r="AK71" s="74">
        <f t="shared" si="33"/>
        <v>0</v>
      </c>
      <c r="AL71" s="74">
        <f t="shared" si="33"/>
        <v>0</v>
      </c>
      <c r="AM71" s="74">
        <f t="shared" si="33"/>
        <v>0</v>
      </c>
      <c r="AN71" s="74">
        <f t="shared" si="33"/>
        <v>0</v>
      </c>
      <c r="AO71" s="74">
        <f t="shared" si="33"/>
        <v>0</v>
      </c>
      <c r="AP71" s="74">
        <f t="shared" si="33"/>
        <v>0</v>
      </c>
      <c r="AQ71" s="74">
        <f t="shared" si="33"/>
        <v>0</v>
      </c>
      <c r="AR71" s="74">
        <f t="shared" si="33"/>
        <v>0</v>
      </c>
      <c r="AS71" s="74">
        <f t="shared" si="33"/>
        <v>0</v>
      </c>
      <c r="AT71" s="74">
        <f t="shared" si="33"/>
        <v>0</v>
      </c>
      <c r="AU71" s="74">
        <f t="shared" si="33"/>
        <v>0</v>
      </c>
      <c r="AV71" s="74">
        <f t="shared" si="33"/>
        <v>0</v>
      </c>
      <c r="AW71" s="74">
        <f t="shared" si="33"/>
        <v>0</v>
      </c>
      <c r="AX71" s="74">
        <f t="shared" si="33"/>
        <v>0</v>
      </c>
      <c r="AY71" s="74">
        <f t="shared" si="33"/>
        <v>0</v>
      </c>
      <c r="AZ71" s="74">
        <f t="shared" si="33"/>
        <v>0</v>
      </c>
      <c r="BA71" s="74">
        <f t="shared" si="33"/>
        <v>0</v>
      </c>
      <c r="BB71" s="69"/>
    </row>
    <row r="72" spans="1:54" ht="14.25" customHeight="1">
      <c r="A72" s="39"/>
      <c r="B72" s="38"/>
      <c r="C72" s="40"/>
      <c r="D72" s="38"/>
      <c r="E72" s="82"/>
      <c r="F72" s="64"/>
      <c r="G72" s="75"/>
      <c r="H72" s="83"/>
      <c r="I72" s="132" t="s">
        <v>53</v>
      </c>
      <c r="J72" s="67" t="e">
        <f>J70/(COUNTIFS($E$5:$E$27,$E70,J$5:J$27,"Alive")+COUNTIFS($E$5:$E$27,$E70,J$5:J$27,"Sacrificed")+COUNTIFS($E$5:$E$27,$E70,J$5:J$27,"Died"))</f>
        <v>#DIV/0!</v>
      </c>
      <c r="K72" s="67" t="e">
        <f t="shared" ref="K72:BA72" si="34">K70/(COUNTIFS($E$5:$E$27,$E70,K$5:K$27,"Alive")+COUNTIFS($E$5:$E$27,$E70,K$5:K$27,"Sacrificed")+COUNTIFS($E$5:$E$27,$E70,K$5:K$27,"Died"))*J72</f>
        <v>#DIV/0!</v>
      </c>
      <c r="L72" s="67" t="e">
        <f t="shared" si="34"/>
        <v>#DIV/0!</v>
      </c>
      <c r="M72" s="67" t="e">
        <f t="shared" si="34"/>
        <v>#DIV/0!</v>
      </c>
      <c r="N72" s="67" t="e">
        <f t="shared" si="34"/>
        <v>#DIV/0!</v>
      </c>
      <c r="O72" s="67" t="e">
        <f t="shared" si="34"/>
        <v>#DIV/0!</v>
      </c>
      <c r="P72" s="67" t="e">
        <f t="shared" si="34"/>
        <v>#DIV/0!</v>
      </c>
      <c r="Q72" s="67" t="e">
        <f t="shared" si="34"/>
        <v>#DIV/0!</v>
      </c>
      <c r="R72" s="67" t="e">
        <f t="shared" si="34"/>
        <v>#DIV/0!</v>
      </c>
      <c r="S72" s="67" t="e">
        <f t="shared" si="34"/>
        <v>#DIV/0!</v>
      </c>
      <c r="T72" s="67" t="e">
        <f t="shared" si="34"/>
        <v>#DIV/0!</v>
      </c>
      <c r="U72" s="67" t="e">
        <f t="shared" si="34"/>
        <v>#DIV/0!</v>
      </c>
      <c r="V72" s="67" t="e">
        <f t="shared" si="34"/>
        <v>#DIV/0!</v>
      </c>
      <c r="W72" s="67" t="e">
        <f t="shared" si="34"/>
        <v>#DIV/0!</v>
      </c>
      <c r="X72" s="67" t="e">
        <f t="shared" si="34"/>
        <v>#DIV/0!</v>
      </c>
      <c r="Y72" s="67" t="e">
        <f t="shared" si="34"/>
        <v>#DIV/0!</v>
      </c>
      <c r="Z72" s="67" t="e">
        <f t="shared" si="34"/>
        <v>#DIV/0!</v>
      </c>
      <c r="AA72" s="67" t="e">
        <f t="shared" si="34"/>
        <v>#DIV/0!</v>
      </c>
      <c r="AB72" s="67" t="e">
        <f t="shared" si="34"/>
        <v>#DIV/0!</v>
      </c>
      <c r="AC72" s="67" t="e">
        <f t="shared" si="34"/>
        <v>#DIV/0!</v>
      </c>
      <c r="AD72" s="67" t="e">
        <f t="shared" si="34"/>
        <v>#DIV/0!</v>
      </c>
      <c r="AE72" s="67" t="e">
        <f t="shared" si="34"/>
        <v>#DIV/0!</v>
      </c>
      <c r="AF72" s="67" t="e">
        <f t="shared" si="34"/>
        <v>#DIV/0!</v>
      </c>
      <c r="AG72" s="67" t="e">
        <f t="shared" si="34"/>
        <v>#DIV/0!</v>
      </c>
      <c r="AH72" s="67" t="e">
        <f t="shared" si="34"/>
        <v>#DIV/0!</v>
      </c>
      <c r="AI72" s="67" t="e">
        <f t="shared" si="34"/>
        <v>#DIV/0!</v>
      </c>
      <c r="AJ72" s="67" t="e">
        <f t="shared" si="34"/>
        <v>#DIV/0!</v>
      </c>
      <c r="AK72" s="67" t="e">
        <f t="shared" si="34"/>
        <v>#DIV/0!</v>
      </c>
      <c r="AL72" s="67" t="e">
        <f t="shared" si="34"/>
        <v>#DIV/0!</v>
      </c>
      <c r="AM72" s="67" t="e">
        <f t="shared" si="34"/>
        <v>#DIV/0!</v>
      </c>
      <c r="AN72" s="67" t="e">
        <f t="shared" si="34"/>
        <v>#DIV/0!</v>
      </c>
      <c r="AO72" s="67" t="e">
        <f t="shared" si="34"/>
        <v>#DIV/0!</v>
      </c>
      <c r="AP72" s="67" t="e">
        <f t="shared" si="34"/>
        <v>#DIV/0!</v>
      </c>
      <c r="AQ72" s="67" t="e">
        <f t="shared" si="34"/>
        <v>#DIV/0!</v>
      </c>
      <c r="AR72" s="67" t="e">
        <f t="shared" si="34"/>
        <v>#DIV/0!</v>
      </c>
      <c r="AS72" s="67" t="e">
        <f t="shared" si="34"/>
        <v>#DIV/0!</v>
      </c>
      <c r="AT72" s="67" t="e">
        <f t="shared" si="34"/>
        <v>#DIV/0!</v>
      </c>
      <c r="AU72" s="67" t="e">
        <f t="shared" si="34"/>
        <v>#DIV/0!</v>
      </c>
      <c r="AV72" s="67" t="e">
        <f t="shared" si="34"/>
        <v>#DIV/0!</v>
      </c>
      <c r="AW72" s="67" t="e">
        <f t="shared" si="34"/>
        <v>#DIV/0!</v>
      </c>
      <c r="AX72" s="67" t="e">
        <f t="shared" si="34"/>
        <v>#DIV/0!</v>
      </c>
      <c r="AY72" s="67" t="e">
        <f t="shared" si="34"/>
        <v>#DIV/0!</v>
      </c>
      <c r="AZ72" s="67" t="e">
        <f t="shared" si="34"/>
        <v>#DIV/0!</v>
      </c>
      <c r="BA72" s="67" t="e">
        <f t="shared" si="34"/>
        <v>#DIV/0!</v>
      </c>
      <c r="BB72" s="3"/>
    </row>
    <row r="74" spans="1:54" ht="14.25" customHeight="1">
      <c r="A74" s="103"/>
      <c r="E74" s="108" t="str">
        <f>'NAB_PTX Groups'!C16</f>
        <v>Group 11</v>
      </c>
      <c r="H74" s="108" t="str">
        <f>E74</f>
        <v>Group 11</v>
      </c>
      <c r="I74" s="132" t="s">
        <v>52</v>
      </c>
      <c r="J74" s="71">
        <f t="shared" ref="J74:BA74" si="35">COUNTIFS($E$5:$E$27,$E74,J$5:J$27,"Alive")</f>
        <v>0</v>
      </c>
      <c r="K74" s="71">
        <f t="shared" si="35"/>
        <v>0</v>
      </c>
      <c r="L74" s="71">
        <f t="shared" si="35"/>
        <v>0</v>
      </c>
      <c r="M74" s="71">
        <f t="shared" si="35"/>
        <v>0</v>
      </c>
      <c r="N74" s="71">
        <f t="shared" si="35"/>
        <v>0</v>
      </c>
      <c r="O74" s="71">
        <f t="shared" si="35"/>
        <v>0</v>
      </c>
      <c r="P74" s="71">
        <f t="shared" si="35"/>
        <v>0</v>
      </c>
      <c r="Q74" s="71">
        <f t="shared" si="35"/>
        <v>0</v>
      </c>
      <c r="R74" s="71">
        <f t="shared" si="35"/>
        <v>0</v>
      </c>
      <c r="S74" s="71">
        <f t="shared" si="35"/>
        <v>0</v>
      </c>
      <c r="T74" s="71">
        <f t="shared" si="35"/>
        <v>0</v>
      </c>
      <c r="U74" s="71">
        <f t="shared" si="35"/>
        <v>0</v>
      </c>
      <c r="V74" s="71">
        <f t="shared" si="35"/>
        <v>0</v>
      </c>
      <c r="W74" s="71">
        <f t="shared" si="35"/>
        <v>0</v>
      </c>
      <c r="X74" s="71">
        <f t="shared" si="35"/>
        <v>0</v>
      </c>
      <c r="Y74" s="71">
        <f t="shared" si="35"/>
        <v>0</v>
      </c>
      <c r="Z74" s="71">
        <f t="shared" si="35"/>
        <v>0</v>
      </c>
      <c r="AA74" s="71">
        <f t="shared" si="35"/>
        <v>0</v>
      </c>
      <c r="AB74" s="71">
        <f t="shared" si="35"/>
        <v>0</v>
      </c>
      <c r="AC74" s="71">
        <f t="shared" si="35"/>
        <v>0</v>
      </c>
      <c r="AD74" s="71">
        <f t="shared" si="35"/>
        <v>0</v>
      </c>
      <c r="AE74" s="71">
        <f t="shared" si="35"/>
        <v>0</v>
      </c>
      <c r="AF74" s="71">
        <f t="shared" si="35"/>
        <v>0</v>
      </c>
      <c r="AG74" s="71">
        <f t="shared" si="35"/>
        <v>0</v>
      </c>
      <c r="AH74" s="71">
        <f t="shared" si="35"/>
        <v>0</v>
      </c>
      <c r="AI74" s="71">
        <f t="shared" si="35"/>
        <v>0</v>
      </c>
      <c r="AJ74" s="71">
        <f t="shared" si="35"/>
        <v>0</v>
      </c>
      <c r="AK74" s="71">
        <f t="shared" si="35"/>
        <v>0</v>
      </c>
      <c r="AL74" s="71">
        <f t="shared" si="35"/>
        <v>0</v>
      </c>
      <c r="AM74" s="71">
        <f t="shared" si="35"/>
        <v>0</v>
      </c>
      <c r="AN74" s="71">
        <f t="shared" si="35"/>
        <v>0</v>
      </c>
      <c r="AO74" s="71">
        <f t="shared" si="35"/>
        <v>0</v>
      </c>
      <c r="AP74" s="71">
        <f t="shared" si="35"/>
        <v>0</v>
      </c>
      <c r="AQ74" s="71">
        <f t="shared" si="35"/>
        <v>0</v>
      </c>
      <c r="AR74" s="71">
        <f t="shared" si="35"/>
        <v>0</v>
      </c>
      <c r="AS74" s="71">
        <f t="shared" si="35"/>
        <v>0</v>
      </c>
      <c r="AT74" s="71">
        <f t="shared" si="35"/>
        <v>0</v>
      </c>
      <c r="AU74" s="71">
        <f t="shared" si="35"/>
        <v>0</v>
      </c>
      <c r="AV74" s="71">
        <f t="shared" si="35"/>
        <v>0</v>
      </c>
      <c r="AW74" s="71">
        <f t="shared" si="35"/>
        <v>0</v>
      </c>
      <c r="AX74" s="71">
        <f t="shared" si="35"/>
        <v>0</v>
      </c>
      <c r="AY74" s="71">
        <f t="shared" si="35"/>
        <v>0</v>
      </c>
      <c r="AZ74" s="71">
        <f t="shared" si="35"/>
        <v>0</v>
      </c>
      <c r="BA74" s="71">
        <f t="shared" si="35"/>
        <v>0</v>
      </c>
      <c r="BB74" s="69"/>
    </row>
    <row r="75" spans="1:54" ht="14.25" customHeight="1">
      <c r="A75" s="103"/>
      <c r="E75" s="83"/>
      <c r="H75" s="83"/>
      <c r="I75" s="132" t="s">
        <v>51</v>
      </c>
      <c r="J75" s="74">
        <f t="shared" ref="J75:BA75" si="36">COUNTIFS($E$5:$E$27,$E74,J$5:J$27,"Censored")</f>
        <v>0</v>
      </c>
      <c r="K75" s="74">
        <f t="shared" si="36"/>
        <v>0</v>
      </c>
      <c r="L75" s="74">
        <f t="shared" si="36"/>
        <v>0</v>
      </c>
      <c r="M75" s="74">
        <f t="shared" si="36"/>
        <v>0</v>
      </c>
      <c r="N75" s="74">
        <f t="shared" si="36"/>
        <v>0</v>
      </c>
      <c r="O75" s="74">
        <f t="shared" si="36"/>
        <v>0</v>
      </c>
      <c r="P75" s="74">
        <f t="shared" si="36"/>
        <v>0</v>
      </c>
      <c r="Q75" s="74">
        <f t="shared" si="36"/>
        <v>0</v>
      </c>
      <c r="R75" s="74">
        <f t="shared" si="36"/>
        <v>0</v>
      </c>
      <c r="S75" s="74">
        <f t="shared" si="36"/>
        <v>0</v>
      </c>
      <c r="T75" s="74">
        <f t="shared" si="36"/>
        <v>0</v>
      </c>
      <c r="U75" s="74">
        <f t="shared" si="36"/>
        <v>0</v>
      </c>
      <c r="V75" s="74">
        <f t="shared" si="36"/>
        <v>0</v>
      </c>
      <c r="W75" s="74">
        <f t="shared" si="36"/>
        <v>0</v>
      </c>
      <c r="X75" s="74">
        <f t="shared" si="36"/>
        <v>0</v>
      </c>
      <c r="Y75" s="74">
        <f t="shared" si="36"/>
        <v>0</v>
      </c>
      <c r="Z75" s="74">
        <f t="shared" si="36"/>
        <v>0</v>
      </c>
      <c r="AA75" s="74">
        <f t="shared" si="36"/>
        <v>0</v>
      </c>
      <c r="AB75" s="74">
        <f t="shared" si="36"/>
        <v>0</v>
      </c>
      <c r="AC75" s="74">
        <f t="shared" si="36"/>
        <v>0</v>
      </c>
      <c r="AD75" s="74">
        <f t="shared" si="36"/>
        <v>0</v>
      </c>
      <c r="AE75" s="74">
        <f t="shared" si="36"/>
        <v>0</v>
      </c>
      <c r="AF75" s="74">
        <f t="shared" si="36"/>
        <v>0</v>
      </c>
      <c r="AG75" s="74">
        <f t="shared" si="36"/>
        <v>0</v>
      </c>
      <c r="AH75" s="74">
        <f t="shared" si="36"/>
        <v>0</v>
      </c>
      <c r="AI75" s="74">
        <f t="shared" si="36"/>
        <v>0</v>
      </c>
      <c r="AJ75" s="74">
        <f t="shared" si="36"/>
        <v>0</v>
      </c>
      <c r="AK75" s="74">
        <f t="shared" si="36"/>
        <v>0</v>
      </c>
      <c r="AL75" s="74">
        <f t="shared" si="36"/>
        <v>0</v>
      </c>
      <c r="AM75" s="74">
        <f t="shared" si="36"/>
        <v>0</v>
      </c>
      <c r="AN75" s="74">
        <f t="shared" si="36"/>
        <v>0</v>
      </c>
      <c r="AO75" s="74">
        <f t="shared" si="36"/>
        <v>0</v>
      </c>
      <c r="AP75" s="74">
        <f t="shared" si="36"/>
        <v>0</v>
      </c>
      <c r="AQ75" s="74">
        <f t="shared" si="36"/>
        <v>0</v>
      </c>
      <c r="AR75" s="74">
        <f t="shared" si="36"/>
        <v>0</v>
      </c>
      <c r="AS75" s="74">
        <f t="shared" si="36"/>
        <v>0</v>
      </c>
      <c r="AT75" s="74">
        <f t="shared" si="36"/>
        <v>0</v>
      </c>
      <c r="AU75" s="74">
        <f t="shared" si="36"/>
        <v>0</v>
      </c>
      <c r="AV75" s="74">
        <f t="shared" si="36"/>
        <v>0</v>
      </c>
      <c r="AW75" s="74">
        <f t="shared" si="36"/>
        <v>0</v>
      </c>
      <c r="AX75" s="74">
        <f t="shared" si="36"/>
        <v>0</v>
      </c>
      <c r="AY75" s="74">
        <f t="shared" si="36"/>
        <v>0</v>
      </c>
      <c r="AZ75" s="74">
        <f t="shared" si="36"/>
        <v>0</v>
      </c>
      <c r="BA75" s="74">
        <f t="shared" si="36"/>
        <v>0</v>
      </c>
      <c r="BB75" s="69"/>
    </row>
    <row r="76" spans="1:54" ht="14.25" customHeight="1">
      <c r="A76" s="39"/>
      <c r="B76" s="38"/>
      <c r="C76" s="40"/>
      <c r="D76" s="38"/>
      <c r="E76" s="82"/>
      <c r="F76" s="64"/>
      <c r="G76" s="75"/>
      <c r="H76" s="83"/>
      <c r="I76" s="132" t="s">
        <v>53</v>
      </c>
      <c r="J76" s="67" t="e">
        <f>J74/(COUNTIFS($E$5:$E$27,$E74,J$5:J$27,"Alive")+COUNTIFS($E$5:$E$27,$E74,J$5:J$27,"Sacrificed")+COUNTIFS($E$5:$E$27,$E74,J$5:J$27,"Died"))</f>
        <v>#DIV/0!</v>
      </c>
      <c r="K76" s="67" t="e">
        <f t="shared" ref="K76:BA76" si="37">K74/(COUNTIFS($E$5:$E$27,$E74,K$5:K$27,"Alive")+COUNTIFS($E$5:$E$27,$E74,K$5:K$27,"Sacrificed")+COUNTIFS($E$5:$E$27,$E74,K$5:K$27,"Died"))*J76</f>
        <v>#DIV/0!</v>
      </c>
      <c r="L76" s="67" t="e">
        <f t="shared" si="37"/>
        <v>#DIV/0!</v>
      </c>
      <c r="M76" s="67" t="e">
        <f t="shared" si="37"/>
        <v>#DIV/0!</v>
      </c>
      <c r="N76" s="67" t="e">
        <f t="shared" si="37"/>
        <v>#DIV/0!</v>
      </c>
      <c r="O76" s="67" t="e">
        <f t="shared" si="37"/>
        <v>#DIV/0!</v>
      </c>
      <c r="P76" s="67" t="e">
        <f t="shared" si="37"/>
        <v>#DIV/0!</v>
      </c>
      <c r="Q76" s="67" t="e">
        <f t="shared" si="37"/>
        <v>#DIV/0!</v>
      </c>
      <c r="R76" s="67" t="e">
        <f t="shared" si="37"/>
        <v>#DIV/0!</v>
      </c>
      <c r="S76" s="67" t="e">
        <f t="shared" si="37"/>
        <v>#DIV/0!</v>
      </c>
      <c r="T76" s="67" t="e">
        <f t="shared" si="37"/>
        <v>#DIV/0!</v>
      </c>
      <c r="U76" s="67" t="e">
        <f t="shared" si="37"/>
        <v>#DIV/0!</v>
      </c>
      <c r="V76" s="67" t="e">
        <f t="shared" si="37"/>
        <v>#DIV/0!</v>
      </c>
      <c r="W76" s="67" t="e">
        <f t="shared" si="37"/>
        <v>#DIV/0!</v>
      </c>
      <c r="X76" s="67" t="e">
        <f t="shared" si="37"/>
        <v>#DIV/0!</v>
      </c>
      <c r="Y76" s="67" t="e">
        <f t="shared" si="37"/>
        <v>#DIV/0!</v>
      </c>
      <c r="Z76" s="67" t="e">
        <f t="shared" si="37"/>
        <v>#DIV/0!</v>
      </c>
      <c r="AA76" s="67" t="e">
        <f t="shared" si="37"/>
        <v>#DIV/0!</v>
      </c>
      <c r="AB76" s="67" t="e">
        <f t="shared" si="37"/>
        <v>#DIV/0!</v>
      </c>
      <c r="AC76" s="67" t="e">
        <f t="shared" si="37"/>
        <v>#DIV/0!</v>
      </c>
      <c r="AD76" s="67" t="e">
        <f t="shared" si="37"/>
        <v>#DIV/0!</v>
      </c>
      <c r="AE76" s="67" t="e">
        <f t="shared" si="37"/>
        <v>#DIV/0!</v>
      </c>
      <c r="AF76" s="67" t="e">
        <f t="shared" si="37"/>
        <v>#DIV/0!</v>
      </c>
      <c r="AG76" s="67" t="e">
        <f t="shared" si="37"/>
        <v>#DIV/0!</v>
      </c>
      <c r="AH76" s="67" t="e">
        <f t="shared" si="37"/>
        <v>#DIV/0!</v>
      </c>
      <c r="AI76" s="67" t="e">
        <f t="shared" si="37"/>
        <v>#DIV/0!</v>
      </c>
      <c r="AJ76" s="67" t="e">
        <f t="shared" si="37"/>
        <v>#DIV/0!</v>
      </c>
      <c r="AK76" s="67" t="e">
        <f t="shared" si="37"/>
        <v>#DIV/0!</v>
      </c>
      <c r="AL76" s="67" t="e">
        <f t="shared" si="37"/>
        <v>#DIV/0!</v>
      </c>
      <c r="AM76" s="67" t="e">
        <f t="shared" si="37"/>
        <v>#DIV/0!</v>
      </c>
      <c r="AN76" s="67" t="e">
        <f t="shared" si="37"/>
        <v>#DIV/0!</v>
      </c>
      <c r="AO76" s="67" t="e">
        <f t="shared" si="37"/>
        <v>#DIV/0!</v>
      </c>
      <c r="AP76" s="67" t="e">
        <f t="shared" si="37"/>
        <v>#DIV/0!</v>
      </c>
      <c r="AQ76" s="67" t="e">
        <f t="shared" si="37"/>
        <v>#DIV/0!</v>
      </c>
      <c r="AR76" s="67" t="e">
        <f t="shared" si="37"/>
        <v>#DIV/0!</v>
      </c>
      <c r="AS76" s="67" t="e">
        <f t="shared" si="37"/>
        <v>#DIV/0!</v>
      </c>
      <c r="AT76" s="67" t="e">
        <f t="shared" si="37"/>
        <v>#DIV/0!</v>
      </c>
      <c r="AU76" s="67" t="e">
        <f t="shared" si="37"/>
        <v>#DIV/0!</v>
      </c>
      <c r="AV76" s="67" t="e">
        <f t="shared" si="37"/>
        <v>#DIV/0!</v>
      </c>
      <c r="AW76" s="67" t="e">
        <f t="shared" si="37"/>
        <v>#DIV/0!</v>
      </c>
      <c r="AX76" s="67" t="e">
        <f t="shared" si="37"/>
        <v>#DIV/0!</v>
      </c>
      <c r="AY76" s="67" t="e">
        <f t="shared" si="37"/>
        <v>#DIV/0!</v>
      </c>
      <c r="AZ76" s="67" t="e">
        <f t="shared" si="37"/>
        <v>#DIV/0!</v>
      </c>
      <c r="BA76" s="67" t="e">
        <f t="shared" si="37"/>
        <v>#DIV/0!</v>
      </c>
      <c r="BB76" s="3"/>
    </row>
    <row r="78" spans="1:54" ht="14.25" customHeight="1">
      <c r="A78" s="103"/>
      <c r="E78" s="108" t="str">
        <f>'NAB_PTX Groups'!C17</f>
        <v>Group 12</v>
      </c>
      <c r="H78" s="108" t="str">
        <f>E78</f>
        <v>Group 12</v>
      </c>
      <c r="I78" s="132" t="s">
        <v>52</v>
      </c>
      <c r="J78" s="71">
        <f t="shared" ref="J78:BA78" si="38">COUNTIFS($E$5:$E$27,$E78,J$5:J$27,"Alive")</f>
        <v>0</v>
      </c>
      <c r="K78" s="71">
        <f t="shared" si="38"/>
        <v>0</v>
      </c>
      <c r="L78" s="71">
        <f t="shared" si="38"/>
        <v>0</v>
      </c>
      <c r="M78" s="71">
        <f t="shared" si="38"/>
        <v>0</v>
      </c>
      <c r="N78" s="71">
        <f t="shared" si="38"/>
        <v>0</v>
      </c>
      <c r="O78" s="71">
        <f t="shared" si="38"/>
        <v>0</v>
      </c>
      <c r="P78" s="71">
        <f t="shared" si="38"/>
        <v>0</v>
      </c>
      <c r="Q78" s="71">
        <f t="shared" si="38"/>
        <v>0</v>
      </c>
      <c r="R78" s="71">
        <f t="shared" si="38"/>
        <v>0</v>
      </c>
      <c r="S78" s="71">
        <f t="shared" si="38"/>
        <v>0</v>
      </c>
      <c r="T78" s="71">
        <f t="shared" si="38"/>
        <v>0</v>
      </c>
      <c r="U78" s="71">
        <f t="shared" si="38"/>
        <v>0</v>
      </c>
      <c r="V78" s="71">
        <f t="shared" si="38"/>
        <v>0</v>
      </c>
      <c r="W78" s="71">
        <f t="shared" si="38"/>
        <v>0</v>
      </c>
      <c r="X78" s="71">
        <f t="shared" si="38"/>
        <v>0</v>
      </c>
      <c r="Y78" s="71">
        <f t="shared" si="38"/>
        <v>0</v>
      </c>
      <c r="Z78" s="71">
        <f t="shared" si="38"/>
        <v>0</v>
      </c>
      <c r="AA78" s="71">
        <f t="shared" si="38"/>
        <v>0</v>
      </c>
      <c r="AB78" s="71">
        <f t="shared" si="38"/>
        <v>0</v>
      </c>
      <c r="AC78" s="71">
        <f t="shared" si="38"/>
        <v>0</v>
      </c>
      <c r="AD78" s="71">
        <f t="shared" si="38"/>
        <v>0</v>
      </c>
      <c r="AE78" s="71">
        <f t="shared" si="38"/>
        <v>0</v>
      </c>
      <c r="AF78" s="71">
        <f t="shared" si="38"/>
        <v>0</v>
      </c>
      <c r="AG78" s="71">
        <f t="shared" si="38"/>
        <v>0</v>
      </c>
      <c r="AH78" s="71">
        <f t="shared" si="38"/>
        <v>0</v>
      </c>
      <c r="AI78" s="71">
        <f t="shared" si="38"/>
        <v>0</v>
      </c>
      <c r="AJ78" s="71">
        <f t="shared" si="38"/>
        <v>0</v>
      </c>
      <c r="AK78" s="71">
        <f t="shared" si="38"/>
        <v>0</v>
      </c>
      <c r="AL78" s="71">
        <f t="shared" si="38"/>
        <v>0</v>
      </c>
      <c r="AM78" s="71">
        <f t="shared" si="38"/>
        <v>0</v>
      </c>
      <c r="AN78" s="71">
        <f t="shared" si="38"/>
        <v>0</v>
      </c>
      <c r="AO78" s="71">
        <f t="shared" si="38"/>
        <v>0</v>
      </c>
      <c r="AP78" s="71">
        <f t="shared" si="38"/>
        <v>0</v>
      </c>
      <c r="AQ78" s="71">
        <f t="shared" si="38"/>
        <v>0</v>
      </c>
      <c r="AR78" s="71">
        <f t="shared" si="38"/>
        <v>0</v>
      </c>
      <c r="AS78" s="71">
        <f t="shared" si="38"/>
        <v>0</v>
      </c>
      <c r="AT78" s="71">
        <f t="shared" si="38"/>
        <v>0</v>
      </c>
      <c r="AU78" s="71">
        <f t="shared" si="38"/>
        <v>0</v>
      </c>
      <c r="AV78" s="71">
        <f t="shared" si="38"/>
        <v>0</v>
      </c>
      <c r="AW78" s="71">
        <f t="shared" si="38"/>
        <v>0</v>
      </c>
      <c r="AX78" s="71">
        <f t="shared" si="38"/>
        <v>0</v>
      </c>
      <c r="AY78" s="71">
        <f t="shared" si="38"/>
        <v>0</v>
      </c>
      <c r="AZ78" s="71">
        <f t="shared" si="38"/>
        <v>0</v>
      </c>
      <c r="BA78" s="71">
        <f t="shared" si="38"/>
        <v>0</v>
      </c>
      <c r="BB78" s="69"/>
    </row>
    <row r="79" spans="1:54" ht="14.25" customHeight="1">
      <c r="A79" s="103"/>
      <c r="E79" s="83"/>
      <c r="H79" s="83"/>
      <c r="I79" s="132" t="s">
        <v>51</v>
      </c>
      <c r="J79" s="74">
        <f t="shared" ref="J79:BA79" si="39">COUNTIFS($E$5:$E$27,$E78,J$5:J$27,"Censored")</f>
        <v>0</v>
      </c>
      <c r="K79" s="74">
        <f t="shared" si="39"/>
        <v>0</v>
      </c>
      <c r="L79" s="74">
        <f t="shared" si="39"/>
        <v>0</v>
      </c>
      <c r="M79" s="74">
        <f t="shared" si="39"/>
        <v>0</v>
      </c>
      <c r="N79" s="74">
        <f t="shared" si="39"/>
        <v>0</v>
      </c>
      <c r="O79" s="74">
        <f t="shared" si="39"/>
        <v>0</v>
      </c>
      <c r="P79" s="74">
        <f t="shared" si="39"/>
        <v>0</v>
      </c>
      <c r="Q79" s="74">
        <f t="shared" si="39"/>
        <v>0</v>
      </c>
      <c r="R79" s="74">
        <f t="shared" si="39"/>
        <v>0</v>
      </c>
      <c r="S79" s="74">
        <f t="shared" si="39"/>
        <v>0</v>
      </c>
      <c r="T79" s="74">
        <f t="shared" si="39"/>
        <v>0</v>
      </c>
      <c r="U79" s="74">
        <f t="shared" si="39"/>
        <v>0</v>
      </c>
      <c r="V79" s="74">
        <f t="shared" si="39"/>
        <v>0</v>
      </c>
      <c r="W79" s="74">
        <f t="shared" si="39"/>
        <v>0</v>
      </c>
      <c r="X79" s="74">
        <f t="shared" si="39"/>
        <v>0</v>
      </c>
      <c r="Y79" s="74">
        <f t="shared" si="39"/>
        <v>0</v>
      </c>
      <c r="Z79" s="74">
        <f t="shared" si="39"/>
        <v>0</v>
      </c>
      <c r="AA79" s="74">
        <f t="shared" si="39"/>
        <v>0</v>
      </c>
      <c r="AB79" s="74">
        <f t="shared" si="39"/>
        <v>0</v>
      </c>
      <c r="AC79" s="74">
        <f t="shared" si="39"/>
        <v>0</v>
      </c>
      <c r="AD79" s="74">
        <f t="shared" si="39"/>
        <v>0</v>
      </c>
      <c r="AE79" s="74">
        <f t="shared" si="39"/>
        <v>0</v>
      </c>
      <c r="AF79" s="74">
        <f t="shared" si="39"/>
        <v>0</v>
      </c>
      <c r="AG79" s="74">
        <f t="shared" si="39"/>
        <v>0</v>
      </c>
      <c r="AH79" s="74">
        <f t="shared" si="39"/>
        <v>0</v>
      </c>
      <c r="AI79" s="74">
        <f t="shared" si="39"/>
        <v>0</v>
      </c>
      <c r="AJ79" s="74">
        <f t="shared" si="39"/>
        <v>0</v>
      </c>
      <c r="AK79" s="74">
        <f t="shared" si="39"/>
        <v>0</v>
      </c>
      <c r="AL79" s="74">
        <f t="shared" si="39"/>
        <v>0</v>
      </c>
      <c r="AM79" s="74">
        <f t="shared" si="39"/>
        <v>0</v>
      </c>
      <c r="AN79" s="74">
        <f t="shared" si="39"/>
        <v>0</v>
      </c>
      <c r="AO79" s="74">
        <f t="shared" si="39"/>
        <v>0</v>
      </c>
      <c r="AP79" s="74">
        <f t="shared" si="39"/>
        <v>0</v>
      </c>
      <c r="AQ79" s="74">
        <f t="shared" si="39"/>
        <v>0</v>
      </c>
      <c r="AR79" s="74">
        <f t="shared" si="39"/>
        <v>0</v>
      </c>
      <c r="AS79" s="74">
        <f t="shared" si="39"/>
        <v>0</v>
      </c>
      <c r="AT79" s="74">
        <f t="shared" si="39"/>
        <v>0</v>
      </c>
      <c r="AU79" s="74">
        <f t="shared" si="39"/>
        <v>0</v>
      </c>
      <c r="AV79" s="74">
        <f t="shared" si="39"/>
        <v>0</v>
      </c>
      <c r="AW79" s="74">
        <f t="shared" si="39"/>
        <v>0</v>
      </c>
      <c r="AX79" s="74">
        <f t="shared" si="39"/>
        <v>0</v>
      </c>
      <c r="AY79" s="74">
        <f t="shared" si="39"/>
        <v>0</v>
      </c>
      <c r="AZ79" s="74">
        <f t="shared" si="39"/>
        <v>0</v>
      </c>
      <c r="BA79" s="74">
        <f t="shared" si="39"/>
        <v>0</v>
      </c>
      <c r="BB79" s="69"/>
    </row>
    <row r="80" spans="1:54" ht="14.25" customHeight="1">
      <c r="A80" s="39"/>
      <c r="B80" s="38"/>
      <c r="C80" s="40"/>
      <c r="D80" s="38"/>
      <c r="E80" s="82"/>
      <c r="F80" s="64"/>
      <c r="G80" s="75"/>
      <c r="H80" s="83"/>
      <c r="I80" s="132" t="s">
        <v>53</v>
      </c>
      <c r="J80" s="67" t="e">
        <f>J78/(COUNTIFS($E$5:$E$27,$E78,J$5:J$27,"Alive")+COUNTIFS($E$5:$E$27,$E78,J$5:J$27,"Sacrificed")+COUNTIFS($E$5:$E$27,$E78,J$5:J$27,"Died"))</f>
        <v>#DIV/0!</v>
      </c>
      <c r="K80" s="67" t="e">
        <f t="shared" ref="K80:BA80" si="40">K78/(COUNTIFS($E$5:$E$27,$E78,K$5:K$27,"Alive")+COUNTIFS($E$5:$E$27,$E78,K$5:K$27,"Sacrificed")+COUNTIFS($E$5:$E$27,$E78,K$5:K$27,"Died"))*J80</f>
        <v>#DIV/0!</v>
      </c>
      <c r="L80" s="67" t="e">
        <f t="shared" si="40"/>
        <v>#DIV/0!</v>
      </c>
      <c r="M80" s="67" t="e">
        <f t="shared" si="40"/>
        <v>#DIV/0!</v>
      </c>
      <c r="N80" s="67" t="e">
        <f t="shared" si="40"/>
        <v>#DIV/0!</v>
      </c>
      <c r="O80" s="67" t="e">
        <f t="shared" si="40"/>
        <v>#DIV/0!</v>
      </c>
      <c r="P80" s="67" t="e">
        <f t="shared" si="40"/>
        <v>#DIV/0!</v>
      </c>
      <c r="Q80" s="67" t="e">
        <f t="shared" si="40"/>
        <v>#DIV/0!</v>
      </c>
      <c r="R80" s="67" t="e">
        <f t="shared" si="40"/>
        <v>#DIV/0!</v>
      </c>
      <c r="S80" s="67" t="e">
        <f t="shared" si="40"/>
        <v>#DIV/0!</v>
      </c>
      <c r="T80" s="67" t="e">
        <f t="shared" si="40"/>
        <v>#DIV/0!</v>
      </c>
      <c r="U80" s="67" t="e">
        <f t="shared" si="40"/>
        <v>#DIV/0!</v>
      </c>
      <c r="V80" s="67" t="e">
        <f t="shared" si="40"/>
        <v>#DIV/0!</v>
      </c>
      <c r="W80" s="67" t="e">
        <f t="shared" si="40"/>
        <v>#DIV/0!</v>
      </c>
      <c r="X80" s="67" t="e">
        <f t="shared" si="40"/>
        <v>#DIV/0!</v>
      </c>
      <c r="Y80" s="67" t="e">
        <f t="shared" si="40"/>
        <v>#DIV/0!</v>
      </c>
      <c r="Z80" s="67" t="e">
        <f t="shared" si="40"/>
        <v>#DIV/0!</v>
      </c>
      <c r="AA80" s="67" t="e">
        <f t="shared" si="40"/>
        <v>#DIV/0!</v>
      </c>
      <c r="AB80" s="67" t="e">
        <f t="shared" si="40"/>
        <v>#DIV/0!</v>
      </c>
      <c r="AC80" s="67" t="e">
        <f t="shared" si="40"/>
        <v>#DIV/0!</v>
      </c>
      <c r="AD80" s="67" t="e">
        <f t="shared" si="40"/>
        <v>#DIV/0!</v>
      </c>
      <c r="AE80" s="67" t="e">
        <f t="shared" si="40"/>
        <v>#DIV/0!</v>
      </c>
      <c r="AF80" s="67" t="e">
        <f t="shared" si="40"/>
        <v>#DIV/0!</v>
      </c>
      <c r="AG80" s="67" t="e">
        <f t="shared" si="40"/>
        <v>#DIV/0!</v>
      </c>
      <c r="AH80" s="67" t="e">
        <f t="shared" si="40"/>
        <v>#DIV/0!</v>
      </c>
      <c r="AI80" s="67" t="e">
        <f t="shared" si="40"/>
        <v>#DIV/0!</v>
      </c>
      <c r="AJ80" s="67" t="e">
        <f t="shared" si="40"/>
        <v>#DIV/0!</v>
      </c>
      <c r="AK80" s="67" t="e">
        <f t="shared" si="40"/>
        <v>#DIV/0!</v>
      </c>
      <c r="AL80" s="67" t="e">
        <f t="shared" si="40"/>
        <v>#DIV/0!</v>
      </c>
      <c r="AM80" s="67" t="e">
        <f t="shared" si="40"/>
        <v>#DIV/0!</v>
      </c>
      <c r="AN80" s="67" t="e">
        <f t="shared" si="40"/>
        <v>#DIV/0!</v>
      </c>
      <c r="AO80" s="67" t="e">
        <f t="shared" si="40"/>
        <v>#DIV/0!</v>
      </c>
      <c r="AP80" s="67" t="e">
        <f t="shared" si="40"/>
        <v>#DIV/0!</v>
      </c>
      <c r="AQ80" s="67" t="e">
        <f t="shared" si="40"/>
        <v>#DIV/0!</v>
      </c>
      <c r="AR80" s="67" t="e">
        <f t="shared" si="40"/>
        <v>#DIV/0!</v>
      </c>
      <c r="AS80" s="67" t="e">
        <f t="shared" si="40"/>
        <v>#DIV/0!</v>
      </c>
      <c r="AT80" s="67" t="e">
        <f t="shared" si="40"/>
        <v>#DIV/0!</v>
      </c>
      <c r="AU80" s="67" t="e">
        <f t="shared" si="40"/>
        <v>#DIV/0!</v>
      </c>
      <c r="AV80" s="67" t="e">
        <f t="shared" si="40"/>
        <v>#DIV/0!</v>
      </c>
      <c r="AW80" s="67" t="e">
        <f t="shared" si="40"/>
        <v>#DIV/0!</v>
      </c>
      <c r="AX80" s="67" t="e">
        <f t="shared" si="40"/>
        <v>#DIV/0!</v>
      </c>
      <c r="AY80" s="67" t="e">
        <f t="shared" si="40"/>
        <v>#DIV/0!</v>
      </c>
      <c r="AZ80" s="67" t="e">
        <f t="shared" si="40"/>
        <v>#DIV/0!</v>
      </c>
      <c r="BA80" s="67" t="e">
        <f t="shared" si="40"/>
        <v>#DIV/0!</v>
      </c>
      <c r="BB80" s="3"/>
    </row>
    <row r="82" spans="1:54" ht="14.25" customHeight="1">
      <c r="A82" s="103"/>
      <c r="E82" s="108" t="str">
        <f>'NAB_PTX Groups'!C18</f>
        <v>Group 13</v>
      </c>
      <c r="H82" s="108" t="str">
        <f>E82</f>
        <v>Group 13</v>
      </c>
      <c r="I82" s="132" t="s">
        <v>52</v>
      </c>
      <c r="J82" s="71">
        <f t="shared" ref="J82:BA82" si="41">COUNTIFS($E$5:$E$27,$E82,J$5:J$27,"Alive")</f>
        <v>0</v>
      </c>
      <c r="K82" s="71">
        <f t="shared" si="41"/>
        <v>0</v>
      </c>
      <c r="L82" s="71">
        <f t="shared" si="41"/>
        <v>0</v>
      </c>
      <c r="M82" s="71">
        <f t="shared" si="41"/>
        <v>0</v>
      </c>
      <c r="N82" s="71">
        <f t="shared" si="41"/>
        <v>0</v>
      </c>
      <c r="O82" s="71">
        <f t="shared" si="41"/>
        <v>0</v>
      </c>
      <c r="P82" s="71">
        <f t="shared" si="41"/>
        <v>0</v>
      </c>
      <c r="Q82" s="71">
        <f t="shared" si="41"/>
        <v>0</v>
      </c>
      <c r="R82" s="71">
        <f t="shared" si="41"/>
        <v>0</v>
      </c>
      <c r="S82" s="71">
        <f t="shared" si="41"/>
        <v>0</v>
      </c>
      <c r="T82" s="71">
        <f t="shared" si="41"/>
        <v>0</v>
      </c>
      <c r="U82" s="71">
        <f t="shared" si="41"/>
        <v>0</v>
      </c>
      <c r="V82" s="71">
        <f t="shared" si="41"/>
        <v>0</v>
      </c>
      <c r="W82" s="71">
        <f t="shared" si="41"/>
        <v>0</v>
      </c>
      <c r="X82" s="71">
        <f t="shared" si="41"/>
        <v>0</v>
      </c>
      <c r="Y82" s="71">
        <f t="shared" si="41"/>
        <v>0</v>
      </c>
      <c r="Z82" s="71">
        <f t="shared" si="41"/>
        <v>0</v>
      </c>
      <c r="AA82" s="71">
        <f t="shared" si="41"/>
        <v>0</v>
      </c>
      <c r="AB82" s="71">
        <f t="shared" si="41"/>
        <v>0</v>
      </c>
      <c r="AC82" s="71">
        <f t="shared" si="41"/>
        <v>0</v>
      </c>
      <c r="AD82" s="71">
        <f t="shared" si="41"/>
        <v>0</v>
      </c>
      <c r="AE82" s="71">
        <f t="shared" si="41"/>
        <v>0</v>
      </c>
      <c r="AF82" s="71">
        <f t="shared" si="41"/>
        <v>0</v>
      </c>
      <c r="AG82" s="71">
        <f t="shared" si="41"/>
        <v>0</v>
      </c>
      <c r="AH82" s="71">
        <f t="shared" si="41"/>
        <v>0</v>
      </c>
      <c r="AI82" s="71">
        <f t="shared" si="41"/>
        <v>0</v>
      </c>
      <c r="AJ82" s="71">
        <f t="shared" si="41"/>
        <v>0</v>
      </c>
      <c r="AK82" s="71">
        <f t="shared" si="41"/>
        <v>0</v>
      </c>
      <c r="AL82" s="71">
        <f t="shared" si="41"/>
        <v>0</v>
      </c>
      <c r="AM82" s="71">
        <f t="shared" si="41"/>
        <v>0</v>
      </c>
      <c r="AN82" s="71">
        <f t="shared" si="41"/>
        <v>0</v>
      </c>
      <c r="AO82" s="71">
        <f t="shared" si="41"/>
        <v>0</v>
      </c>
      <c r="AP82" s="71">
        <f t="shared" si="41"/>
        <v>0</v>
      </c>
      <c r="AQ82" s="71">
        <f t="shared" si="41"/>
        <v>0</v>
      </c>
      <c r="AR82" s="71">
        <f t="shared" si="41"/>
        <v>0</v>
      </c>
      <c r="AS82" s="71">
        <f t="shared" si="41"/>
        <v>0</v>
      </c>
      <c r="AT82" s="71">
        <f t="shared" si="41"/>
        <v>0</v>
      </c>
      <c r="AU82" s="71">
        <f t="shared" si="41"/>
        <v>0</v>
      </c>
      <c r="AV82" s="71">
        <f t="shared" si="41"/>
        <v>0</v>
      </c>
      <c r="AW82" s="71">
        <f t="shared" si="41"/>
        <v>0</v>
      </c>
      <c r="AX82" s="71">
        <f t="shared" si="41"/>
        <v>0</v>
      </c>
      <c r="AY82" s="71">
        <f t="shared" si="41"/>
        <v>0</v>
      </c>
      <c r="AZ82" s="71">
        <f t="shared" si="41"/>
        <v>0</v>
      </c>
      <c r="BA82" s="71">
        <f t="shared" si="41"/>
        <v>0</v>
      </c>
      <c r="BB82" s="69"/>
    </row>
    <row r="83" spans="1:54" ht="14.25" customHeight="1">
      <c r="A83" s="103"/>
      <c r="E83" s="83"/>
      <c r="H83" s="83"/>
      <c r="I83" s="132" t="s">
        <v>51</v>
      </c>
      <c r="J83" s="74">
        <f t="shared" ref="J83:BA83" si="42">COUNTIFS($E$5:$E$27,$E82,J$5:J$27,"Censored")</f>
        <v>0</v>
      </c>
      <c r="K83" s="74">
        <f t="shared" si="42"/>
        <v>0</v>
      </c>
      <c r="L83" s="74">
        <f t="shared" si="42"/>
        <v>0</v>
      </c>
      <c r="M83" s="74">
        <f t="shared" si="42"/>
        <v>0</v>
      </c>
      <c r="N83" s="74">
        <f t="shared" si="42"/>
        <v>0</v>
      </c>
      <c r="O83" s="74">
        <f t="shared" si="42"/>
        <v>0</v>
      </c>
      <c r="P83" s="74">
        <f t="shared" si="42"/>
        <v>0</v>
      </c>
      <c r="Q83" s="74">
        <f t="shared" si="42"/>
        <v>0</v>
      </c>
      <c r="R83" s="74">
        <f t="shared" si="42"/>
        <v>0</v>
      </c>
      <c r="S83" s="74">
        <f t="shared" si="42"/>
        <v>0</v>
      </c>
      <c r="T83" s="74">
        <f t="shared" si="42"/>
        <v>0</v>
      </c>
      <c r="U83" s="74">
        <f t="shared" si="42"/>
        <v>0</v>
      </c>
      <c r="V83" s="74">
        <f t="shared" si="42"/>
        <v>0</v>
      </c>
      <c r="W83" s="74">
        <f t="shared" si="42"/>
        <v>0</v>
      </c>
      <c r="X83" s="74">
        <f t="shared" si="42"/>
        <v>0</v>
      </c>
      <c r="Y83" s="74">
        <f t="shared" si="42"/>
        <v>0</v>
      </c>
      <c r="Z83" s="74">
        <f t="shared" si="42"/>
        <v>0</v>
      </c>
      <c r="AA83" s="74">
        <f t="shared" si="42"/>
        <v>0</v>
      </c>
      <c r="AB83" s="74">
        <f t="shared" si="42"/>
        <v>0</v>
      </c>
      <c r="AC83" s="74">
        <f t="shared" si="42"/>
        <v>0</v>
      </c>
      <c r="AD83" s="74">
        <f t="shared" si="42"/>
        <v>0</v>
      </c>
      <c r="AE83" s="74">
        <f t="shared" si="42"/>
        <v>0</v>
      </c>
      <c r="AF83" s="74">
        <f t="shared" si="42"/>
        <v>0</v>
      </c>
      <c r="AG83" s="74">
        <f t="shared" si="42"/>
        <v>0</v>
      </c>
      <c r="AH83" s="74">
        <f t="shared" si="42"/>
        <v>0</v>
      </c>
      <c r="AI83" s="74">
        <f t="shared" si="42"/>
        <v>0</v>
      </c>
      <c r="AJ83" s="74">
        <f t="shared" si="42"/>
        <v>0</v>
      </c>
      <c r="AK83" s="74">
        <f t="shared" si="42"/>
        <v>0</v>
      </c>
      <c r="AL83" s="74">
        <f t="shared" si="42"/>
        <v>0</v>
      </c>
      <c r="AM83" s="74">
        <f t="shared" si="42"/>
        <v>0</v>
      </c>
      <c r="AN83" s="74">
        <f t="shared" si="42"/>
        <v>0</v>
      </c>
      <c r="AO83" s="74">
        <f t="shared" si="42"/>
        <v>0</v>
      </c>
      <c r="AP83" s="74">
        <f t="shared" si="42"/>
        <v>0</v>
      </c>
      <c r="AQ83" s="74">
        <f t="shared" si="42"/>
        <v>0</v>
      </c>
      <c r="AR83" s="74">
        <f t="shared" si="42"/>
        <v>0</v>
      </c>
      <c r="AS83" s="74">
        <f t="shared" si="42"/>
        <v>0</v>
      </c>
      <c r="AT83" s="74">
        <f t="shared" si="42"/>
        <v>0</v>
      </c>
      <c r="AU83" s="74">
        <f t="shared" si="42"/>
        <v>0</v>
      </c>
      <c r="AV83" s="74">
        <f t="shared" si="42"/>
        <v>0</v>
      </c>
      <c r="AW83" s="74">
        <f t="shared" si="42"/>
        <v>0</v>
      </c>
      <c r="AX83" s="74">
        <f t="shared" si="42"/>
        <v>0</v>
      </c>
      <c r="AY83" s="74">
        <f t="shared" si="42"/>
        <v>0</v>
      </c>
      <c r="AZ83" s="74">
        <f t="shared" si="42"/>
        <v>0</v>
      </c>
      <c r="BA83" s="74">
        <f t="shared" si="42"/>
        <v>0</v>
      </c>
      <c r="BB83" s="69"/>
    </row>
    <row r="84" spans="1:54" ht="14.25" customHeight="1">
      <c r="A84" s="39"/>
      <c r="B84" s="38"/>
      <c r="C84" s="40"/>
      <c r="D84" s="38"/>
      <c r="E84" s="82"/>
      <c r="F84" s="64"/>
      <c r="G84" s="75"/>
      <c r="H84" s="83"/>
      <c r="I84" s="132" t="s">
        <v>53</v>
      </c>
      <c r="J84" s="67" t="e">
        <f>J82/(COUNTIFS($E$5:$E$27,$E82,J$5:J$27,"Alive")+COUNTIFS($E$5:$E$27,$E82,J$5:J$27,"Sacrificed")+COUNTIFS($E$5:$E$27,$E82,J$5:J$27,"Died"))</f>
        <v>#DIV/0!</v>
      </c>
      <c r="K84" s="67" t="e">
        <f t="shared" ref="K84:BA84" si="43">K82/(COUNTIFS($E$5:$E$27,$E82,K$5:K$27,"Alive")+COUNTIFS($E$5:$E$27,$E82,K$5:K$27,"Sacrificed")+COUNTIFS($E$5:$E$27,$E82,K$5:K$27,"Died"))*J84</f>
        <v>#DIV/0!</v>
      </c>
      <c r="L84" s="67" t="e">
        <f t="shared" si="43"/>
        <v>#DIV/0!</v>
      </c>
      <c r="M84" s="67" t="e">
        <f t="shared" si="43"/>
        <v>#DIV/0!</v>
      </c>
      <c r="N84" s="67" t="e">
        <f t="shared" si="43"/>
        <v>#DIV/0!</v>
      </c>
      <c r="O84" s="67" t="e">
        <f t="shared" si="43"/>
        <v>#DIV/0!</v>
      </c>
      <c r="P84" s="67" t="e">
        <f t="shared" si="43"/>
        <v>#DIV/0!</v>
      </c>
      <c r="Q84" s="67" t="e">
        <f t="shared" si="43"/>
        <v>#DIV/0!</v>
      </c>
      <c r="R84" s="67" t="e">
        <f t="shared" si="43"/>
        <v>#DIV/0!</v>
      </c>
      <c r="S84" s="67" t="e">
        <f t="shared" si="43"/>
        <v>#DIV/0!</v>
      </c>
      <c r="T84" s="67" t="e">
        <f t="shared" si="43"/>
        <v>#DIV/0!</v>
      </c>
      <c r="U84" s="67" t="e">
        <f t="shared" si="43"/>
        <v>#DIV/0!</v>
      </c>
      <c r="V84" s="67" t="e">
        <f t="shared" si="43"/>
        <v>#DIV/0!</v>
      </c>
      <c r="W84" s="67" t="e">
        <f t="shared" si="43"/>
        <v>#DIV/0!</v>
      </c>
      <c r="X84" s="67" t="e">
        <f t="shared" si="43"/>
        <v>#DIV/0!</v>
      </c>
      <c r="Y84" s="67" t="e">
        <f t="shared" si="43"/>
        <v>#DIV/0!</v>
      </c>
      <c r="Z84" s="67" t="e">
        <f t="shared" si="43"/>
        <v>#DIV/0!</v>
      </c>
      <c r="AA84" s="67" t="e">
        <f t="shared" si="43"/>
        <v>#DIV/0!</v>
      </c>
      <c r="AB84" s="67" t="e">
        <f t="shared" si="43"/>
        <v>#DIV/0!</v>
      </c>
      <c r="AC84" s="67" t="e">
        <f t="shared" si="43"/>
        <v>#DIV/0!</v>
      </c>
      <c r="AD84" s="67" t="e">
        <f t="shared" si="43"/>
        <v>#DIV/0!</v>
      </c>
      <c r="AE84" s="67" t="e">
        <f t="shared" si="43"/>
        <v>#DIV/0!</v>
      </c>
      <c r="AF84" s="67" t="e">
        <f t="shared" si="43"/>
        <v>#DIV/0!</v>
      </c>
      <c r="AG84" s="67" t="e">
        <f t="shared" si="43"/>
        <v>#DIV/0!</v>
      </c>
      <c r="AH84" s="67" t="e">
        <f t="shared" si="43"/>
        <v>#DIV/0!</v>
      </c>
      <c r="AI84" s="67" t="e">
        <f t="shared" si="43"/>
        <v>#DIV/0!</v>
      </c>
      <c r="AJ84" s="67" t="e">
        <f t="shared" si="43"/>
        <v>#DIV/0!</v>
      </c>
      <c r="AK84" s="67" t="e">
        <f t="shared" si="43"/>
        <v>#DIV/0!</v>
      </c>
      <c r="AL84" s="67" t="e">
        <f t="shared" si="43"/>
        <v>#DIV/0!</v>
      </c>
      <c r="AM84" s="67" t="e">
        <f t="shared" si="43"/>
        <v>#DIV/0!</v>
      </c>
      <c r="AN84" s="67" t="e">
        <f t="shared" si="43"/>
        <v>#DIV/0!</v>
      </c>
      <c r="AO84" s="67" t="e">
        <f t="shared" si="43"/>
        <v>#DIV/0!</v>
      </c>
      <c r="AP84" s="67" t="e">
        <f t="shared" si="43"/>
        <v>#DIV/0!</v>
      </c>
      <c r="AQ84" s="67" t="e">
        <f t="shared" si="43"/>
        <v>#DIV/0!</v>
      </c>
      <c r="AR84" s="67" t="e">
        <f t="shared" si="43"/>
        <v>#DIV/0!</v>
      </c>
      <c r="AS84" s="67" t="e">
        <f t="shared" si="43"/>
        <v>#DIV/0!</v>
      </c>
      <c r="AT84" s="67" t="e">
        <f t="shared" si="43"/>
        <v>#DIV/0!</v>
      </c>
      <c r="AU84" s="67" t="e">
        <f t="shared" si="43"/>
        <v>#DIV/0!</v>
      </c>
      <c r="AV84" s="67" t="e">
        <f t="shared" si="43"/>
        <v>#DIV/0!</v>
      </c>
      <c r="AW84" s="67" t="e">
        <f t="shared" si="43"/>
        <v>#DIV/0!</v>
      </c>
      <c r="AX84" s="67" t="e">
        <f t="shared" si="43"/>
        <v>#DIV/0!</v>
      </c>
      <c r="AY84" s="67" t="e">
        <f t="shared" si="43"/>
        <v>#DIV/0!</v>
      </c>
      <c r="AZ84" s="67" t="e">
        <f t="shared" si="43"/>
        <v>#DIV/0!</v>
      </c>
      <c r="BA84" s="67" t="e">
        <f t="shared" si="43"/>
        <v>#DIV/0!</v>
      </c>
      <c r="BB84" s="3"/>
    </row>
    <row r="86" spans="1:54" ht="14.25" customHeight="1">
      <c r="A86" s="103"/>
      <c r="E86" s="108" t="str">
        <f>'NAB_PTX Groups'!C19</f>
        <v>Group 14</v>
      </c>
      <c r="H86" s="108" t="str">
        <f>E86</f>
        <v>Group 14</v>
      </c>
      <c r="I86" s="132" t="s">
        <v>52</v>
      </c>
      <c r="J86" s="71">
        <f t="shared" ref="J86:BA86" si="44">COUNTIFS($E$5:$E$27,$E86,J$5:J$27,"Alive")</f>
        <v>0</v>
      </c>
      <c r="K86" s="71">
        <f t="shared" si="44"/>
        <v>0</v>
      </c>
      <c r="L86" s="71">
        <f t="shared" si="44"/>
        <v>0</v>
      </c>
      <c r="M86" s="71">
        <f t="shared" si="44"/>
        <v>0</v>
      </c>
      <c r="N86" s="71">
        <f t="shared" si="44"/>
        <v>0</v>
      </c>
      <c r="O86" s="71">
        <f t="shared" si="44"/>
        <v>0</v>
      </c>
      <c r="P86" s="71">
        <f t="shared" si="44"/>
        <v>0</v>
      </c>
      <c r="Q86" s="71">
        <f t="shared" si="44"/>
        <v>0</v>
      </c>
      <c r="R86" s="71">
        <f t="shared" si="44"/>
        <v>0</v>
      </c>
      <c r="S86" s="71">
        <f t="shared" si="44"/>
        <v>0</v>
      </c>
      <c r="T86" s="71">
        <f t="shared" si="44"/>
        <v>0</v>
      </c>
      <c r="U86" s="71">
        <f t="shared" si="44"/>
        <v>0</v>
      </c>
      <c r="V86" s="71">
        <f t="shared" si="44"/>
        <v>0</v>
      </c>
      <c r="W86" s="71">
        <f t="shared" si="44"/>
        <v>0</v>
      </c>
      <c r="X86" s="71">
        <f t="shared" si="44"/>
        <v>0</v>
      </c>
      <c r="Y86" s="71">
        <f t="shared" si="44"/>
        <v>0</v>
      </c>
      <c r="Z86" s="71">
        <f t="shared" si="44"/>
        <v>0</v>
      </c>
      <c r="AA86" s="71">
        <f t="shared" si="44"/>
        <v>0</v>
      </c>
      <c r="AB86" s="71">
        <f t="shared" si="44"/>
        <v>0</v>
      </c>
      <c r="AC86" s="71">
        <f t="shared" si="44"/>
        <v>0</v>
      </c>
      <c r="AD86" s="71">
        <f t="shared" si="44"/>
        <v>0</v>
      </c>
      <c r="AE86" s="71">
        <f t="shared" si="44"/>
        <v>0</v>
      </c>
      <c r="AF86" s="71">
        <f t="shared" si="44"/>
        <v>0</v>
      </c>
      <c r="AG86" s="71">
        <f t="shared" si="44"/>
        <v>0</v>
      </c>
      <c r="AH86" s="71">
        <f t="shared" si="44"/>
        <v>0</v>
      </c>
      <c r="AI86" s="71">
        <f t="shared" si="44"/>
        <v>0</v>
      </c>
      <c r="AJ86" s="71">
        <f t="shared" si="44"/>
        <v>0</v>
      </c>
      <c r="AK86" s="71">
        <f t="shared" si="44"/>
        <v>0</v>
      </c>
      <c r="AL86" s="71">
        <f t="shared" si="44"/>
        <v>0</v>
      </c>
      <c r="AM86" s="71">
        <f t="shared" si="44"/>
        <v>0</v>
      </c>
      <c r="AN86" s="71">
        <f t="shared" si="44"/>
        <v>0</v>
      </c>
      <c r="AO86" s="71">
        <f t="shared" si="44"/>
        <v>0</v>
      </c>
      <c r="AP86" s="71">
        <f t="shared" si="44"/>
        <v>0</v>
      </c>
      <c r="AQ86" s="71">
        <f t="shared" si="44"/>
        <v>0</v>
      </c>
      <c r="AR86" s="71">
        <f t="shared" si="44"/>
        <v>0</v>
      </c>
      <c r="AS86" s="71">
        <f t="shared" si="44"/>
        <v>0</v>
      </c>
      <c r="AT86" s="71">
        <f t="shared" si="44"/>
        <v>0</v>
      </c>
      <c r="AU86" s="71">
        <f t="shared" si="44"/>
        <v>0</v>
      </c>
      <c r="AV86" s="71">
        <f t="shared" si="44"/>
        <v>0</v>
      </c>
      <c r="AW86" s="71">
        <f t="shared" si="44"/>
        <v>0</v>
      </c>
      <c r="AX86" s="71">
        <f t="shared" si="44"/>
        <v>0</v>
      </c>
      <c r="AY86" s="71">
        <f t="shared" si="44"/>
        <v>0</v>
      </c>
      <c r="AZ86" s="71">
        <f t="shared" si="44"/>
        <v>0</v>
      </c>
      <c r="BA86" s="71">
        <f t="shared" si="44"/>
        <v>0</v>
      </c>
      <c r="BB86" s="69"/>
    </row>
    <row r="87" spans="1:54" ht="14.25" customHeight="1">
      <c r="A87" s="103"/>
      <c r="E87" s="83"/>
      <c r="H87" s="83"/>
      <c r="I87" s="132" t="s">
        <v>51</v>
      </c>
      <c r="J87" s="74">
        <f t="shared" ref="J87:BA87" si="45">COUNTIFS($E$5:$E$27,$E86,J$5:J$27,"Censored")</f>
        <v>0</v>
      </c>
      <c r="K87" s="74">
        <f t="shared" si="45"/>
        <v>0</v>
      </c>
      <c r="L87" s="74">
        <f t="shared" si="45"/>
        <v>0</v>
      </c>
      <c r="M87" s="74">
        <f t="shared" si="45"/>
        <v>0</v>
      </c>
      <c r="N87" s="74">
        <f t="shared" si="45"/>
        <v>0</v>
      </c>
      <c r="O87" s="74">
        <f t="shared" si="45"/>
        <v>0</v>
      </c>
      <c r="P87" s="74">
        <f t="shared" si="45"/>
        <v>0</v>
      </c>
      <c r="Q87" s="74">
        <f t="shared" si="45"/>
        <v>0</v>
      </c>
      <c r="R87" s="74">
        <f t="shared" si="45"/>
        <v>0</v>
      </c>
      <c r="S87" s="74">
        <f t="shared" si="45"/>
        <v>0</v>
      </c>
      <c r="T87" s="74">
        <f t="shared" si="45"/>
        <v>0</v>
      </c>
      <c r="U87" s="74">
        <f t="shared" si="45"/>
        <v>0</v>
      </c>
      <c r="V87" s="74">
        <f t="shared" si="45"/>
        <v>0</v>
      </c>
      <c r="W87" s="74">
        <f t="shared" si="45"/>
        <v>0</v>
      </c>
      <c r="X87" s="74">
        <f t="shared" si="45"/>
        <v>0</v>
      </c>
      <c r="Y87" s="74">
        <f t="shared" si="45"/>
        <v>0</v>
      </c>
      <c r="Z87" s="74">
        <f t="shared" si="45"/>
        <v>0</v>
      </c>
      <c r="AA87" s="74">
        <f t="shared" si="45"/>
        <v>0</v>
      </c>
      <c r="AB87" s="74">
        <f t="shared" si="45"/>
        <v>0</v>
      </c>
      <c r="AC87" s="74">
        <f t="shared" si="45"/>
        <v>0</v>
      </c>
      <c r="AD87" s="74">
        <f t="shared" si="45"/>
        <v>0</v>
      </c>
      <c r="AE87" s="74">
        <f t="shared" si="45"/>
        <v>0</v>
      </c>
      <c r="AF87" s="74">
        <f t="shared" si="45"/>
        <v>0</v>
      </c>
      <c r="AG87" s="74">
        <f t="shared" si="45"/>
        <v>0</v>
      </c>
      <c r="AH87" s="74">
        <f t="shared" si="45"/>
        <v>0</v>
      </c>
      <c r="AI87" s="74">
        <f t="shared" si="45"/>
        <v>0</v>
      </c>
      <c r="AJ87" s="74">
        <f t="shared" si="45"/>
        <v>0</v>
      </c>
      <c r="AK87" s="74">
        <f t="shared" si="45"/>
        <v>0</v>
      </c>
      <c r="AL87" s="74">
        <f t="shared" si="45"/>
        <v>0</v>
      </c>
      <c r="AM87" s="74">
        <f t="shared" si="45"/>
        <v>0</v>
      </c>
      <c r="AN87" s="74">
        <f t="shared" si="45"/>
        <v>0</v>
      </c>
      <c r="AO87" s="74">
        <f t="shared" si="45"/>
        <v>0</v>
      </c>
      <c r="AP87" s="74">
        <f t="shared" si="45"/>
        <v>0</v>
      </c>
      <c r="AQ87" s="74">
        <f t="shared" si="45"/>
        <v>0</v>
      </c>
      <c r="AR87" s="74">
        <f t="shared" si="45"/>
        <v>0</v>
      </c>
      <c r="AS87" s="74">
        <f t="shared" si="45"/>
        <v>0</v>
      </c>
      <c r="AT87" s="74">
        <f t="shared" si="45"/>
        <v>0</v>
      </c>
      <c r="AU87" s="74">
        <f t="shared" si="45"/>
        <v>0</v>
      </c>
      <c r="AV87" s="74">
        <f t="shared" si="45"/>
        <v>0</v>
      </c>
      <c r="AW87" s="74">
        <f t="shared" si="45"/>
        <v>0</v>
      </c>
      <c r="AX87" s="74">
        <f t="shared" si="45"/>
        <v>0</v>
      </c>
      <c r="AY87" s="74">
        <f t="shared" si="45"/>
        <v>0</v>
      </c>
      <c r="AZ87" s="74">
        <f t="shared" si="45"/>
        <v>0</v>
      </c>
      <c r="BA87" s="74">
        <f t="shared" si="45"/>
        <v>0</v>
      </c>
      <c r="BB87" s="69"/>
    </row>
    <row r="88" spans="1:54" ht="14.25" customHeight="1">
      <c r="A88" s="39"/>
      <c r="B88" s="38"/>
      <c r="C88" s="40"/>
      <c r="D88" s="38"/>
      <c r="E88" s="82"/>
      <c r="F88" s="64"/>
      <c r="G88" s="75"/>
      <c r="H88" s="83"/>
      <c r="I88" s="132" t="s">
        <v>53</v>
      </c>
      <c r="J88" s="67" t="e">
        <f>J86/(COUNTIFS($E$5:$E$27,$E86,J$5:J$27,"Alive")+COUNTIFS($E$5:$E$27,$E86,J$5:J$27,"Sacrificed")+COUNTIFS($E$5:$E$27,$E86,J$5:J$27,"Died"))</f>
        <v>#DIV/0!</v>
      </c>
      <c r="K88" s="67" t="e">
        <f t="shared" ref="K88:BA88" si="46">K86/(COUNTIFS($E$5:$E$27,$E86,K$5:K$27,"Alive")+COUNTIFS($E$5:$E$27,$E86,K$5:K$27,"Sacrificed")+COUNTIFS($E$5:$E$27,$E86,K$5:K$27,"Died"))*J88</f>
        <v>#DIV/0!</v>
      </c>
      <c r="L88" s="67" t="e">
        <f t="shared" si="46"/>
        <v>#DIV/0!</v>
      </c>
      <c r="M88" s="67" t="e">
        <f t="shared" si="46"/>
        <v>#DIV/0!</v>
      </c>
      <c r="N88" s="67" t="e">
        <f t="shared" si="46"/>
        <v>#DIV/0!</v>
      </c>
      <c r="O88" s="67" t="e">
        <f t="shared" si="46"/>
        <v>#DIV/0!</v>
      </c>
      <c r="P88" s="67" t="e">
        <f t="shared" si="46"/>
        <v>#DIV/0!</v>
      </c>
      <c r="Q88" s="67" t="e">
        <f t="shared" si="46"/>
        <v>#DIV/0!</v>
      </c>
      <c r="R88" s="67" t="e">
        <f t="shared" si="46"/>
        <v>#DIV/0!</v>
      </c>
      <c r="S88" s="67" t="e">
        <f t="shared" si="46"/>
        <v>#DIV/0!</v>
      </c>
      <c r="T88" s="67" t="e">
        <f t="shared" si="46"/>
        <v>#DIV/0!</v>
      </c>
      <c r="U88" s="67" t="e">
        <f t="shared" si="46"/>
        <v>#DIV/0!</v>
      </c>
      <c r="V88" s="67" t="e">
        <f t="shared" si="46"/>
        <v>#DIV/0!</v>
      </c>
      <c r="W88" s="67" t="e">
        <f t="shared" si="46"/>
        <v>#DIV/0!</v>
      </c>
      <c r="X88" s="67" t="e">
        <f t="shared" si="46"/>
        <v>#DIV/0!</v>
      </c>
      <c r="Y88" s="67" t="e">
        <f t="shared" si="46"/>
        <v>#DIV/0!</v>
      </c>
      <c r="Z88" s="67" t="e">
        <f t="shared" si="46"/>
        <v>#DIV/0!</v>
      </c>
      <c r="AA88" s="67" t="e">
        <f t="shared" si="46"/>
        <v>#DIV/0!</v>
      </c>
      <c r="AB88" s="67" t="e">
        <f t="shared" si="46"/>
        <v>#DIV/0!</v>
      </c>
      <c r="AC88" s="67" t="e">
        <f t="shared" si="46"/>
        <v>#DIV/0!</v>
      </c>
      <c r="AD88" s="67" t="e">
        <f t="shared" si="46"/>
        <v>#DIV/0!</v>
      </c>
      <c r="AE88" s="67" t="e">
        <f t="shared" si="46"/>
        <v>#DIV/0!</v>
      </c>
      <c r="AF88" s="67" t="e">
        <f t="shared" si="46"/>
        <v>#DIV/0!</v>
      </c>
      <c r="AG88" s="67" t="e">
        <f t="shared" si="46"/>
        <v>#DIV/0!</v>
      </c>
      <c r="AH88" s="67" t="e">
        <f t="shared" si="46"/>
        <v>#DIV/0!</v>
      </c>
      <c r="AI88" s="67" t="e">
        <f t="shared" si="46"/>
        <v>#DIV/0!</v>
      </c>
      <c r="AJ88" s="67" t="e">
        <f t="shared" si="46"/>
        <v>#DIV/0!</v>
      </c>
      <c r="AK88" s="67" t="e">
        <f t="shared" si="46"/>
        <v>#DIV/0!</v>
      </c>
      <c r="AL88" s="67" t="e">
        <f t="shared" si="46"/>
        <v>#DIV/0!</v>
      </c>
      <c r="AM88" s="67" t="e">
        <f t="shared" si="46"/>
        <v>#DIV/0!</v>
      </c>
      <c r="AN88" s="67" t="e">
        <f t="shared" si="46"/>
        <v>#DIV/0!</v>
      </c>
      <c r="AO88" s="67" t="e">
        <f t="shared" si="46"/>
        <v>#DIV/0!</v>
      </c>
      <c r="AP88" s="67" t="e">
        <f t="shared" si="46"/>
        <v>#DIV/0!</v>
      </c>
      <c r="AQ88" s="67" t="e">
        <f t="shared" si="46"/>
        <v>#DIV/0!</v>
      </c>
      <c r="AR88" s="67" t="e">
        <f t="shared" si="46"/>
        <v>#DIV/0!</v>
      </c>
      <c r="AS88" s="67" t="e">
        <f t="shared" si="46"/>
        <v>#DIV/0!</v>
      </c>
      <c r="AT88" s="67" t="e">
        <f t="shared" si="46"/>
        <v>#DIV/0!</v>
      </c>
      <c r="AU88" s="67" t="e">
        <f t="shared" si="46"/>
        <v>#DIV/0!</v>
      </c>
      <c r="AV88" s="67" t="e">
        <f t="shared" si="46"/>
        <v>#DIV/0!</v>
      </c>
      <c r="AW88" s="67" t="e">
        <f t="shared" si="46"/>
        <v>#DIV/0!</v>
      </c>
      <c r="AX88" s="67" t="e">
        <f t="shared" si="46"/>
        <v>#DIV/0!</v>
      </c>
      <c r="AY88" s="67" t="e">
        <f t="shared" si="46"/>
        <v>#DIV/0!</v>
      </c>
      <c r="AZ88" s="67" t="e">
        <f t="shared" si="46"/>
        <v>#DIV/0!</v>
      </c>
      <c r="BA88" s="67" t="e">
        <f t="shared" si="46"/>
        <v>#DIV/0!</v>
      </c>
      <c r="BB88" s="3"/>
    </row>
    <row r="90" spans="1:54" ht="14.25" customHeight="1">
      <c r="A90" s="103"/>
      <c r="E90" s="108" t="str">
        <f>'NAB_PTX Groups'!C20</f>
        <v>Group 15</v>
      </c>
      <c r="H90" s="108" t="str">
        <f>E90</f>
        <v>Group 15</v>
      </c>
      <c r="I90" s="132" t="s">
        <v>52</v>
      </c>
      <c r="J90" s="71">
        <f t="shared" ref="J90:BA90" si="47">COUNTIFS($E$5:$E$27,$E90,J$5:J$27,"Alive")</f>
        <v>0</v>
      </c>
      <c r="K90" s="71">
        <f t="shared" si="47"/>
        <v>0</v>
      </c>
      <c r="L90" s="71">
        <f t="shared" si="47"/>
        <v>0</v>
      </c>
      <c r="M90" s="71">
        <f t="shared" si="47"/>
        <v>0</v>
      </c>
      <c r="N90" s="71">
        <f t="shared" si="47"/>
        <v>0</v>
      </c>
      <c r="O90" s="71">
        <f t="shared" si="47"/>
        <v>0</v>
      </c>
      <c r="P90" s="71">
        <f t="shared" si="47"/>
        <v>0</v>
      </c>
      <c r="Q90" s="71">
        <f t="shared" si="47"/>
        <v>0</v>
      </c>
      <c r="R90" s="71">
        <f t="shared" si="47"/>
        <v>0</v>
      </c>
      <c r="S90" s="71">
        <f t="shared" si="47"/>
        <v>0</v>
      </c>
      <c r="T90" s="71">
        <f t="shared" si="47"/>
        <v>0</v>
      </c>
      <c r="U90" s="71">
        <f t="shared" si="47"/>
        <v>0</v>
      </c>
      <c r="V90" s="71">
        <f t="shared" si="47"/>
        <v>0</v>
      </c>
      <c r="W90" s="71">
        <f t="shared" si="47"/>
        <v>0</v>
      </c>
      <c r="X90" s="71">
        <f t="shared" si="47"/>
        <v>0</v>
      </c>
      <c r="Y90" s="71">
        <f t="shared" si="47"/>
        <v>0</v>
      </c>
      <c r="Z90" s="71">
        <f t="shared" si="47"/>
        <v>0</v>
      </c>
      <c r="AA90" s="71">
        <f t="shared" si="47"/>
        <v>0</v>
      </c>
      <c r="AB90" s="71">
        <f t="shared" si="47"/>
        <v>0</v>
      </c>
      <c r="AC90" s="71">
        <f t="shared" si="47"/>
        <v>0</v>
      </c>
      <c r="AD90" s="71">
        <f t="shared" si="47"/>
        <v>0</v>
      </c>
      <c r="AE90" s="71">
        <f t="shared" si="47"/>
        <v>0</v>
      </c>
      <c r="AF90" s="71">
        <f t="shared" si="47"/>
        <v>0</v>
      </c>
      <c r="AG90" s="71">
        <f t="shared" si="47"/>
        <v>0</v>
      </c>
      <c r="AH90" s="71">
        <f t="shared" si="47"/>
        <v>0</v>
      </c>
      <c r="AI90" s="71">
        <f t="shared" si="47"/>
        <v>0</v>
      </c>
      <c r="AJ90" s="71">
        <f t="shared" si="47"/>
        <v>0</v>
      </c>
      <c r="AK90" s="71">
        <f t="shared" si="47"/>
        <v>0</v>
      </c>
      <c r="AL90" s="71">
        <f t="shared" si="47"/>
        <v>0</v>
      </c>
      <c r="AM90" s="71">
        <f t="shared" si="47"/>
        <v>0</v>
      </c>
      <c r="AN90" s="71">
        <f t="shared" si="47"/>
        <v>0</v>
      </c>
      <c r="AO90" s="71">
        <f t="shared" si="47"/>
        <v>0</v>
      </c>
      <c r="AP90" s="71">
        <f t="shared" si="47"/>
        <v>0</v>
      </c>
      <c r="AQ90" s="71">
        <f t="shared" si="47"/>
        <v>0</v>
      </c>
      <c r="AR90" s="71">
        <f t="shared" si="47"/>
        <v>0</v>
      </c>
      <c r="AS90" s="71">
        <f t="shared" si="47"/>
        <v>0</v>
      </c>
      <c r="AT90" s="71">
        <f t="shared" si="47"/>
        <v>0</v>
      </c>
      <c r="AU90" s="71">
        <f t="shared" si="47"/>
        <v>0</v>
      </c>
      <c r="AV90" s="71">
        <f t="shared" si="47"/>
        <v>0</v>
      </c>
      <c r="AW90" s="71">
        <f t="shared" si="47"/>
        <v>0</v>
      </c>
      <c r="AX90" s="71">
        <f t="shared" si="47"/>
        <v>0</v>
      </c>
      <c r="AY90" s="71">
        <f t="shared" si="47"/>
        <v>0</v>
      </c>
      <c r="AZ90" s="71">
        <f t="shared" si="47"/>
        <v>0</v>
      </c>
      <c r="BA90" s="71">
        <f t="shared" si="47"/>
        <v>0</v>
      </c>
      <c r="BB90" s="69"/>
    </row>
    <row r="91" spans="1:54" ht="14.25" customHeight="1">
      <c r="A91" s="103"/>
      <c r="E91" s="83"/>
      <c r="H91" s="83"/>
      <c r="I91" s="132" t="s">
        <v>51</v>
      </c>
      <c r="J91" s="74">
        <f t="shared" ref="J91:BA91" si="48">COUNTIFS($E$5:$E$27,$E90,J$5:J$27,"Censored")</f>
        <v>0</v>
      </c>
      <c r="K91" s="74">
        <f t="shared" si="48"/>
        <v>0</v>
      </c>
      <c r="L91" s="74">
        <f t="shared" si="48"/>
        <v>0</v>
      </c>
      <c r="M91" s="74">
        <f t="shared" si="48"/>
        <v>0</v>
      </c>
      <c r="N91" s="74">
        <f t="shared" si="48"/>
        <v>0</v>
      </c>
      <c r="O91" s="74">
        <f t="shared" si="48"/>
        <v>0</v>
      </c>
      <c r="P91" s="74">
        <f t="shared" si="48"/>
        <v>0</v>
      </c>
      <c r="Q91" s="74">
        <f t="shared" si="48"/>
        <v>0</v>
      </c>
      <c r="R91" s="74">
        <f t="shared" si="48"/>
        <v>0</v>
      </c>
      <c r="S91" s="74">
        <f t="shared" si="48"/>
        <v>0</v>
      </c>
      <c r="T91" s="74">
        <f t="shared" si="48"/>
        <v>0</v>
      </c>
      <c r="U91" s="74">
        <f t="shared" si="48"/>
        <v>0</v>
      </c>
      <c r="V91" s="74">
        <f t="shared" si="48"/>
        <v>0</v>
      </c>
      <c r="W91" s="74">
        <f t="shared" si="48"/>
        <v>0</v>
      </c>
      <c r="X91" s="74">
        <f t="shared" si="48"/>
        <v>0</v>
      </c>
      <c r="Y91" s="74">
        <f t="shared" si="48"/>
        <v>0</v>
      </c>
      <c r="Z91" s="74">
        <f t="shared" si="48"/>
        <v>0</v>
      </c>
      <c r="AA91" s="74">
        <f t="shared" si="48"/>
        <v>0</v>
      </c>
      <c r="AB91" s="74">
        <f t="shared" si="48"/>
        <v>0</v>
      </c>
      <c r="AC91" s="74">
        <f t="shared" si="48"/>
        <v>0</v>
      </c>
      <c r="AD91" s="74">
        <f t="shared" si="48"/>
        <v>0</v>
      </c>
      <c r="AE91" s="74">
        <f t="shared" si="48"/>
        <v>0</v>
      </c>
      <c r="AF91" s="74">
        <f t="shared" si="48"/>
        <v>0</v>
      </c>
      <c r="AG91" s="74">
        <f t="shared" si="48"/>
        <v>0</v>
      </c>
      <c r="AH91" s="74">
        <f t="shared" si="48"/>
        <v>0</v>
      </c>
      <c r="AI91" s="74">
        <f t="shared" si="48"/>
        <v>0</v>
      </c>
      <c r="AJ91" s="74">
        <f t="shared" si="48"/>
        <v>0</v>
      </c>
      <c r="AK91" s="74">
        <f t="shared" si="48"/>
        <v>0</v>
      </c>
      <c r="AL91" s="74">
        <f t="shared" si="48"/>
        <v>0</v>
      </c>
      <c r="AM91" s="74">
        <f t="shared" si="48"/>
        <v>0</v>
      </c>
      <c r="AN91" s="74">
        <f t="shared" si="48"/>
        <v>0</v>
      </c>
      <c r="AO91" s="74">
        <f t="shared" si="48"/>
        <v>0</v>
      </c>
      <c r="AP91" s="74">
        <f t="shared" si="48"/>
        <v>0</v>
      </c>
      <c r="AQ91" s="74">
        <f t="shared" si="48"/>
        <v>0</v>
      </c>
      <c r="AR91" s="74">
        <f t="shared" si="48"/>
        <v>0</v>
      </c>
      <c r="AS91" s="74">
        <f t="shared" si="48"/>
        <v>0</v>
      </c>
      <c r="AT91" s="74">
        <f t="shared" si="48"/>
        <v>0</v>
      </c>
      <c r="AU91" s="74">
        <f t="shared" si="48"/>
        <v>0</v>
      </c>
      <c r="AV91" s="74">
        <f t="shared" si="48"/>
        <v>0</v>
      </c>
      <c r="AW91" s="74">
        <f t="shared" si="48"/>
        <v>0</v>
      </c>
      <c r="AX91" s="74">
        <f t="shared" si="48"/>
        <v>0</v>
      </c>
      <c r="AY91" s="74">
        <f t="shared" si="48"/>
        <v>0</v>
      </c>
      <c r="AZ91" s="74">
        <f t="shared" si="48"/>
        <v>0</v>
      </c>
      <c r="BA91" s="74">
        <f t="shared" si="48"/>
        <v>0</v>
      </c>
      <c r="BB91" s="69"/>
    </row>
    <row r="92" spans="1:54" ht="14.25" customHeight="1">
      <c r="A92" s="39"/>
      <c r="B92" s="38"/>
      <c r="C92" s="40"/>
      <c r="D92" s="38"/>
      <c r="E92" s="82"/>
      <c r="F92" s="64"/>
      <c r="G92" s="75"/>
      <c r="H92" s="83"/>
      <c r="I92" s="132" t="s">
        <v>53</v>
      </c>
      <c r="J92" s="67" t="e">
        <f>J90/(COUNTIFS($E$5:$E$27,$E90,J$5:J$27,"Alive")+COUNTIFS($E$5:$E$27,$E90,J$5:J$27,"Sacrificed")+COUNTIFS($E$5:$E$27,$E90,J$5:J$27,"Died"))</f>
        <v>#DIV/0!</v>
      </c>
      <c r="K92" s="67" t="e">
        <f t="shared" ref="K92:BA92" si="49">K90/(COUNTIFS($E$5:$E$27,$E90,K$5:K$27,"Alive")+COUNTIFS($E$5:$E$27,$E90,K$5:K$27,"Sacrificed")+COUNTIFS($E$5:$E$27,$E90,K$5:K$27,"Died"))*J92</f>
        <v>#DIV/0!</v>
      </c>
      <c r="L92" s="67" t="e">
        <f t="shared" si="49"/>
        <v>#DIV/0!</v>
      </c>
      <c r="M92" s="67" t="e">
        <f t="shared" si="49"/>
        <v>#DIV/0!</v>
      </c>
      <c r="N92" s="67" t="e">
        <f t="shared" si="49"/>
        <v>#DIV/0!</v>
      </c>
      <c r="O92" s="67" t="e">
        <f t="shared" si="49"/>
        <v>#DIV/0!</v>
      </c>
      <c r="P92" s="67" t="e">
        <f t="shared" si="49"/>
        <v>#DIV/0!</v>
      </c>
      <c r="Q92" s="67" t="e">
        <f t="shared" si="49"/>
        <v>#DIV/0!</v>
      </c>
      <c r="R92" s="67" t="e">
        <f t="shared" si="49"/>
        <v>#DIV/0!</v>
      </c>
      <c r="S92" s="67" t="e">
        <f t="shared" si="49"/>
        <v>#DIV/0!</v>
      </c>
      <c r="T92" s="67" t="e">
        <f t="shared" si="49"/>
        <v>#DIV/0!</v>
      </c>
      <c r="U92" s="67" t="e">
        <f t="shared" si="49"/>
        <v>#DIV/0!</v>
      </c>
      <c r="V92" s="67" t="e">
        <f t="shared" si="49"/>
        <v>#DIV/0!</v>
      </c>
      <c r="W92" s="67" t="e">
        <f t="shared" si="49"/>
        <v>#DIV/0!</v>
      </c>
      <c r="X92" s="67" t="e">
        <f t="shared" si="49"/>
        <v>#DIV/0!</v>
      </c>
      <c r="Y92" s="67" t="e">
        <f t="shared" si="49"/>
        <v>#DIV/0!</v>
      </c>
      <c r="Z92" s="67" t="e">
        <f t="shared" si="49"/>
        <v>#DIV/0!</v>
      </c>
      <c r="AA92" s="67" t="e">
        <f t="shared" si="49"/>
        <v>#DIV/0!</v>
      </c>
      <c r="AB92" s="67" t="e">
        <f t="shared" si="49"/>
        <v>#DIV/0!</v>
      </c>
      <c r="AC92" s="67" t="e">
        <f t="shared" si="49"/>
        <v>#DIV/0!</v>
      </c>
      <c r="AD92" s="67" t="e">
        <f t="shared" si="49"/>
        <v>#DIV/0!</v>
      </c>
      <c r="AE92" s="67" t="e">
        <f t="shared" si="49"/>
        <v>#DIV/0!</v>
      </c>
      <c r="AF92" s="67" t="e">
        <f t="shared" si="49"/>
        <v>#DIV/0!</v>
      </c>
      <c r="AG92" s="67" t="e">
        <f t="shared" si="49"/>
        <v>#DIV/0!</v>
      </c>
      <c r="AH92" s="67" t="e">
        <f t="shared" si="49"/>
        <v>#DIV/0!</v>
      </c>
      <c r="AI92" s="67" t="e">
        <f t="shared" si="49"/>
        <v>#DIV/0!</v>
      </c>
      <c r="AJ92" s="67" t="e">
        <f t="shared" si="49"/>
        <v>#DIV/0!</v>
      </c>
      <c r="AK92" s="67" t="e">
        <f t="shared" si="49"/>
        <v>#DIV/0!</v>
      </c>
      <c r="AL92" s="67" t="e">
        <f t="shared" si="49"/>
        <v>#DIV/0!</v>
      </c>
      <c r="AM92" s="67" t="e">
        <f t="shared" si="49"/>
        <v>#DIV/0!</v>
      </c>
      <c r="AN92" s="67" t="e">
        <f t="shared" si="49"/>
        <v>#DIV/0!</v>
      </c>
      <c r="AO92" s="67" t="e">
        <f t="shared" si="49"/>
        <v>#DIV/0!</v>
      </c>
      <c r="AP92" s="67" t="e">
        <f t="shared" si="49"/>
        <v>#DIV/0!</v>
      </c>
      <c r="AQ92" s="67" t="e">
        <f t="shared" si="49"/>
        <v>#DIV/0!</v>
      </c>
      <c r="AR92" s="67" t="e">
        <f t="shared" si="49"/>
        <v>#DIV/0!</v>
      </c>
      <c r="AS92" s="67" t="e">
        <f t="shared" si="49"/>
        <v>#DIV/0!</v>
      </c>
      <c r="AT92" s="67" t="e">
        <f t="shared" si="49"/>
        <v>#DIV/0!</v>
      </c>
      <c r="AU92" s="67" t="e">
        <f t="shared" si="49"/>
        <v>#DIV/0!</v>
      </c>
      <c r="AV92" s="67" t="e">
        <f t="shared" si="49"/>
        <v>#DIV/0!</v>
      </c>
      <c r="AW92" s="67" t="e">
        <f t="shared" si="49"/>
        <v>#DIV/0!</v>
      </c>
      <c r="AX92" s="67" t="e">
        <f t="shared" si="49"/>
        <v>#DIV/0!</v>
      </c>
      <c r="AY92" s="67" t="e">
        <f t="shared" si="49"/>
        <v>#DIV/0!</v>
      </c>
      <c r="AZ92" s="67" t="e">
        <f t="shared" si="49"/>
        <v>#DIV/0!</v>
      </c>
      <c r="BA92" s="67" t="e">
        <f t="shared" si="49"/>
        <v>#DIV/0!</v>
      </c>
      <c r="BB92" s="3"/>
    </row>
    <row r="94" spans="1:54" ht="14.25" customHeight="1">
      <c r="A94" s="103"/>
      <c r="E94" s="108" t="str">
        <f>'NAB_PTX Groups'!C21</f>
        <v>Group 16</v>
      </c>
      <c r="H94" s="108" t="str">
        <f>E94</f>
        <v>Group 16</v>
      </c>
      <c r="I94" s="132" t="s">
        <v>52</v>
      </c>
      <c r="J94" s="71">
        <f t="shared" ref="J94:BA94" si="50">COUNTIFS($E$5:$E$27,$E94,J$5:J$27,"Alive")</f>
        <v>0</v>
      </c>
      <c r="K94" s="71">
        <f t="shared" si="50"/>
        <v>0</v>
      </c>
      <c r="L94" s="71">
        <f t="shared" si="50"/>
        <v>0</v>
      </c>
      <c r="M94" s="71">
        <f t="shared" si="50"/>
        <v>0</v>
      </c>
      <c r="N94" s="71">
        <f t="shared" si="50"/>
        <v>0</v>
      </c>
      <c r="O94" s="71">
        <f t="shared" si="50"/>
        <v>0</v>
      </c>
      <c r="P94" s="71">
        <f t="shared" si="50"/>
        <v>0</v>
      </c>
      <c r="Q94" s="71">
        <f t="shared" si="50"/>
        <v>0</v>
      </c>
      <c r="R94" s="71">
        <f t="shared" si="50"/>
        <v>0</v>
      </c>
      <c r="S94" s="71">
        <f t="shared" si="50"/>
        <v>0</v>
      </c>
      <c r="T94" s="71">
        <f t="shared" si="50"/>
        <v>0</v>
      </c>
      <c r="U94" s="71">
        <f t="shared" si="50"/>
        <v>0</v>
      </c>
      <c r="V94" s="71">
        <f t="shared" si="50"/>
        <v>0</v>
      </c>
      <c r="W94" s="71">
        <f t="shared" si="50"/>
        <v>0</v>
      </c>
      <c r="X94" s="71">
        <f t="shared" si="50"/>
        <v>0</v>
      </c>
      <c r="Y94" s="71">
        <f t="shared" si="50"/>
        <v>0</v>
      </c>
      <c r="Z94" s="71">
        <f t="shared" si="50"/>
        <v>0</v>
      </c>
      <c r="AA94" s="71">
        <f t="shared" si="50"/>
        <v>0</v>
      </c>
      <c r="AB94" s="71">
        <f t="shared" si="50"/>
        <v>0</v>
      </c>
      <c r="AC94" s="71">
        <f t="shared" si="50"/>
        <v>0</v>
      </c>
      <c r="AD94" s="71">
        <f t="shared" si="50"/>
        <v>0</v>
      </c>
      <c r="AE94" s="71">
        <f t="shared" si="50"/>
        <v>0</v>
      </c>
      <c r="AF94" s="71">
        <f t="shared" si="50"/>
        <v>0</v>
      </c>
      <c r="AG94" s="71">
        <f t="shared" si="50"/>
        <v>0</v>
      </c>
      <c r="AH94" s="71">
        <f t="shared" si="50"/>
        <v>0</v>
      </c>
      <c r="AI94" s="71">
        <f t="shared" si="50"/>
        <v>0</v>
      </c>
      <c r="AJ94" s="71">
        <f t="shared" si="50"/>
        <v>0</v>
      </c>
      <c r="AK94" s="71">
        <f t="shared" si="50"/>
        <v>0</v>
      </c>
      <c r="AL94" s="71">
        <f t="shared" si="50"/>
        <v>0</v>
      </c>
      <c r="AM94" s="71">
        <f t="shared" si="50"/>
        <v>0</v>
      </c>
      <c r="AN94" s="71">
        <f t="shared" si="50"/>
        <v>0</v>
      </c>
      <c r="AO94" s="71">
        <f t="shared" si="50"/>
        <v>0</v>
      </c>
      <c r="AP94" s="71">
        <f t="shared" si="50"/>
        <v>0</v>
      </c>
      <c r="AQ94" s="71">
        <f t="shared" si="50"/>
        <v>0</v>
      </c>
      <c r="AR94" s="71">
        <f t="shared" si="50"/>
        <v>0</v>
      </c>
      <c r="AS94" s="71">
        <f t="shared" si="50"/>
        <v>0</v>
      </c>
      <c r="AT94" s="71">
        <f t="shared" si="50"/>
        <v>0</v>
      </c>
      <c r="AU94" s="71">
        <f t="shared" si="50"/>
        <v>0</v>
      </c>
      <c r="AV94" s="71">
        <f t="shared" si="50"/>
        <v>0</v>
      </c>
      <c r="AW94" s="71">
        <f t="shared" si="50"/>
        <v>0</v>
      </c>
      <c r="AX94" s="71">
        <f t="shared" si="50"/>
        <v>0</v>
      </c>
      <c r="AY94" s="71">
        <f t="shared" si="50"/>
        <v>0</v>
      </c>
      <c r="AZ94" s="71">
        <f t="shared" si="50"/>
        <v>0</v>
      </c>
      <c r="BA94" s="71">
        <f t="shared" si="50"/>
        <v>0</v>
      </c>
      <c r="BB94" s="69"/>
    </row>
    <row r="95" spans="1:54" ht="14.25" customHeight="1">
      <c r="A95" s="103"/>
      <c r="E95" s="83"/>
      <c r="H95" s="83"/>
      <c r="I95" s="132" t="s">
        <v>51</v>
      </c>
      <c r="J95" s="74">
        <f t="shared" ref="J95:BA95" si="51">COUNTIFS($E$5:$E$27,$E94,J$5:J$27,"Censored")</f>
        <v>0</v>
      </c>
      <c r="K95" s="74">
        <f t="shared" si="51"/>
        <v>0</v>
      </c>
      <c r="L95" s="74">
        <f t="shared" si="51"/>
        <v>0</v>
      </c>
      <c r="M95" s="74">
        <f t="shared" si="51"/>
        <v>0</v>
      </c>
      <c r="N95" s="74">
        <f t="shared" si="51"/>
        <v>0</v>
      </c>
      <c r="O95" s="74">
        <f t="shared" si="51"/>
        <v>0</v>
      </c>
      <c r="P95" s="74">
        <f t="shared" si="51"/>
        <v>0</v>
      </c>
      <c r="Q95" s="74">
        <f t="shared" si="51"/>
        <v>0</v>
      </c>
      <c r="R95" s="74">
        <f t="shared" si="51"/>
        <v>0</v>
      </c>
      <c r="S95" s="74">
        <f t="shared" si="51"/>
        <v>0</v>
      </c>
      <c r="T95" s="74">
        <f t="shared" si="51"/>
        <v>0</v>
      </c>
      <c r="U95" s="74">
        <f t="shared" si="51"/>
        <v>0</v>
      </c>
      <c r="V95" s="74">
        <f t="shared" si="51"/>
        <v>0</v>
      </c>
      <c r="W95" s="74">
        <f t="shared" si="51"/>
        <v>0</v>
      </c>
      <c r="X95" s="74">
        <f t="shared" si="51"/>
        <v>0</v>
      </c>
      <c r="Y95" s="74">
        <f t="shared" si="51"/>
        <v>0</v>
      </c>
      <c r="Z95" s="74">
        <f t="shared" si="51"/>
        <v>0</v>
      </c>
      <c r="AA95" s="74">
        <f t="shared" si="51"/>
        <v>0</v>
      </c>
      <c r="AB95" s="74">
        <f t="shared" si="51"/>
        <v>0</v>
      </c>
      <c r="AC95" s="74">
        <f t="shared" si="51"/>
        <v>0</v>
      </c>
      <c r="AD95" s="74">
        <f t="shared" si="51"/>
        <v>0</v>
      </c>
      <c r="AE95" s="74">
        <f t="shared" si="51"/>
        <v>0</v>
      </c>
      <c r="AF95" s="74">
        <f t="shared" si="51"/>
        <v>0</v>
      </c>
      <c r="AG95" s="74">
        <f t="shared" si="51"/>
        <v>0</v>
      </c>
      <c r="AH95" s="74">
        <f t="shared" si="51"/>
        <v>0</v>
      </c>
      <c r="AI95" s="74">
        <f t="shared" si="51"/>
        <v>0</v>
      </c>
      <c r="AJ95" s="74">
        <f t="shared" si="51"/>
        <v>0</v>
      </c>
      <c r="AK95" s="74">
        <f t="shared" si="51"/>
        <v>0</v>
      </c>
      <c r="AL95" s="74">
        <f t="shared" si="51"/>
        <v>0</v>
      </c>
      <c r="AM95" s="74">
        <f t="shared" si="51"/>
        <v>0</v>
      </c>
      <c r="AN95" s="74">
        <f t="shared" si="51"/>
        <v>0</v>
      </c>
      <c r="AO95" s="74">
        <f t="shared" si="51"/>
        <v>0</v>
      </c>
      <c r="AP95" s="74">
        <f t="shared" si="51"/>
        <v>0</v>
      </c>
      <c r="AQ95" s="74">
        <f t="shared" si="51"/>
        <v>0</v>
      </c>
      <c r="AR95" s="74">
        <f t="shared" si="51"/>
        <v>0</v>
      </c>
      <c r="AS95" s="74">
        <f t="shared" si="51"/>
        <v>0</v>
      </c>
      <c r="AT95" s="74">
        <f t="shared" si="51"/>
        <v>0</v>
      </c>
      <c r="AU95" s="74">
        <f t="shared" si="51"/>
        <v>0</v>
      </c>
      <c r="AV95" s="74">
        <f t="shared" si="51"/>
        <v>0</v>
      </c>
      <c r="AW95" s="74">
        <f t="shared" si="51"/>
        <v>0</v>
      </c>
      <c r="AX95" s="74">
        <f t="shared" si="51"/>
        <v>0</v>
      </c>
      <c r="AY95" s="74">
        <f t="shared" si="51"/>
        <v>0</v>
      </c>
      <c r="AZ95" s="74">
        <f t="shared" si="51"/>
        <v>0</v>
      </c>
      <c r="BA95" s="74">
        <f t="shared" si="51"/>
        <v>0</v>
      </c>
      <c r="BB95" s="69"/>
    </row>
    <row r="96" spans="1:54" ht="14.25" customHeight="1">
      <c r="A96" s="39"/>
      <c r="B96" s="38"/>
      <c r="C96" s="40"/>
      <c r="D96" s="38"/>
      <c r="E96" s="82"/>
      <c r="F96" s="64"/>
      <c r="G96" s="75"/>
      <c r="H96" s="83"/>
      <c r="I96" s="132" t="s">
        <v>53</v>
      </c>
      <c r="J96" s="67" t="e">
        <f>J94/(COUNTIFS($E$5:$E$27,$E94,J$5:J$27,"Alive")+COUNTIFS($E$5:$E$27,$E94,J$5:J$27,"Sacrificed")+COUNTIFS($E$5:$E$27,$E94,J$5:J$27,"Died"))</f>
        <v>#DIV/0!</v>
      </c>
      <c r="K96" s="67" t="e">
        <f t="shared" ref="K96:BA96" si="52">K94/(COUNTIFS($E$5:$E$27,$E94,K$5:K$27,"Alive")+COUNTIFS($E$5:$E$27,$E94,K$5:K$27,"Sacrificed")+COUNTIFS($E$5:$E$27,$E94,K$5:K$27,"Died"))*J96</f>
        <v>#DIV/0!</v>
      </c>
      <c r="L96" s="67" t="e">
        <f t="shared" si="52"/>
        <v>#DIV/0!</v>
      </c>
      <c r="M96" s="67" t="e">
        <f t="shared" si="52"/>
        <v>#DIV/0!</v>
      </c>
      <c r="N96" s="67" t="e">
        <f t="shared" si="52"/>
        <v>#DIV/0!</v>
      </c>
      <c r="O96" s="67" t="e">
        <f t="shared" si="52"/>
        <v>#DIV/0!</v>
      </c>
      <c r="P96" s="67" t="e">
        <f t="shared" si="52"/>
        <v>#DIV/0!</v>
      </c>
      <c r="Q96" s="67" t="e">
        <f t="shared" si="52"/>
        <v>#DIV/0!</v>
      </c>
      <c r="R96" s="67" t="e">
        <f t="shared" si="52"/>
        <v>#DIV/0!</v>
      </c>
      <c r="S96" s="67" t="e">
        <f t="shared" si="52"/>
        <v>#DIV/0!</v>
      </c>
      <c r="T96" s="67" t="e">
        <f t="shared" si="52"/>
        <v>#DIV/0!</v>
      </c>
      <c r="U96" s="67" t="e">
        <f t="shared" si="52"/>
        <v>#DIV/0!</v>
      </c>
      <c r="V96" s="67" t="e">
        <f t="shared" si="52"/>
        <v>#DIV/0!</v>
      </c>
      <c r="W96" s="67" t="e">
        <f t="shared" si="52"/>
        <v>#DIV/0!</v>
      </c>
      <c r="X96" s="67" t="e">
        <f t="shared" si="52"/>
        <v>#DIV/0!</v>
      </c>
      <c r="Y96" s="67" t="e">
        <f t="shared" si="52"/>
        <v>#DIV/0!</v>
      </c>
      <c r="Z96" s="67" t="e">
        <f t="shared" si="52"/>
        <v>#DIV/0!</v>
      </c>
      <c r="AA96" s="67" t="e">
        <f t="shared" si="52"/>
        <v>#DIV/0!</v>
      </c>
      <c r="AB96" s="67" t="e">
        <f t="shared" si="52"/>
        <v>#DIV/0!</v>
      </c>
      <c r="AC96" s="67" t="e">
        <f t="shared" si="52"/>
        <v>#DIV/0!</v>
      </c>
      <c r="AD96" s="67" t="e">
        <f t="shared" si="52"/>
        <v>#DIV/0!</v>
      </c>
      <c r="AE96" s="67" t="e">
        <f t="shared" si="52"/>
        <v>#DIV/0!</v>
      </c>
      <c r="AF96" s="67" t="e">
        <f t="shared" si="52"/>
        <v>#DIV/0!</v>
      </c>
      <c r="AG96" s="67" t="e">
        <f t="shared" si="52"/>
        <v>#DIV/0!</v>
      </c>
      <c r="AH96" s="67" t="e">
        <f t="shared" si="52"/>
        <v>#DIV/0!</v>
      </c>
      <c r="AI96" s="67" t="e">
        <f t="shared" si="52"/>
        <v>#DIV/0!</v>
      </c>
      <c r="AJ96" s="67" t="e">
        <f t="shared" si="52"/>
        <v>#DIV/0!</v>
      </c>
      <c r="AK96" s="67" t="e">
        <f t="shared" si="52"/>
        <v>#DIV/0!</v>
      </c>
      <c r="AL96" s="67" t="e">
        <f t="shared" si="52"/>
        <v>#DIV/0!</v>
      </c>
      <c r="AM96" s="67" t="e">
        <f t="shared" si="52"/>
        <v>#DIV/0!</v>
      </c>
      <c r="AN96" s="67" t="e">
        <f t="shared" si="52"/>
        <v>#DIV/0!</v>
      </c>
      <c r="AO96" s="67" t="e">
        <f t="shared" si="52"/>
        <v>#DIV/0!</v>
      </c>
      <c r="AP96" s="67" t="e">
        <f t="shared" si="52"/>
        <v>#DIV/0!</v>
      </c>
      <c r="AQ96" s="67" t="e">
        <f t="shared" si="52"/>
        <v>#DIV/0!</v>
      </c>
      <c r="AR96" s="67" t="e">
        <f t="shared" si="52"/>
        <v>#DIV/0!</v>
      </c>
      <c r="AS96" s="67" t="e">
        <f t="shared" si="52"/>
        <v>#DIV/0!</v>
      </c>
      <c r="AT96" s="67" t="e">
        <f t="shared" si="52"/>
        <v>#DIV/0!</v>
      </c>
      <c r="AU96" s="67" t="e">
        <f t="shared" si="52"/>
        <v>#DIV/0!</v>
      </c>
      <c r="AV96" s="67" t="e">
        <f t="shared" si="52"/>
        <v>#DIV/0!</v>
      </c>
      <c r="AW96" s="67" t="e">
        <f t="shared" si="52"/>
        <v>#DIV/0!</v>
      </c>
      <c r="AX96" s="67" t="e">
        <f t="shared" si="52"/>
        <v>#DIV/0!</v>
      </c>
      <c r="AY96" s="67" t="e">
        <f t="shared" si="52"/>
        <v>#DIV/0!</v>
      </c>
      <c r="AZ96" s="67" t="e">
        <f t="shared" si="52"/>
        <v>#DIV/0!</v>
      </c>
      <c r="BA96" s="67" t="e">
        <f t="shared" si="52"/>
        <v>#DIV/0!</v>
      </c>
      <c r="BB96" s="3"/>
    </row>
  </sheetData>
  <autoFilter ref="A4:BA27" xr:uid="{00000000-0009-0000-0000-000003000000}">
    <sortState xmlns:xlrd2="http://schemas.microsoft.com/office/spreadsheetml/2017/richdata2" ref="A5:AQ27">
      <sortCondition ref="B4:B27"/>
    </sortState>
  </autoFilter>
  <mergeCells count="2">
    <mergeCell ref="F2:G2"/>
    <mergeCell ref="H30:H32"/>
  </mergeCells>
  <dataValidations count="2">
    <dataValidation type="list" allowBlank="1" showInputMessage="1" showErrorMessage="1" sqref="E34:E1048576 E5:E27" xr:uid="{00000000-0002-0000-0300-000001000000}">
      <formula1>Groups</formula1>
    </dataValidation>
    <dataValidation type="list" allowBlank="1" showInputMessage="1" showErrorMessage="1" sqref="J5:BA27" xr:uid="{00000000-0002-0000-0300-000000000000}">
      <formula1>"Alive,Sacrificed,Censored,Died"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"/>
  <sheetViews>
    <sheetView workbookViewId="0">
      <selection activeCell="M23" sqref="M23"/>
    </sheetView>
  </sheetViews>
  <sheetFormatPr defaultRowHeight="15"/>
  <cols>
    <col min="1" max="1" width="9.140625" style="103"/>
    <col min="2" max="2" width="7.140625" style="104" customWidth="1"/>
    <col min="3" max="3" width="28.85546875" style="103" bestFit="1" customWidth="1"/>
    <col min="4" max="4" width="3.5703125" style="103" customWidth="1"/>
    <col min="5" max="5" width="9.140625" style="103"/>
    <col min="6" max="7" width="9.140625" style="107"/>
    <col min="8" max="9" width="10" style="107" customWidth="1"/>
    <col min="10" max="10" width="11.85546875" style="103" customWidth="1"/>
    <col min="11" max="11" width="11.140625" style="103" customWidth="1"/>
    <col min="12" max="16384" width="9.140625" style="103"/>
  </cols>
  <sheetData>
    <row r="1" spans="1:11" ht="27">
      <c r="A1" s="357" t="s">
        <v>80</v>
      </c>
      <c r="B1" s="357"/>
      <c r="C1" s="357"/>
      <c r="D1" s="357"/>
      <c r="E1" s="357"/>
    </row>
    <row r="2" spans="1:11" ht="24" thickBot="1">
      <c r="A2" s="358" t="s">
        <v>27</v>
      </c>
      <c r="B2" s="358"/>
      <c r="C2" s="358"/>
      <c r="D2" s="358"/>
      <c r="E2" s="358"/>
    </row>
    <row r="3" spans="1:11" s="106" customFormat="1">
      <c r="B3" s="105"/>
      <c r="F3" s="362"/>
      <c r="G3" s="362"/>
      <c r="H3" s="362"/>
      <c r="I3" s="362"/>
    </row>
    <row r="4" spans="1:11" ht="33.75" customHeight="1">
      <c r="F4" s="359" t="s">
        <v>46</v>
      </c>
      <c r="G4" s="361"/>
      <c r="H4" s="360" t="s">
        <v>44</v>
      </c>
      <c r="I4" s="361"/>
      <c r="J4" s="359" t="s">
        <v>45</v>
      </c>
      <c r="K4" s="359"/>
    </row>
    <row r="5" spans="1:11">
      <c r="B5" s="105" t="s">
        <v>26</v>
      </c>
      <c r="C5" s="106" t="s">
        <v>47</v>
      </c>
      <c r="E5" s="105" t="s">
        <v>26</v>
      </c>
      <c r="F5" s="137" t="s">
        <v>28</v>
      </c>
      <c r="G5" s="138" t="s">
        <v>29</v>
      </c>
      <c r="H5" s="141" t="s">
        <v>28</v>
      </c>
      <c r="I5" s="138" t="s">
        <v>29</v>
      </c>
      <c r="J5" s="133" t="s">
        <v>28</v>
      </c>
      <c r="K5" s="133" t="s">
        <v>29</v>
      </c>
    </row>
    <row r="6" spans="1:11">
      <c r="B6" s="104">
        <v>1</v>
      </c>
      <c r="C6" s="103" t="s">
        <v>62</v>
      </c>
      <c r="E6" s="109">
        <f>COUNTIF('NAB_PTX Tumor Volume'!E$5:E$27,'NAB_PTX Groups'!C6)</f>
        <v>6</v>
      </c>
      <c r="F6" s="139">
        <f>AVERAGEIF('NAB_PTX Body Weight'!E$5:E$27,'NAB_PTX Groups'!C6,'NAB_PTX Body Weight'!N$5:N$27)</f>
        <v>30.066666666666663</v>
      </c>
      <c r="G6" s="140">
        <f t="array" ref="G6">_xlfn.STDEV.P(IF('NAB_PTX Body Weight'!E$5:E$27='NAB_PTX Groups'!C6,'NAB_PTX Body Weight'!N$5:N$27))</f>
        <v>2.2617593938249834</v>
      </c>
      <c r="H6" s="142">
        <f>AVERAGEIF('NAB_PTX Tumor Volume'!E$5:E$27,'NAB_PTX Groups'!C6,'NAB_PTX Tumor Volume'!M$5:M$27)</f>
        <v>126.71958000000001</v>
      </c>
      <c r="I6" s="140">
        <f t="array" ref="I6">_xlfn.STDEV.P(IF('NAB_PTX Tumor Volume'!E$5:E$27='NAB_PTX Groups'!C6,'NAB_PTX Tumor Volume'!M$5:M$27))</f>
        <v>43.974864255376581</v>
      </c>
      <c r="J6" s="129">
        <f>AVERAGEIF('NAB_PTX Tumor Volume'!E$5:E$27,'NAB_PTX Groups'!C6,'NAB_PTX Tumor Volume'!Q$5:Q$27)</f>
        <v>0</v>
      </c>
      <c r="K6" s="129">
        <f t="array" ref="K6">_xlfn.STDEV.P(IF('NAB_PTX Tumor Volume'!E$5:E$27='NAB_PTX Groups'!C6,'NAB_PTX Tumor Volume'!Q$5:Q$27))</f>
        <v>0</v>
      </c>
    </row>
    <row r="7" spans="1:11" ht="17.25">
      <c r="B7" s="104">
        <v>2</v>
      </c>
      <c r="C7" s="103" t="s">
        <v>73</v>
      </c>
      <c r="E7" s="109">
        <f>COUNTIF('NAB_PTX Tumor Volume'!E$5:E$27,'NAB_PTX Groups'!C7)</f>
        <v>6</v>
      </c>
      <c r="F7" s="139">
        <f>AVERAGEIF('NAB_PTX Body Weight'!E$5:E$27,'NAB_PTX Groups'!C7,'NAB_PTX Body Weight'!N$5:N$27)</f>
        <v>28.650000000000002</v>
      </c>
      <c r="G7" s="140">
        <f t="array" ref="G7">_xlfn.STDEV.P(IF('NAB_PTX Body Weight'!E$5:E$27='NAB_PTX Groups'!C7,'NAB_PTX Body Weight'!N$5:N$27))</f>
        <v>1.6101242188104619</v>
      </c>
      <c r="H7" s="142">
        <f>AVERAGEIF('NAB_PTX Tumor Volume'!E$5:E$27,'NAB_PTX Groups'!C7,'NAB_PTX Tumor Volume'!M$5:M$27)</f>
        <v>150.13353333333333</v>
      </c>
      <c r="I7" s="140">
        <f t="array" ref="I7">_xlfn.STDEV.P(IF('NAB_PTX Tumor Volume'!E$5:E$27='NAB_PTX Groups'!C7,'NAB_PTX Tumor Volume'!M$5:M$27))</f>
        <v>37.089302237503645</v>
      </c>
      <c r="J7" s="129">
        <f>AVERAGEIF('NAB_PTX Tumor Volume'!E$5:E$27,'NAB_PTX Groups'!C7,'NAB_PTX Tumor Volume'!Q$5:Q$27)</f>
        <v>8.1838288291091494</v>
      </c>
      <c r="K7" s="129">
        <f t="array" ref="K7">_xlfn.STDEV.P(IF('NAB_PTX Tumor Volume'!E$5:E$27='NAB_PTX Groups'!C7,'NAB_PTX Tumor Volume'!Q$5:Q$27))</f>
        <v>1.3306175425050095</v>
      </c>
    </row>
    <row r="8" spans="1:11">
      <c r="B8" s="104">
        <v>3</v>
      </c>
      <c r="C8" s="103" t="s">
        <v>64</v>
      </c>
      <c r="E8" s="109">
        <f>COUNTIF('NAB_PTX Tumor Volume'!E$5:E$27,'NAB_PTX Groups'!C8)</f>
        <v>5</v>
      </c>
      <c r="F8" s="139">
        <f>AVERAGEIF('NAB_PTX Body Weight'!E$5:E$27,'NAB_PTX Groups'!C8,'NAB_PTX Body Weight'!N$5:N$27)</f>
        <v>28.879999999999995</v>
      </c>
      <c r="G8" s="140">
        <f t="array" ref="G8">_xlfn.STDEV.P(IF('NAB_PTX Body Weight'!E$5:E$27='NAB_PTX Groups'!C8,'NAB_PTX Body Weight'!N$5:N$27))</f>
        <v>2.8861046412075906</v>
      </c>
      <c r="H8" s="142">
        <f>AVERAGEIF('NAB_PTX Tumor Volume'!E$5:E$27,'NAB_PTX Groups'!C8,'NAB_PTX Tumor Volume'!M$5:M$27)</f>
        <v>103.98003200000001</v>
      </c>
      <c r="I8" s="140">
        <f t="array" ref="I8">_xlfn.STDEV.P(IF('NAB_PTX Tumor Volume'!E$5:E$27='NAB_PTX Groups'!C8,'NAB_PTX Tumor Volume'!M$5:M$27))</f>
        <v>21.032818762342185</v>
      </c>
      <c r="J8" s="129">
        <f>AVERAGEIF('NAB_PTX Tumor Volume'!E$5:E$27,'NAB_PTX Groups'!C8,'NAB_PTX Tumor Volume'!Q$5:Q$27)</f>
        <v>0</v>
      </c>
      <c r="K8" s="129">
        <f t="array" ref="K8">_xlfn.STDEV.P(IF('NAB_PTX Tumor Volume'!E$5:E$27='NAB_PTX Groups'!C8,'NAB_PTX Tumor Volume'!Q$5:Q$27))</f>
        <v>0</v>
      </c>
    </row>
    <row r="9" spans="1:11">
      <c r="B9" s="104">
        <v>4</v>
      </c>
      <c r="C9" s="103" t="s">
        <v>61</v>
      </c>
      <c r="E9" s="109">
        <f>COUNTIF('NAB_PTX Tumor Volume'!E$5:E$27,'NAB_PTX Groups'!C9)</f>
        <v>6</v>
      </c>
      <c r="F9" s="139">
        <f>AVERAGEIF('NAB_PTX Body Weight'!E$5:E$27,'NAB_PTX Groups'!C9,'NAB_PTX Body Weight'!N$5:N$27)</f>
        <v>28.316666666666666</v>
      </c>
      <c r="G9" s="140">
        <f t="array" ref="G9">_xlfn.STDEV.P(IF('NAB_PTX Body Weight'!E$5:E$27='NAB_PTX Groups'!C9,'NAB_PTX Body Weight'!N$5:N$27))</f>
        <v>2.6822979368858744</v>
      </c>
      <c r="H9" s="142">
        <f>AVERAGEIF('NAB_PTX Tumor Volume'!E$5:E$27,'NAB_PTX Groups'!C9,'NAB_PTX Tumor Volume'!M$5:M$27)</f>
        <v>122.29082666666669</v>
      </c>
      <c r="I9" s="140">
        <f t="array" ref="I9">_xlfn.STDEV.P(IF('NAB_PTX Tumor Volume'!E$5:E$27='NAB_PTX Groups'!C9,'NAB_PTX Tumor Volume'!M$5:M$27))</f>
        <v>21.83607635829194</v>
      </c>
      <c r="J9" s="129">
        <f>AVERAGEIF('NAB_PTX Tumor Volume'!E$5:E$27,'NAB_PTX Groups'!C9,'NAB_PTX Tumor Volume'!Q$5:Q$27)</f>
        <v>9.4304922352930998</v>
      </c>
      <c r="K9" s="129">
        <f t="array" ref="K9">_xlfn.STDEV.P(IF('NAB_PTX Tumor Volume'!E$5:E$27='NAB_PTX Groups'!C9,'NAB_PTX Tumor Volume'!Q$5:Q$27))</f>
        <v>0.84293673667785707</v>
      </c>
    </row>
    <row r="10" spans="1:11">
      <c r="B10" s="104">
        <v>5</v>
      </c>
      <c r="C10" s="103" t="s">
        <v>74</v>
      </c>
      <c r="E10" s="109">
        <f>COUNTIF('NAB_PTX Tumor Volume'!E$5:E$27,'NAB_PTX Groups'!C10)</f>
        <v>0</v>
      </c>
      <c r="F10" s="139" t="e">
        <f>AVERAGEIF('NAB_PTX Body Weight'!E$5:E$27,'NAB_PTX Groups'!C10,'NAB_PTX Body Weight'!N$5:N$27)</f>
        <v>#DIV/0!</v>
      </c>
      <c r="G10" s="140" t="e">
        <f t="array" ref="G10">_xlfn.STDEV.P(IF('NAB_PTX Body Weight'!E$5:E$27='NAB_PTX Groups'!C10,'NAB_PTX Body Weight'!N$5:N$27))</f>
        <v>#DIV/0!</v>
      </c>
      <c r="H10" s="142" t="e">
        <f>AVERAGEIF('NAB_PTX Tumor Volume'!E$5:E$27,'NAB_PTX Groups'!C10,'NAB_PTX Tumor Volume'!M$5:M$27)</f>
        <v>#DIV/0!</v>
      </c>
      <c r="I10" s="140" t="e">
        <f t="array" ref="I10">_xlfn.STDEV.P(IF('NAB_PTX Tumor Volume'!E$5:E$27='NAB_PTX Groups'!C10,'NAB_PTX Tumor Volume'!M$5:M$27))</f>
        <v>#DIV/0!</v>
      </c>
      <c r="J10" s="129" t="e">
        <f>AVERAGEIF('NAB_PTX Tumor Volume'!E$5:E$27,'NAB_PTX Groups'!C10,'NAB_PTX Tumor Volume'!Q$5:Q$27)</f>
        <v>#DIV/0!</v>
      </c>
      <c r="K10" s="129" t="e">
        <f t="array" ref="K10">_xlfn.STDEV.P(IF('NAB_PTX Tumor Volume'!E$5:E$27='NAB_PTX Groups'!C10,'NAB_PTX Tumor Volume'!Q$5:Q$27))</f>
        <v>#DIV/0!</v>
      </c>
    </row>
    <row r="11" spans="1:11">
      <c r="B11" s="104">
        <v>6</v>
      </c>
      <c r="C11" s="103" t="s">
        <v>75</v>
      </c>
      <c r="E11" s="109">
        <f>COUNTIF('NAB_PTX Tumor Volume'!E$5:E$27,'NAB_PTX Groups'!C11)</f>
        <v>0</v>
      </c>
      <c r="F11" s="139" t="e">
        <f>AVERAGEIF('NAB_PTX Body Weight'!E$5:E$27,'NAB_PTX Groups'!C11,'NAB_PTX Body Weight'!N$5:N$27)</f>
        <v>#DIV/0!</v>
      </c>
      <c r="G11" s="140" t="e">
        <f t="array" ref="G11">_xlfn.STDEV.P(IF('NAB_PTX Body Weight'!E$5:E$27='NAB_PTX Groups'!C11,'NAB_PTX Body Weight'!N$5:N$27))</f>
        <v>#DIV/0!</v>
      </c>
      <c r="H11" s="142" t="e">
        <f>AVERAGEIF('NAB_PTX Tumor Volume'!E$5:E$27,'NAB_PTX Groups'!C11,'NAB_PTX Tumor Volume'!M$5:M$27)</f>
        <v>#DIV/0!</v>
      </c>
      <c r="I11" s="140" t="e">
        <f t="array" ref="I11">_xlfn.STDEV.P(IF('NAB_PTX Tumor Volume'!E$5:E$27='NAB_PTX Groups'!C11,'NAB_PTX Tumor Volume'!M$5:M$27))</f>
        <v>#DIV/0!</v>
      </c>
      <c r="J11" s="129" t="e">
        <f>AVERAGEIF('NAB_PTX Tumor Volume'!E$5:E$27,'NAB_PTX Groups'!C11,'NAB_PTX Tumor Volume'!Q$5:Q$27)</f>
        <v>#DIV/0!</v>
      </c>
      <c r="K11" s="129" t="e">
        <f t="array" ref="K11">_xlfn.STDEV.P(IF('NAB_PTX Tumor Volume'!E$5:E$27='NAB_PTX Groups'!C11,'NAB_PTX Tumor Volume'!Q$5:Q$27))</f>
        <v>#DIV/0!</v>
      </c>
    </row>
    <row r="12" spans="1:11">
      <c r="B12" s="104">
        <v>7</v>
      </c>
      <c r="C12" s="103" t="s">
        <v>76</v>
      </c>
      <c r="E12" s="109">
        <f>COUNTIF('NAB_PTX Tumor Volume'!E$5:E$27,'NAB_PTX Groups'!C12)</f>
        <v>0</v>
      </c>
      <c r="F12" s="139" t="e">
        <f>AVERAGEIF('NAB_PTX Body Weight'!E$5:E$27,'NAB_PTX Groups'!C12,'NAB_PTX Body Weight'!N$5:N$27)</f>
        <v>#DIV/0!</v>
      </c>
      <c r="G12" s="140" t="e">
        <f t="array" ref="G12">_xlfn.STDEV.P(IF('NAB_PTX Body Weight'!E$5:E$27='NAB_PTX Groups'!C12,'NAB_PTX Body Weight'!N$5:N$27))</f>
        <v>#DIV/0!</v>
      </c>
      <c r="H12" s="142" t="e">
        <f>AVERAGEIF('NAB_PTX Tumor Volume'!E$5:E$27,'NAB_PTX Groups'!C12,'NAB_PTX Tumor Volume'!M$5:M$27)</f>
        <v>#DIV/0!</v>
      </c>
      <c r="I12" s="140" t="e">
        <f t="array" ref="I12">_xlfn.STDEV.P(IF('NAB_PTX Tumor Volume'!E$5:E$27='NAB_PTX Groups'!C12,'NAB_PTX Tumor Volume'!M$5:M$27))</f>
        <v>#DIV/0!</v>
      </c>
      <c r="J12" s="129" t="e">
        <f>AVERAGEIF('NAB_PTX Tumor Volume'!E$5:E$27,'NAB_PTX Groups'!C12,'NAB_PTX Tumor Volume'!Q$5:Q$27)</f>
        <v>#DIV/0!</v>
      </c>
      <c r="K12" s="129" t="e">
        <f t="array" ref="K12">_xlfn.STDEV.P(IF('NAB_PTX Tumor Volume'!E$5:E$27='NAB_PTX Groups'!C12,'NAB_PTX Tumor Volume'!Q$5:Q$27))</f>
        <v>#DIV/0!</v>
      </c>
    </row>
    <row r="13" spans="1:11">
      <c r="B13" s="104">
        <v>8</v>
      </c>
      <c r="C13" s="103" t="s">
        <v>77</v>
      </c>
      <c r="E13" s="109">
        <f>COUNTIF('NAB_PTX Tumor Volume'!E$5:E$27,'NAB_PTX Groups'!C13)</f>
        <v>0</v>
      </c>
      <c r="F13" s="139" t="e">
        <f>AVERAGEIF('NAB_PTX Body Weight'!E$5:E$27,'NAB_PTX Groups'!C13,'NAB_PTX Body Weight'!N$5:N$27)</f>
        <v>#DIV/0!</v>
      </c>
      <c r="G13" s="140" t="e">
        <f t="array" ref="G13">_xlfn.STDEV.P(IF('NAB_PTX Body Weight'!E$5:E$27='NAB_PTX Groups'!C13,'NAB_PTX Body Weight'!N$5:N$27))</f>
        <v>#DIV/0!</v>
      </c>
      <c r="H13" s="142" t="e">
        <f>AVERAGEIF('NAB_PTX Tumor Volume'!E$5:E$27,'NAB_PTX Groups'!C13,'NAB_PTX Tumor Volume'!M$5:M$27)</f>
        <v>#DIV/0!</v>
      </c>
      <c r="I13" s="140" t="e">
        <f t="array" ref="I13">_xlfn.STDEV.P(IF('NAB_PTX Tumor Volume'!E$5:E$27='NAB_PTX Groups'!C13,'NAB_PTX Tumor Volume'!M$5:M$27))</f>
        <v>#DIV/0!</v>
      </c>
      <c r="J13" s="129" t="e">
        <f>AVERAGEIF('NAB_PTX Tumor Volume'!E$5:E$27,'NAB_PTX Groups'!C13,'NAB_PTX Tumor Volume'!Q$5:Q$27)</f>
        <v>#DIV/0!</v>
      </c>
      <c r="K13" s="129" t="e">
        <f t="array" ref="K13">_xlfn.STDEV.P(IF('NAB_PTX Tumor Volume'!E$5:E$27='NAB_PTX Groups'!C13,'NAB_PTX Tumor Volume'!Q$5:Q$27))</f>
        <v>#DIV/0!</v>
      </c>
    </row>
    <row r="14" spans="1:11">
      <c r="B14" s="104">
        <v>9</v>
      </c>
      <c r="C14" s="103" t="s">
        <v>78</v>
      </c>
      <c r="E14" s="109">
        <f>COUNTIF('NAB_PTX Tumor Volume'!E$5:E$27,'NAB_PTX Groups'!C14)</f>
        <v>0</v>
      </c>
      <c r="F14" s="139" t="e">
        <f>AVERAGEIF('NAB_PTX Body Weight'!E$5:E$27,'NAB_PTX Groups'!C14,'NAB_PTX Body Weight'!N$5:N$27)</f>
        <v>#DIV/0!</v>
      </c>
      <c r="G14" s="140" t="e">
        <f t="array" ref="G14">_xlfn.STDEV.P(IF('NAB_PTX Body Weight'!E$5:E$27='NAB_PTX Groups'!C14,'NAB_PTX Body Weight'!N$5:N$27))</f>
        <v>#DIV/0!</v>
      </c>
      <c r="H14" s="142" t="e">
        <f>AVERAGEIF('NAB_PTX Tumor Volume'!E$5:E$27,'NAB_PTX Groups'!C14,'NAB_PTX Tumor Volume'!M$5:M$27)</f>
        <v>#DIV/0!</v>
      </c>
      <c r="I14" s="140" t="e">
        <f t="array" ref="I14">_xlfn.STDEV.P(IF('NAB_PTX Tumor Volume'!E$5:E$27='NAB_PTX Groups'!C14,'NAB_PTX Tumor Volume'!M$5:M$27))</f>
        <v>#DIV/0!</v>
      </c>
      <c r="J14" s="129" t="e">
        <f>AVERAGEIF('NAB_PTX Tumor Volume'!E$5:E$27,'NAB_PTX Groups'!C14,'NAB_PTX Tumor Volume'!Q$5:Q$27)</f>
        <v>#DIV/0!</v>
      </c>
      <c r="K14" s="129" t="e">
        <f t="array" ref="K14">_xlfn.STDEV.P(IF('NAB_PTX Tumor Volume'!E$5:E$27='NAB_PTX Groups'!C14,'NAB_PTX Tumor Volume'!Q$5:Q$27))</f>
        <v>#DIV/0!</v>
      </c>
    </row>
    <row r="15" spans="1:11">
      <c r="B15" s="104">
        <v>10</v>
      </c>
      <c r="C15" s="103" t="s">
        <v>60</v>
      </c>
      <c r="E15" s="109">
        <f>COUNTIF('NAB_PTX Tumor Volume'!E$5:E$27,'NAB_PTX Groups'!C15)</f>
        <v>0</v>
      </c>
      <c r="F15" s="139" t="e">
        <f>AVERAGEIF('NAB_PTX Body Weight'!E$5:E$27,'NAB_PTX Groups'!C15,'NAB_PTX Body Weight'!N$5:N$27)</f>
        <v>#DIV/0!</v>
      </c>
      <c r="G15" s="140" t="e">
        <f t="array" ref="G15">_xlfn.STDEV.P(IF('NAB_PTX Body Weight'!E$5:E$27='NAB_PTX Groups'!C15,'NAB_PTX Body Weight'!N$5:N$27))</f>
        <v>#DIV/0!</v>
      </c>
      <c r="H15" s="142" t="e">
        <f>AVERAGEIF('NAB_PTX Tumor Volume'!E$5:E$27,'NAB_PTX Groups'!C15,'NAB_PTX Tumor Volume'!M$5:M$27)</f>
        <v>#DIV/0!</v>
      </c>
      <c r="I15" s="140" t="e">
        <f t="array" ref="I15">_xlfn.STDEV.P(IF('NAB_PTX Tumor Volume'!E$5:E$27='NAB_PTX Groups'!C15,'NAB_PTX Tumor Volume'!M$5:M$27))</f>
        <v>#DIV/0!</v>
      </c>
      <c r="J15" s="129" t="e">
        <f>AVERAGEIF('NAB_PTX Tumor Volume'!E$5:E$27,'NAB_PTX Groups'!C15,'NAB_PTX Tumor Volume'!Q$5:Q$27)</f>
        <v>#DIV/0!</v>
      </c>
      <c r="K15" s="129" t="e">
        <f t="array" ref="K15">_xlfn.STDEV.P(IF('NAB_PTX Tumor Volume'!E$5:E$27='NAB_PTX Groups'!C15,'NAB_PTX Tumor Volume'!Q$5:Q$27))</f>
        <v>#DIV/0!</v>
      </c>
    </row>
    <row r="16" spans="1:11">
      <c r="B16" s="104">
        <v>11</v>
      </c>
      <c r="C16" s="103" t="s">
        <v>38</v>
      </c>
      <c r="E16" s="109">
        <f>COUNTIF('NAB_PTX Tumor Volume'!E$5:E$27,'NAB_PTX Groups'!C16)</f>
        <v>0</v>
      </c>
      <c r="F16" s="139" t="e">
        <f>AVERAGEIF('NAB_PTX Body Weight'!E$5:E$27,'NAB_PTX Groups'!C16,'NAB_PTX Body Weight'!N$5:N$27)</f>
        <v>#DIV/0!</v>
      </c>
      <c r="G16" s="140" t="e">
        <f t="array" ref="G16">_xlfn.STDEV.P(IF('NAB_PTX Body Weight'!E$5:E$27='NAB_PTX Groups'!C16,'NAB_PTX Body Weight'!N$5:N$27))</f>
        <v>#DIV/0!</v>
      </c>
      <c r="H16" s="142" t="e">
        <f>AVERAGEIF('NAB_PTX Tumor Volume'!E$5:E$27,'NAB_PTX Groups'!C16,'NAB_PTX Tumor Volume'!M$5:M$27)</f>
        <v>#DIV/0!</v>
      </c>
      <c r="I16" s="140" t="e">
        <f t="array" ref="I16">_xlfn.STDEV.P(IF('NAB_PTX Tumor Volume'!E$5:E$27='NAB_PTX Groups'!C16,'NAB_PTX Tumor Volume'!M$5:M$27))</f>
        <v>#DIV/0!</v>
      </c>
      <c r="J16" s="129" t="e">
        <f>AVERAGEIF('NAB_PTX Tumor Volume'!E$5:E$27,'NAB_PTX Groups'!C16,'NAB_PTX Tumor Volume'!Q$5:Q$27)</f>
        <v>#DIV/0!</v>
      </c>
      <c r="K16" s="129" t="e">
        <f t="array" ref="K16">_xlfn.STDEV.P(IF('NAB_PTX Tumor Volume'!E$5:E$27='NAB_PTX Groups'!C16,'NAB_PTX Tumor Volume'!Q$5:Q$27))</f>
        <v>#DIV/0!</v>
      </c>
    </row>
    <row r="17" spans="2:11">
      <c r="B17" s="104">
        <v>12</v>
      </c>
      <c r="C17" s="103" t="s">
        <v>39</v>
      </c>
      <c r="E17" s="109">
        <f>COUNTIF('NAB_PTX Tumor Volume'!E$5:E$27,'NAB_PTX Groups'!C17)</f>
        <v>0</v>
      </c>
      <c r="F17" s="139" t="e">
        <f>AVERAGEIF('NAB_PTX Body Weight'!E$5:E$27,'NAB_PTX Groups'!C17,'NAB_PTX Body Weight'!N$5:N$27)</f>
        <v>#DIV/0!</v>
      </c>
      <c r="G17" s="140" t="e">
        <f t="array" ref="G17">_xlfn.STDEV.P(IF('NAB_PTX Body Weight'!E$5:E$27='NAB_PTX Groups'!C17,'NAB_PTX Body Weight'!N$5:N$27))</f>
        <v>#DIV/0!</v>
      </c>
      <c r="H17" s="142" t="e">
        <f>AVERAGEIF('NAB_PTX Tumor Volume'!E$5:E$27,'NAB_PTX Groups'!C17,'NAB_PTX Tumor Volume'!M$5:M$27)</f>
        <v>#DIV/0!</v>
      </c>
      <c r="I17" s="140" t="e">
        <f t="array" ref="I17">_xlfn.STDEV.P(IF('NAB_PTX Tumor Volume'!E$5:E$27='NAB_PTX Groups'!C17,'NAB_PTX Tumor Volume'!M$5:M$27))</f>
        <v>#DIV/0!</v>
      </c>
      <c r="J17" s="129" t="e">
        <f>AVERAGEIF('NAB_PTX Tumor Volume'!E$5:E$27,'NAB_PTX Groups'!C17,'NAB_PTX Tumor Volume'!Q$5:Q$27)</f>
        <v>#DIV/0!</v>
      </c>
      <c r="K17" s="129" t="e">
        <f t="array" ref="K17">_xlfn.STDEV.P(IF('NAB_PTX Tumor Volume'!E$5:E$27='NAB_PTX Groups'!C17,'NAB_PTX Tumor Volume'!Q$5:Q$27))</f>
        <v>#DIV/0!</v>
      </c>
    </row>
    <row r="18" spans="2:11">
      <c r="B18" s="104">
        <v>13</v>
      </c>
      <c r="C18" s="103" t="s">
        <v>40</v>
      </c>
      <c r="E18" s="109">
        <f>COUNTIF('NAB_PTX Tumor Volume'!E$5:E$27,'NAB_PTX Groups'!C18)</f>
        <v>0</v>
      </c>
      <c r="F18" s="139" t="e">
        <f>AVERAGEIF('NAB_PTX Body Weight'!E$5:E$27,'NAB_PTX Groups'!C18,'NAB_PTX Body Weight'!N$5:N$27)</f>
        <v>#DIV/0!</v>
      </c>
      <c r="G18" s="140" t="e">
        <f t="array" ref="G18">_xlfn.STDEV.P(IF('NAB_PTX Body Weight'!E$5:E$27='NAB_PTX Groups'!C18,'NAB_PTX Body Weight'!N$5:N$27))</f>
        <v>#DIV/0!</v>
      </c>
      <c r="H18" s="142" t="e">
        <f>AVERAGEIF('NAB_PTX Tumor Volume'!E$5:E$27,'NAB_PTX Groups'!C18,'NAB_PTX Tumor Volume'!M$5:M$27)</f>
        <v>#DIV/0!</v>
      </c>
      <c r="I18" s="140" t="e">
        <f t="array" ref="I18">_xlfn.STDEV.P(IF('NAB_PTX Tumor Volume'!E$5:E$27='NAB_PTX Groups'!C18,'NAB_PTX Tumor Volume'!M$5:M$27))</f>
        <v>#DIV/0!</v>
      </c>
      <c r="J18" s="129" t="e">
        <f>AVERAGEIF('NAB_PTX Tumor Volume'!E$5:E$27,'NAB_PTX Groups'!C18,'NAB_PTX Tumor Volume'!Q$5:Q$27)</f>
        <v>#DIV/0!</v>
      </c>
      <c r="K18" s="129" t="e">
        <f t="array" ref="K18">_xlfn.STDEV.P(IF('NAB_PTX Tumor Volume'!E$5:E$27='NAB_PTX Groups'!C18,'NAB_PTX Tumor Volume'!Q$5:Q$27))</f>
        <v>#DIV/0!</v>
      </c>
    </row>
    <row r="19" spans="2:11">
      <c r="B19" s="104">
        <v>14</v>
      </c>
      <c r="C19" s="103" t="s">
        <v>41</v>
      </c>
      <c r="E19" s="109">
        <f>COUNTIF('NAB_PTX Tumor Volume'!E$5:E$27,'NAB_PTX Groups'!C19)</f>
        <v>0</v>
      </c>
      <c r="F19" s="139" t="e">
        <f>AVERAGEIF('NAB_PTX Body Weight'!E$5:E$27,'NAB_PTX Groups'!C19,'NAB_PTX Body Weight'!N$5:N$27)</f>
        <v>#DIV/0!</v>
      </c>
      <c r="G19" s="140" t="e">
        <f t="array" ref="G19">_xlfn.STDEV.P(IF('NAB_PTX Body Weight'!E$5:E$27='NAB_PTX Groups'!C19,'NAB_PTX Body Weight'!N$5:N$27))</f>
        <v>#DIV/0!</v>
      </c>
      <c r="H19" s="142" t="e">
        <f>AVERAGEIF('NAB_PTX Tumor Volume'!E$5:E$27,'NAB_PTX Groups'!C19,'NAB_PTX Tumor Volume'!M$5:M$27)</f>
        <v>#DIV/0!</v>
      </c>
      <c r="I19" s="140" t="e">
        <f t="array" ref="I19">_xlfn.STDEV.P(IF('NAB_PTX Tumor Volume'!E$5:E$27='NAB_PTX Groups'!C19,'NAB_PTX Tumor Volume'!M$5:M$27))</f>
        <v>#DIV/0!</v>
      </c>
      <c r="J19" s="129" t="e">
        <f>AVERAGEIF('NAB_PTX Tumor Volume'!E$5:E$27,'NAB_PTX Groups'!C19,'NAB_PTX Tumor Volume'!Q$5:Q$27)</f>
        <v>#DIV/0!</v>
      </c>
      <c r="K19" s="129" t="e">
        <f t="array" ref="K19">_xlfn.STDEV.P(IF('NAB_PTX Tumor Volume'!E$5:E$27='NAB_PTX Groups'!C19,'NAB_PTX Tumor Volume'!Q$5:Q$27))</f>
        <v>#DIV/0!</v>
      </c>
    </row>
    <row r="20" spans="2:11">
      <c r="B20" s="104">
        <v>15</v>
      </c>
      <c r="C20" s="103" t="s">
        <v>42</v>
      </c>
      <c r="E20" s="109">
        <f>COUNTIF('NAB_PTX Tumor Volume'!E$5:E$27,'NAB_PTX Groups'!C20)</f>
        <v>0</v>
      </c>
      <c r="F20" s="139" t="e">
        <f>AVERAGEIF('NAB_PTX Body Weight'!E$5:E$27,'NAB_PTX Groups'!C20,'NAB_PTX Body Weight'!N$5:N$27)</f>
        <v>#DIV/0!</v>
      </c>
      <c r="G20" s="140" t="e">
        <f t="array" ref="G20">_xlfn.STDEV.P(IF('NAB_PTX Body Weight'!E$5:E$27='NAB_PTX Groups'!C20,'NAB_PTX Body Weight'!N$5:N$27))</f>
        <v>#DIV/0!</v>
      </c>
      <c r="H20" s="142" t="e">
        <f>AVERAGEIF('NAB_PTX Tumor Volume'!E$5:E$27,'NAB_PTX Groups'!C20,'NAB_PTX Tumor Volume'!M$5:M$27)</f>
        <v>#DIV/0!</v>
      </c>
      <c r="I20" s="140" t="e">
        <f t="array" ref="I20">_xlfn.STDEV.P(IF('NAB_PTX Tumor Volume'!E$5:E$27='NAB_PTX Groups'!C20,'NAB_PTX Tumor Volume'!M$5:M$27))</f>
        <v>#DIV/0!</v>
      </c>
      <c r="J20" s="129" t="e">
        <f>AVERAGEIF('NAB_PTX Tumor Volume'!E$5:E$27,'NAB_PTX Groups'!C20,'NAB_PTX Tumor Volume'!Q$5:Q$27)</f>
        <v>#DIV/0!</v>
      </c>
      <c r="K20" s="129" t="e">
        <f t="array" ref="K20">_xlfn.STDEV.P(IF('NAB_PTX Tumor Volume'!E$5:E$27='NAB_PTX Groups'!C20,'NAB_PTX Tumor Volume'!Q$5:Q$27))</f>
        <v>#DIV/0!</v>
      </c>
    </row>
    <row r="21" spans="2:11">
      <c r="B21" s="104">
        <v>16</v>
      </c>
      <c r="C21" s="103" t="s">
        <v>43</v>
      </c>
      <c r="E21" s="109">
        <f>COUNTIF('NAB_PTX Tumor Volume'!E$5:E$27,'NAB_PTX Groups'!C21)</f>
        <v>0</v>
      </c>
      <c r="F21" s="139" t="e">
        <f>AVERAGEIF('NAB_PTX Body Weight'!E$5:E$27,'NAB_PTX Groups'!C21,'NAB_PTX Body Weight'!N$5:N$27)</f>
        <v>#DIV/0!</v>
      </c>
      <c r="G21" s="140" t="e">
        <f t="array" ref="G21">_xlfn.STDEV.P(IF('NAB_PTX Body Weight'!E$5:E$27='NAB_PTX Groups'!C21,'NAB_PTX Body Weight'!N$5:N$27))</f>
        <v>#DIV/0!</v>
      </c>
      <c r="H21" s="142" t="e">
        <f>AVERAGEIF('NAB_PTX Tumor Volume'!E$5:E$27,'NAB_PTX Groups'!C21,'NAB_PTX Tumor Volume'!M$5:M$27)</f>
        <v>#DIV/0!</v>
      </c>
      <c r="I21" s="140" t="e">
        <f t="array" ref="I21">_xlfn.STDEV.P(IF('NAB_PTX Tumor Volume'!E$5:E$27='NAB_PTX Groups'!C21,'NAB_PTX Tumor Volume'!M$5:M$27))</f>
        <v>#DIV/0!</v>
      </c>
      <c r="J21" s="129" t="e">
        <f>AVERAGEIF('NAB_PTX Tumor Volume'!E$5:E$27,'NAB_PTX Groups'!C21,'NAB_PTX Tumor Volume'!Q$5:Q$27)</f>
        <v>#DIV/0!</v>
      </c>
      <c r="K21" s="129" t="e">
        <f t="array" ref="K21">_xlfn.STDEV.P(IF('NAB_PTX Tumor Volume'!E$5:E$27='NAB_PTX Groups'!C21,'NAB_PTX Tumor Volume'!Q$5:Q$27))</f>
        <v>#DIV/0!</v>
      </c>
    </row>
  </sheetData>
  <mergeCells count="7">
    <mergeCell ref="A1:E1"/>
    <mergeCell ref="A2:E2"/>
    <mergeCell ref="J4:K4"/>
    <mergeCell ref="H4:I4"/>
    <mergeCell ref="F4:G4"/>
    <mergeCell ref="F3:G3"/>
    <mergeCell ref="H3:I3"/>
  </mergeCells>
  <phoneticPr fontId="3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186F-42D0-43A5-8A00-6C925BCA175B}">
  <dimension ref="A1:DO92"/>
  <sheetViews>
    <sheetView showGridLines="0" workbookViewId="0">
      <pane xSplit="5" ySplit="4" topLeftCell="F8" activePane="bottomRight" state="frozen"/>
      <selection activeCell="V1" sqref="V1"/>
      <selection pane="topRight" activeCell="V1" sqref="V1"/>
      <selection pane="bottomLeft" activeCell="V1" sqref="V1"/>
      <selection pane="bottomRight"/>
    </sheetView>
  </sheetViews>
  <sheetFormatPr defaultRowHeight="12.75" outlineLevelCol="1"/>
  <cols>
    <col min="1" max="1" width="9.85546875" style="47" bestFit="1" customWidth="1"/>
    <col min="2" max="2" width="9.140625" style="37"/>
    <col min="3" max="3" width="17.28515625" style="48" hidden="1" customWidth="1" outlineLevel="1"/>
    <col min="4" max="4" width="20" style="37" hidden="1" customWidth="1" outlineLevel="1"/>
    <col min="5" max="5" width="22.85546875" style="46" customWidth="1" collapsed="1"/>
    <col min="6" max="6" width="12.7109375" style="49" customWidth="1"/>
    <col min="7" max="7" width="12.7109375" style="50" customWidth="1" outlineLevel="1"/>
    <col min="8" max="8" width="13.85546875" style="49" customWidth="1"/>
    <col min="9" max="9" width="9.140625" style="50" hidden="1" customWidth="1" outlineLevel="1"/>
    <col min="10" max="10" width="9" style="51" hidden="1" customWidth="1" outlineLevel="1"/>
    <col min="11" max="11" width="8.42578125" style="51" hidden="1" customWidth="1" outlineLevel="1"/>
    <col min="12" max="13" width="15" style="50" hidden="1" customWidth="1" outlineLevel="1"/>
    <col min="14" max="14" width="14.28515625" style="260" hidden="1" customWidth="1" outlineLevel="1"/>
    <col min="15" max="15" width="14.85546875" style="260" hidden="1" customWidth="1" outlineLevel="1"/>
    <col min="16" max="16" width="11.5703125" style="260" hidden="1" customWidth="1" outlineLevel="1"/>
    <col min="17" max="17" width="12.85546875" style="286" hidden="1" customWidth="1" outlineLevel="1"/>
    <col min="18" max="18" width="7.85546875" style="37" customWidth="1" collapsed="1"/>
    <col min="19" max="20" width="8.5703125" style="37" customWidth="1"/>
    <col min="21" max="62" width="8.5703125" style="37" customWidth="1" outlineLevel="1"/>
    <col min="63" max="63" width="6.140625" style="37" bestFit="1" customWidth="1"/>
    <col min="64" max="65" width="8.5703125" style="37" customWidth="1"/>
    <col min="66" max="107" width="8.5703125" style="37" customWidth="1" outlineLevel="1"/>
    <col min="108" max="108" width="6.140625" style="37" bestFit="1" customWidth="1"/>
    <col min="109" max="16384" width="9.140625" style="46"/>
  </cols>
  <sheetData>
    <row r="1" spans="1:108" s="5" customFormat="1" ht="25.5">
      <c r="A1" s="4" t="s">
        <v>95</v>
      </c>
      <c r="C1" s="6"/>
      <c r="D1" s="7"/>
      <c r="F1" s="8"/>
      <c r="G1" s="9"/>
      <c r="H1" s="8"/>
      <c r="I1" s="9"/>
      <c r="J1" s="10"/>
      <c r="K1" s="10"/>
      <c r="L1" s="9"/>
      <c r="M1" s="9"/>
      <c r="N1" s="232"/>
      <c r="O1" s="232"/>
      <c r="P1" s="232"/>
      <c r="Q1" s="233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</row>
    <row r="2" spans="1:108" s="43" customFormat="1" ht="15.75" customHeight="1">
      <c r="A2" s="234" t="s">
        <v>81</v>
      </c>
      <c r="B2" s="235"/>
      <c r="C2" s="236"/>
      <c r="D2" s="235"/>
      <c r="E2" s="14"/>
      <c r="F2" s="351" t="s">
        <v>12</v>
      </c>
      <c r="G2" s="363"/>
      <c r="H2" s="351" t="s">
        <v>0</v>
      </c>
      <c r="I2" s="363"/>
      <c r="J2" s="363"/>
      <c r="K2" s="363"/>
      <c r="L2" s="363"/>
      <c r="M2" s="363"/>
      <c r="N2" s="363"/>
      <c r="O2" s="363"/>
      <c r="P2" s="363"/>
      <c r="Q2" s="354"/>
      <c r="R2" s="15"/>
      <c r="S2" s="234" t="s">
        <v>82</v>
      </c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7"/>
      <c r="BK2" s="238"/>
      <c r="BL2" s="234" t="s">
        <v>55</v>
      </c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8"/>
    </row>
    <row r="3" spans="1:108" s="57" customFormat="1" ht="15.75">
      <c r="A3" s="239"/>
      <c r="B3" s="240"/>
      <c r="C3" s="241"/>
      <c r="D3" s="240"/>
      <c r="E3" s="55"/>
      <c r="F3" s="351"/>
      <c r="G3" s="363"/>
      <c r="H3" s="351"/>
      <c r="I3" s="363"/>
      <c r="J3" s="363"/>
      <c r="K3" s="363"/>
      <c r="L3" s="363"/>
      <c r="M3" s="363"/>
      <c r="N3" s="363"/>
      <c r="O3" s="363"/>
      <c r="P3" s="363"/>
      <c r="Q3" s="354"/>
      <c r="R3" s="242" t="s">
        <v>13</v>
      </c>
      <c r="S3" s="243">
        <v>42808</v>
      </c>
      <c r="T3" s="243">
        <v>42809</v>
      </c>
      <c r="U3" s="243">
        <v>42811</v>
      </c>
      <c r="V3" s="243">
        <v>42814</v>
      </c>
      <c r="W3" s="243">
        <v>42816</v>
      </c>
      <c r="X3" s="243">
        <v>42818</v>
      </c>
      <c r="Y3" s="243">
        <v>42821</v>
      </c>
      <c r="Z3" s="243">
        <v>42823</v>
      </c>
      <c r="AA3" s="243">
        <v>42825</v>
      </c>
      <c r="AB3" s="243">
        <v>42829</v>
      </c>
      <c r="AC3" s="243">
        <v>42831</v>
      </c>
      <c r="AD3" s="243">
        <v>42833</v>
      </c>
      <c r="AE3" s="243">
        <v>42836</v>
      </c>
      <c r="AF3" s="243">
        <v>42842</v>
      </c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4" t="s">
        <v>13</v>
      </c>
      <c r="BL3" s="243">
        <f t="shared" ref="BL3:CA4" si="0">IF(ISBLANK(S3)="TRUE","",S3)</f>
        <v>42808</v>
      </c>
      <c r="BM3" s="243">
        <f t="shared" si="0"/>
        <v>42809</v>
      </c>
      <c r="BN3" s="243">
        <f t="shared" si="0"/>
        <v>42811</v>
      </c>
      <c r="BO3" s="243">
        <f t="shared" si="0"/>
        <v>42814</v>
      </c>
      <c r="BP3" s="243">
        <f t="shared" si="0"/>
        <v>42816</v>
      </c>
      <c r="BQ3" s="243">
        <f t="shared" si="0"/>
        <v>42818</v>
      </c>
      <c r="BR3" s="243">
        <f t="shared" si="0"/>
        <v>42821</v>
      </c>
      <c r="BS3" s="243">
        <f t="shared" si="0"/>
        <v>42823</v>
      </c>
      <c r="BT3" s="243">
        <f t="shared" si="0"/>
        <v>42825</v>
      </c>
      <c r="BU3" s="243">
        <f t="shared" si="0"/>
        <v>42829</v>
      </c>
      <c r="BV3" s="243">
        <f t="shared" si="0"/>
        <v>42831</v>
      </c>
      <c r="BW3" s="243">
        <f t="shared" si="0"/>
        <v>42833</v>
      </c>
      <c r="BX3" s="243">
        <f t="shared" si="0"/>
        <v>42836</v>
      </c>
      <c r="BY3" s="243">
        <f t="shared" si="0"/>
        <v>42842</v>
      </c>
      <c r="BZ3" s="243">
        <f t="shared" si="0"/>
        <v>0</v>
      </c>
      <c r="CA3" s="243">
        <f t="shared" si="0"/>
        <v>0</v>
      </c>
      <c r="CB3" s="243">
        <f t="shared" ref="CB3:CQ4" si="1">IF(ISBLANK(AI3)="TRUE","",AI3)</f>
        <v>0</v>
      </c>
      <c r="CC3" s="243">
        <f t="shared" si="1"/>
        <v>0</v>
      </c>
      <c r="CD3" s="243">
        <f t="shared" si="1"/>
        <v>0</v>
      </c>
      <c r="CE3" s="243">
        <f t="shared" si="1"/>
        <v>0</v>
      </c>
      <c r="CF3" s="243">
        <f t="shared" si="1"/>
        <v>0</v>
      </c>
      <c r="CG3" s="243">
        <f t="shared" si="1"/>
        <v>0</v>
      </c>
      <c r="CH3" s="243">
        <f t="shared" si="1"/>
        <v>0</v>
      </c>
      <c r="CI3" s="243">
        <f t="shared" si="1"/>
        <v>0</v>
      </c>
      <c r="CJ3" s="243">
        <f t="shared" si="1"/>
        <v>0</v>
      </c>
      <c r="CK3" s="243">
        <f t="shared" si="1"/>
        <v>0</v>
      </c>
      <c r="CL3" s="243">
        <f t="shared" si="1"/>
        <v>0</v>
      </c>
      <c r="CM3" s="243">
        <f t="shared" si="1"/>
        <v>0</v>
      </c>
      <c r="CN3" s="243">
        <f t="shared" si="1"/>
        <v>0</v>
      </c>
      <c r="CO3" s="243">
        <f t="shared" si="1"/>
        <v>0</v>
      </c>
      <c r="CP3" s="243">
        <f t="shared" si="1"/>
        <v>0</v>
      </c>
      <c r="CQ3" s="243">
        <f t="shared" si="1"/>
        <v>0</v>
      </c>
      <c r="CR3" s="243">
        <f t="shared" ref="CR3:DC4" si="2">IF(ISBLANK(AY3)="TRUE","",AY3)</f>
        <v>0</v>
      </c>
      <c r="CS3" s="243">
        <f t="shared" si="2"/>
        <v>0</v>
      </c>
      <c r="CT3" s="243">
        <f t="shared" si="2"/>
        <v>0</v>
      </c>
      <c r="CU3" s="243">
        <f t="shared" si="2"/>
        <v>0</v>
      </c>
      <c r="CV3" s="243">
        <f t="shared" si="2"/>
        <v>0</v>
      </c>
      <c r="CW3" s="243">
        <f t="shared" si="2"/>
        <v>0</v>
      </c>
      <c r="CX3" s="243">
        <f t="shared" si="2"/>
        <v>0</v>
      </c>
      <c r="CY3" s="243">
        <f t="shared" si="2"/>
        <v>0</v>
      </c>
      <c r="CZ3" s="243">
        <f t="shared" si="2"/>
        <v>0</v>
      </c>
      <c r="DA3" s="243">
        <f t="shared" si="2"/>
        <v>0</v>
      </c>
      <c r="DB3" s="243">
        <f t="shared" si="2"/>
        <v>0</v>
      </c>
      <c r="DC3" s="243">
        <f t="shared" si="2"/>
        <v>0</v>
      </c>
      <c r="DD3" s="244" t="s">
        <v>13</v>
      </c>
    </row>
    <row r="4" spans="1:108" s="45" customFormat="1" ht="15.75" customHeight="1">
      <c r="A4" s="245" t="s">
        <v>5</v>
      </c>
      <c r="B4" s="164" t="s">
        <v>6</v>
      </c>
      <c r="C4" s="246" t="s">
        <v>7</v>
      </c>
      <c r="D4" s="245" t="s">
        <v>14</v>
      </c>
      <c r="E4" s="19" t="s">
        <v>10</v>
      </c>
      <c r="F4" s="20" t="s">
        <v>1</v>
      </c>
      <c r="G4" s="247" t="s">
        <v>2</v>
      </c>
      <c r="H4" s="20" t="s">
        <v>1</v>
      </c>
      <c r="I4" s="247" t="s">
        <v>2</v>
      </c>
      <c r="J4" s="247" t="s">
        <v>21</v>
      </c>
      <c r="K4" s="247" t="s">
        <v>22</v>
      </c>
      <c r="L4" s="247" t="s">
        <v>3</v>
      </c>
      <c r="M4" s="247" t="s">
        <v>83</v>
      </c>
      <c r="N4" s="248" t="s">
        <v>84</v>
      </c>
      <c r="O4" s="248" t="s">
        <v>85</v>
      </c>
      <c r="P4" s="248" t="s">
        <v>86</v>
      </c>
      <c r="Q4" s="249" t="s">
        <v>19</v>
      </c>
      <c r="R4" s="250" t="s">
        <v>8</v>
      </c>
      <c r="S4" s="164">
        <f>S3-$H5</f>
        <v>0</v>
      </c>
      <c r="T4" s="164">
        <f>T3-$H5</f>
        <v>1</v>
      </c>
      <c r="U4" s="164">
        <f>U3-$H5</f>
        <v>3</v>
      </c>
      <c r="V4" s="164">
        <f t="shared" ref="V4:AI4" si="3">V3-$H5</f>
        <v>6</v>
      </c>
      <c r="W4" s="164">
        <f t="shared" si="3"/>
        <v>8</v>
      </c>
      <c r="X4" s="164">
        <f t="shared" si="3"/>
        <v>10</v>
      </c>
      <c r="Y4" s="164">
        <f t="shared" si="3"/>
        <v>13</v>
      </c>
      <c r="Z4" s="164">
        <f t="shared" si="3"/>
        <v>15</v>
      </c>
      <c r="AA4" s="164">
        <f t="shared" si="3"/>
        <v>17</v>
      </c>
      <c r="AB4" s="164">
        <f t="shared" si="3"/>
        <v>21</v>
      </c>
      <c r="AC4" s="164">
        <f t="shared" si="3"/>
        <v>23</v>
      </c>
      <c r="AD4" s="164">
        <f t="shared" si="3"/>
        <v>25</v>
      </c>
      <c r="AE4" s="164">
        <f t="shared" si="3"/>
        <v>28</v>
      </c>
      <c r="AF4" s="164">
        <f t="shared" si="3"/>
        <v>34</v>
      </c>
      <c r="AG4" s="164">
        <f t="shared" si="3"/>
        <v>-42808</v>
      </c>
      <c r="AH4" s="164">
        <f t="shared" si="3"/>
        <v>-42808</v>
      </c>
      <c r="AI4" s="164">
        <f t="shared" si="3"/>
        <v>-42808</v>
      </c>
      <c r="AJ4" s="164">
        <f>AJ3-$H5</f>
        <v>-42808</v>
      </c>
      <c r="AK4" s="164">
        <f t="shared" ref="AK4:BJ4" si="4">AK3-$H5</f>
        <v>-42808</v>
      </c>
      <c r="AL4" s="164">
        <f t="shared" si="4"/>
        <v>-42808</v>
      </c>
      <c r="AM4" s="164">
        <f t="shared" si="4"/>
        <v>-42808</v>
      </c>
      <c r="AN4" s="164">
        <f t="shared" si="4"/>
        <v>-42808</v>
      </c>
      <c r="AO4" s="164">
        <f t="shared" si="4"/>
        <v>-42808</v>
      </c>
      <c r="AP4" s="164">
        <f t="shared" si="4"/>
        <v>-42808</v>
      </c>
      <c r="AQ4" s="164">
        <f t="shared" si="4"/>
        <v>-42808</v>
      </c>
      <c r="AR4" s="164">
        <f t="shared" si="4"/>
        <v>-42808</v>
      </c>
      <c r="AS4" s="164">
        <f t="shared" si="4"/>
        <v>-42808</v>
      </c>
      <c r="AT4" s="164">
        <f t="shared" si="4"/>
        <v>-42808</v>
      </c>
      <c r="AU4" s="164">
        <f t="shared" si="4"/>
        <v>-42808</v>
      </c>
      <c r="AV4" s="164">
        <f t="shared" si="4"/>
        <v>-42808</v>
      </c>
      <c r="AW4" s="164">
        <f t="shared" si="4"/>
        <v>-42808</v>
      </c>
      <c r="AX4" s="164">
        <f t="shared" si="4"/>
        <v>-42808</v>
      </c>
      <c r="AY4" s="164">
        <f t="shared" si="4"/>
        <v>-42808</v>
      </c>
      <c r="AZ4" s="164">
        <f t="shared" si="4"/>
        <v>-42808</v>
      </c>
      <c r="BA4" s="164">
        <f t="shared" si="4"/>
        <v>-42808</v>
      </c>
      <c r="BB4" s="164">
        <f t="shared" si="4"/>
        <v>-42808</v>
      </c>
      <c r="BC4" s="164">
        <f t="shared" si="4"/>
        <v>-42808</v>
      </c>
      <c r="BD4" s="164">
        <f t="shared" si="4"/>
        <v>-42808</v>
      </c>
      <c r="BE4" s="164">
        <f t="shared" si="4"/>
        <v>-42808</v>
      </c>
      <c r="BF4" s="164">
        <f t="shared" si="4"/>
        <v>-42808</v>
      </c>
      <c r="BG4" s="164">
        <f t="shared" si="4"/>
        <v>-42808</v>
      </c>
      <c r="BH4" s="164">
        <f t="shared" si="4"/>
        <v>-42808</v>
      </c>
      <c r="BI4" s="164">
        <f t="shared" si="4"/>
        <v>-42808</v>
      </c>
      <c r="BJ4" s="164">
        <f t="shared" si="4"/>
        <v>-42808</v>
      </c>
      <c r="BK4" s="22" t="s">
        <v>8</v>
      </c>
      <c r="BL4" s="164">
        <f t="shared" si="0"/>
        <v>0</v>
      </c>
      <c r="BM4" s="164">
        <f t="shared" si="0"/>
        <v>1</v>
      </c>
      <c r="BN4" s="164">
        <f t="shared" si="0"/>
        <v>3</v>
      </c>
      <c r="BO4" s="164">
        <f t="shared" si="0"/>
        <v>6</v>
      </c>
      <c r="BP4" s="164">
        <f t="shared" si="0"/>
        <v>8</v>
      </c>
      <c r="BQ4" s="164">
        <f t="shared" si="0"/>
        <v>10</v>
      </c>
      <c r="BR4" s="164">
        <f t="shared" si="0"/>
        <v>13</v>
      </c>
      <c r="BS4" s="164">
        <f t="shared" si="0"/>
        <v>15</v>
      </c>
      <c r="BT4" s="164">
        <f t="shared" si="0"/>
        <v>17</v>
      </c>
      <c r="BU4" s="164">
        <f t="shared" si="0"/>
        <v>21</v>
      </c>
      <c r="BV4" s="164">
        <f t="shared" si="0"/>
        <v>23</v>
      </c>
      <c r="BW4" s="164">
        <f t="shared" si="0"/>
        <v>25</v>
      </c>
      <c r="BX4" s="164">
        <f t="shared" si="0"/>
        <v>28</v>
      </c>
      <c r="BY4" s="164">
        <f t="shared" si="0"/>
        <v>34</v>
      </c>
      <c r="BZ4" s="164">
        <f t="shared" si="0"/>
        <v>-42808</v>
      </c>
      <c r="CA4" s="164">
        <f t="shared" si="0"/>
        <v>-42808</v>
      </c>
      <c r="CB4" s="164">
        <f t="shared" si="1"/>
        <v>-42808</v>
      </c>
      <c r="CC4" s="164">
        <f t="shared" si="1"/>
        <v>-42808</v>
      </c>
      <c r="CD4" s="164">
        <f t="shared" si="1"/>
        <v>-42808</v>
      </c>
      <c r="CE4" s="164">
        <f t="shared" si="1"/>
        <v>-42808</v>
      </c>
      <c r="CF4" s="164">
        <f t="shared" si="1"/>
        <v>-42808</v>
      </c>
      <c r="CG4" s="164">
        <f t="shared" si="1"/>
        <v>-42808</v>
      </c>
      <c r="CH4" s="164">
        <f t="shared" si="1"/>
        <v>-42808</v>
      </c>
      <c r="CI4" s="164">
        <f t="shared" si="1"/>
        <v>-42808</v>
      </c>
      <c r="CJ4" s="164">
        <f t="shared" si="1"/>
        <v>-42808</v>
      </c>
      <c r="CK4" s="164">
        <f t="shared" si="1"/>
        <v>-42808</v>
      </c>
      <c r="CL4" s="164">
        <f t="shared" si="1"/>
        <v>-42808</v>
      </c>
      <c r="CM4" s="164">
        <f t="shared" si="1"/>
        <v>-42808</v>
      </c>
      <c r="CN4" s="164">
        <f t="shared" si="1"/>
        <v>-42808</v>
      </c>
      <c r="CO4" s="164">
        <f t="shared" si="1"/>
        <v>-42808</v>
      </c>
      <c r="CP4" s="164">
        <f t="shared" si="1"/>
        <v>-42808</v>
      </c>
      <c r="CQ4" s="164">
        <f t="shared" si="1"/>
        <v>-42808</v>
      </c>
      <c r="CR4" s="164">
        <f t="shared" si="2"/>
        <v>-42808</v>
      </c>
      <c r="CS4" s="164">
        <f t="shared" si="2"/>
        <v>-42808</v>
      </c>
      <c r="CT4" s="164">
        <f t="shared" si="2"/>
        <v>-42808</v>
      </c>
      <c r="CU4" s="164">
        <f t="shared" si="2"/>
        <v>-42808</v>
      </c>
      <c r="CV4" s="164">
        <f t="shared" si="2"/>
        <v>-42808</v>
      </c>
      <c r="CW4" s="164">
        <f t="shared" si="2"/>
        <v>-42808</v>
      </c>
      <c r="CX4" s="164">
        <f t="shared" si="2"/>
        <v>-42808</v>
      </c>
      <c r="CY4" s="164">
        <f t="shared" si="2"/>
        <v>-42808</v>
      </c>
      <c r="CZ4" s="164">
        <f t="shared" si="2"/>
        <v>-42808</v>
      </c>
      <c r="DA4" s="164">
        <f t="shared" si="2"/>
        <v>-42808</v>
      </c>
      <c r="DB4" s="164">
        <f t="shared" si="2"/>
        <v>-42808</v>
      </c>
      <c r="DC4" s="164">
        <f t="shared" si="2"/>
        <v>-42808</v>
      </c>
      <c r="DD4" s="22" t="s">
        <v>8</v>
      </c>
    </row>
    <row r="5" spans="1:108">
      <c r="A5" s="23">
        <v>1055532</v>
      </c>
      <c r="B5" s="24">
        <v>11</v>
      </c>
      <c r="C5" s="25" t="str">
        <f t="shared" ref="C5:C35" si="5">CONCATENATE(A5,"-",B5)</f>
        <v>1055532-11</v>
      </c>
      <c r="D5" s="24" t="s">
        <v>87</v>
      </c>
      <c r="E5" s="26" t="s">
        <v>88</v>
      </c>
      <c r="F5" s="27">
        <v>42798</v>
      </c>
      <c r="G5" s="28">
        <v>22.8</v>
      </c>
      <c r="H5" s="27">
        <v>42808</v>
      </c>
      <c r="I5" s="28">
        <v>25.7</v>
      </c>
      <c r="J5" s="28">
        <v>8.1999999999999993</v>
      </c>
      <c r="K5" s="28">
        <v>6.1</v>
      </c>
      <c r="L5" s="28">
        <f t="shared" ref="L5:L35" si="6">J5*K5^2*0.52</f>
        <v>158.66343999999995</v>
      </c>
      <c r="M5" s="251"/>
      <c r="N5" s="252"/>
      <c r="O5" s="253">
        <f>N5/1000*2.494/I5*1000</f>
        <v>0</v>
      </c>
      <c r="P5" s="254">
        <f t="shared" ref="P5:P35" si="7">N5/1000*2.5/L5*1000</f>
        <v>0</v>
      </c>
      <c r="Q5" s="29"/>
      <c r="R5" s="111"/>
      <c r="S5" s="71">
        <f>8.2*6.1*6.1*0.52</f>
        <v>158.66343999999998</v>
      </c>
      <c r="T5" s="71">
        <v>381.58848000000006</v>
      </c>
      <c r="U5" s="71">
        <f>11.6*8.2*8.2*0.52</f>
        <v>405.59167999999994</v>
      </c>
      <c r="V5" s="71">
        <f>12.7*11.1*11.1*0.52</f>
        <v>813.67883999999992</v>
      </c>
      <c r="W5" s="71">
        <f>15.7*12.1*12.1*0.52</f>
        <v>1195.2912399999998</v>
      </c>
      <c r="X5" s="71">
        <f>16.9*16.3*16.3*0.52</f>
        <v>2334.8837200000003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31"/>
      <c r="BL5" s="70">
        <f t="shared" ref="BL5:CA20" si="8">IF(OR(ISERROR(S5/$L5)=TRUE,ISBLANK(S5)=TRUE),"",S5/$L5)</f>
        <v>1.0000000000000002</v>
      </c>
      <c r="BM5" s="70">
        <f t="shared" si="8"/>
        <v>2.4050183205406372</v>
      </c>
      <c r="BN5" s="70">
        <f t="shared" si="8"/>
        <v>2.5563020693362004</v>
      </c>
      <c r="BO5" s="70">
        <f t="shared" si="8"/>
        <v>5.1283322736479189</v>
      </c>
      <c r="BP5" s="70">
        <f t="shared" si="8"/>
        <v>7.5335013535569386</v>
      </c>
      <c r="BQ5" s="70">
        <f t="shared" si="8"/>
        <v>14.71595296307707</v>
      </c>
      <c r="BR5" s="70" t="str">
        <f t="shared" si="8"/>
        <v/>
      </c>
      <c r="BS5" s="70" t="str">
        <f t="shared" si="8"/>
        <v/>
      </c>
      <c r="BT5" s="70" t="str">
        <f t="shared" si="8"/>
        <v/>
      </c>
      <c r="BU5" s="70" t="str">
        <f t="shared" si="8"/>
        <v/>
      </c>
      <c r="BV5" s="70" t="str">
        <f t="shared" si="8"/>
        <v/>
      </c>
      <c r="BW5" s="70" t="str">
        <f t="shared" si="8"/>
        <v/>
      </c>
      <c r="BX5" s="70" t="str">
        <f t="shared" si="8"/>
        <v/>
      </c>
      <c r="BY5" s="70" t="str">
        <f t="shared" si="8"/>
        <v/>
      </c>
      <c r="BZ5" s="70" t="str">
        <f t="shared" si="8"/>
        <v/>
      </c>
      <c r="CA5" s="70" t="str">
        <f t="shared" si="8"/>
        <v/>
      </c>
      <c r="CB5" s="70" t="str">
        <f t="shared" ref="CB5:CQ20" si="9">IF(OR(ISERROR(AI5/$L5)=TRUE,ISBLANK(AI5)=TRUE),"",AI5/$L5)</f>
        <v/>
      </c>
      <c r="CC5" s="70" t="str">
        <f t="shared" si="9"/>
        <v/>
      </c>
      <c r="CD5" s="70" t="str">
        <f t="shared" si="9"/>
        <v/>
      </c>
      <c r="CE5" s="70" t="str">
        <f t="shared" si="9"/>
        <v/>
      </c>
      <c r="CF5" s="70" t="str">
        <f t="shared" si="9"/>
        <v/>
      </c>
      <c r="CG5" s="70" t="str">
        <f t="shared" si="9"/>
        <v/>
      </c>
      <c r="CH5" s="70" t="str">
        <f t="shared" si="9"/>
        <v/>
      </c>
      <c r="CI5" s="70" t="str">
        <f t="shared" si="9"/>
        <v/>
      </c>
      <c r="CJ5" s="70" t="str">
        <f t="shared" si="9"/>
        <v/>
      </c>
      <c r="CK5" s="70" t="str">
        <f t="shared" si="9"/>
        <v/>
      </c>
      <c r="CL5" s="70" t="str">
        <f t="shared" si="9"/>
        <v/>
      </c>
      <c r="CM5" s="70" t="str">
        <f t="shared" si="9"/>
        <v/>
      </c>
      <c r="CN5" s="70" t="str">
        <f t="shared" si="9"/>
        <v/>
      </c>
      <c r="CO5" s="70" t="str">
        <f t="shared" si="9"/>
        <v/>
      </c>
      <c r="CP5" s="70" t="str">
        <f t="shared" si="9"/>
        <v/>
      </c>
      <c r="CQ5" s="70" t="str">
        <f t="shared" si="9"/>
        <v/>
      </c>
      <c r="CR5" s="70" t="str">
        <f t="shared" ref="CR5:DC26" si="10">IF(OR(ISERROR(AY5/$L5)=TRUE,ISBLANK(AY5)=TRUE),"",AY5/$L5)</f>
        <v/>
      </c>
      <c r="CS5" s="70" t="str">
        <f t="shared" si="10"/>
        <v/>
      </c>
      <c r="CT5" s="70" t="str">
        <f t="shared" si="10"/>
        <v/>
      </c>
      <c r="CU5" s="70" t="str">
        <f t="shared" si="10"/>
        <v/>
      </c>
      <c r="CV5" s="70" t="str">
        <f t="shared" si="10"/>
        <v/>
      </c>
      <c r="CW5" s="70" t="str">
        <f t="shared" si="10"/>
        <v/>
      </c>
      <c r="CX5" s="70" t="str">
        <f t="shared" si="10"/>
        <v/>
      </c>
      <c r="CY5" s="70" t="str">
        <f t="shared" si="10"/>
        <v/>
      </c>
      <c r="CZ5" s="70" t="str">
        <f t="shared" si="10"/>
        <v/>
      </c>
      <c r="DA5" s="70" t="str">
        <f t="shared" si="10"/>
        <v/>
      </c>
      <c r="DB5" s="70" t="str">
        <f t="shared" si="10"/>
        <v/>
      </c>
      <c r="DC5" s="70" t="str">
        <f t="shared" si="10"/>
        <v/>
      </c>
      <c r="DD5" s="31"/>
    </row>
    <row r="6" spans="1:108">
      <c r="A6" s="23">
        <v>1055532</v>
      </c>
      <c r="B6" s="1">
        <v>12</v>
      </c>
      <c r="C6" s="25" t="str">
        <f t="shared" si="5"/>
        <v>1055532-12</v>
      </c>
      <c r="D6" s="24" t="s">
        <v>87</v>
      </c>
      <c r="E6" s="32" t="s">
        <v>93</v>
      </c>
      <c r="F6" s="27">
        <v>42798</v>
      </c>
      <c r="G6" s="33">
        <v>23.2</v>
      </c>
      <c r="H6" s="27">
        <v>42808</v>
      </c>
      <c r="I6" s="33">
        <v>24.5</v>
      </c>
      <c r="J6" s="33">
        <v>9.9</v>
      </c>
      <c r="K6" s="33">
        <v>6.4</v>
      </c>
      <c r="L6" s="28">
        <f t="shared" si="6"/>
        <v>210.86208000000005</v>
      </c>
      <c r="M6" s="251" t="s">
        <v>89</v>
      </c>
      <c r="N6" s="252"/>
      <c r="O6" s="253">
        <f t="shared" ref="O6:O35" si="11">N6/1000*2.5/I6*1000</f>
        <v>0</v>
      </c>
      <c r="P6" s="254">
        <f t="shared" si="7"/>
        <v>0</v>
      </c>
      <c r="Q6" s="29"/>
      <c r="R6" s="111"/>
      <c r="S6" s="71">
        <f>9.9*6.4*6.4*0.52</f>
        <v>210.86208000000005</v>
      </c>
      <c r="T6" s="76">
        <v>235.91879999999998</v>
      </c>
      <c r="U6" s="76">
        <f>11.5*9.1*9.1*0.52</f>
        <v>495.2038</v>
      </c>
      <c r="V6" s="76">
        <f>12.3*10.4*10.4*0.52</f>
        <v>691.79136000000005</v>
      </c>
      <c r="W6" s="76">
        <f>14.1*10.7*10.7*0.52</f>
        <v>839.44067999999993</v>
      </c>
      <c r="X6" s="76">
        <f>12.6*11.9*11.9*0.52</f>
        <v>927.82872000000009</v>
      </c>
      <c r="Y6" s="76">
        <f>14.7*14.5*14.5*0.52</f>
        <v>1607.1509999999998</v>
      </c>
      <c r="Z6" s="76">
        <f>15*14.4*14.4*0.52</f>
        <v>1617.4080000000001</v>
      </c>
      <c r="AA6" s="76">
        <f>16.4*14.4*14.4*0.52</f>
        <v>1768.3660800000002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2"/>
      <c r="BL6" s="255">
        <f t="shared" si="8"/>
        <v>1</v>
      </c>
      <c r="BM6" s="255">
        <f t="shared" si="8"/>
        <v>1.1188299005681814</v>
      </c>
      <c r="BN6" s="255">
        <f t="shared" si="8"/>
        <v>2.3484725181502522</v>
      </c>
      <c r="BO6" s="255">
        <f t="shared" si="8"/>
        <v>3.2807765151515147</v>
      </c>
      <c r="BP6" s="255">
        <f t="shared" si="8"/>
        <v>3.9809940222537867</v>
      </c>
      <c r="BQ6" s="255">
        <f t="shared" si="8"/>
        <v>4.4001686789772725</v>
      </c>
      <c r="BR6" s="255">
        <f t="shared" si="8"/>
        <v>7.6218113754734826</v>
      </c>
      <c r="BS6" s="255">
        <f t="shared" si="8"/>
        <v>7.6704545454545441</v>
      </c>
      <c r="BT6" s="255">
        <f t="shared" si="8"/>
        <v>8.3863636363636349</v>
      </c>
      <c r="BU6" s="255" t="str">
        <f t="shared" si="8"/>
        <v/>
      </c>
      <c r="BV6" s="255" t="str">
        <f t="shared" si="8"/>
        <v/>
      </c>
      <c r="BW6" s="255" t="str">
        <f t="shared" si="8"/>
        <v/>
      </c>
      <c r="BX6" s="255" t="str">
        <f t="shared" si="8"/>
        <v/>
      </c>
      <c r="BY6" s="255" t="str">
        <f t="shared" si="8"/>
        <v/>
      </c>
      <c r="BZ6" s="255" t="str">
        <f t="shared" si="8"/>
        <v/>
      </c>
      <c r="CA6" s="255" t="str">
        <f t="shared" si="8"/>
        <v/>
      </c>
      <c r="CB6" s="255" t="str">
        <f t="shared" si="9"/>
        <v/>
      </c>
      <c r="CC6" s="255" t="str">
        <f t="shared" si="9"/>
        <v/>
      </c>
      <c r="CD6" s="255" t="str">
        <f t="shared" si="9"/>
        <v/>
      </c>
      <c r="CE6" s="255" t="str">
        <f t="shared" si="9"/>
        <v/>
      </c>
      <c r="CF6" s="255" t="str">
        <f t="shared" si="9"/>
        <v/>
      </c>
      <c r="CG6" s="255" t="str">
        <f t="shared" si="9"/>
        <v/>
      </c>
      <c r="CH6" s="255" t="str">
        <f t="shared" si="9"/>
        <v/>
      </c>
      <c r="CI6" s="255" t="str">
        <f t="shared" si="9"/>
        <v/>
      </c>
      <c r="CJ6" s="255" t="str">
        <f t="shared" si="9"/>
        <v/>
      </c>
      <c r="CK6" s="255" t="str">
        <f t="shared" si="9"/>
        <v/>
      </c>
      <c r="CL6" s="255" t="str">
        <f t="shared" si="9"/>
        <v/>
      </c>
      <c r="CM6" s="255" t="str">
        <f t="shared" si="9"/>
        <v/>
      </c>
      <c r="CN6" s="255" t="str">
        <f t="shared" si="9"/>
        <v/>
      </c>
      <c r="CO6" s="255" t="str">
        <f t="shared" si="9"/>
        <v/>
      </c>
      <c r="CP6" s="255" t="str">
        <f t="shared" si="9"/>
        <v/>
      </c>
      <c r="CQ6" s="255" t="str">
        <f t="shared" si="9"/>
        <v/>
      </c>
      <c r="CR6" s="255" t="str">
        <f t="shared" si="10"/>
        <v/>
      </c>
      <c r="CS6" s="255" t="str">
        <f t="shared" si="10"/>
        <v/>
      </c>
      <c r="CT6" s="255" t="str">
        <f t="shared" si="10"/>
        <v/>
      </c>
      <c r="CU6" s="255" t="str">
        <f t="shared" si="10"/>
        <v/>
      </c>
      <c r="CV6" s="255" t="str">
        <f t="shared" si="10"/>
        <v/>
      </c>
      <c r="CW6" s="255" t="str">
        <f t="shared" si="10"/>
        <v/>
      </c>
      <c r="CX6" s="255" t="str">
        <f t="shared" si="10"/>
        <v/>
      </c>
      <c r="CY6" s="255" t="str">
        <f t="shared" si="10"/>
        <v/>
      </c>
      <c r="CZ6" s="255" t="str">
        <f t="shared" si="10"/>
        <v/>
      </c>
      <c r="DA6" s="255" t="str">
        <f t="shared" si="10"/>
        <v/>
      </c>
      <c r="DB6" s="255" t="str">
        <f t="shared" si="10"/>
        <v/>
      </c>
      <c r="DC6" s="255" t="str">
        <f t="shared" si="10"/>
        <v/>
      </c>
      <c r="DD6" s="2"/>
    </row>
    <row r="7" spans="1:108">
      <c r="A7" s="23">
        <v>1055532</v>
      </c>
      <c r="B7" s="1">
        <v>13</v>
      </c>
      <c r="C7" s="25" t="str">
        <f t="shared" si="5"/>
        <v>1055532-13</v>
      </c>
      <c r="D7" s="24" t="s">
        <v>87</v>
      </c>
      <c r="E7" s="32" t="s">
        <v>93</v>
      </c>
      <c r="F7" s="27">
        <v>42798</v>
      </c>
      <c r="G7" s="33">
        <v>26.4</v>
      </c>
      <c r="H7" s="27">
        <v>42808</v>
      </c>
      <c r="I7" s="33">
        <v>28.1</v>
      </c>
      <c r="J7" s="33">
        <v>8.1</v>
      </c>
      <c r="K7" s="33">
        <v>6.9</v>
      </c>
      <c r="L7" s="28">
        <f t="shared" si="6"/>
        <v>200.53332</v>
      </c>
      <c r="M7" s="251" t="s">
        <v>89</v>
      </c>
      <c r="N7" s="252"/>
      <c r="O7" s="253">
        <f t="shared" si="11"/>
        <v>0</v>
      </c>
      <c r="P7" s="254">
        <f t="shared" si="7"/>
        <v>0</v>
      </c>
      <c r="Q7" s="29"/>
      <c r="R7" s="111"/>
      <c r="S7" s="71">
        <f>8.1*6.9*6.9*0.52</f>
        <v>200.53332</v>
      </c>
      <c r="T7" s="76">
        <v>300.5496</v>
      </c>
      <c r="U7" s="76">
        <f>11.7*9.5*9.5*0.52</f>
        <v>549.08100000000002</v>
      </c>
      <c r="V7" s="76">
        <f>14.3*12.2*12.2*0.52</f>
        <v>1106.77424</v>
      </c>
      <c r="W7" s="76">
        <f>15.5*10.9*10.9*0.52</f>
        <v>957.60860000000014</v>
      </c>
      <c r="X7" s="76">
        <f>13.2*12.7*12.7*0.52</f>
        <v>1107.09456</v>
      </c>
      <c r="Y7" s="76">
        <f>15.3*15*15*0.52</f>
        <v>1790.1000000000001</v>
      </c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2"/>
      <c r="BL7" s="255">
        <f t="shared" si="8"/>
        <v>1</v>
      </c>
      <c r="BM7" s="255">
        <f t="shared" si="8"/>
        <v>1.49875142943826</v>
      </c>
      <c r="BN7" s="255">
        <f t="shared" si="8"/>
        <v>2.7381035730122059</v>
      </c>
      <c r="BO7" s="255">
        <f t="shared" si="8"/>
        <v>5.5191538244118235</v>
      </c>
      <c r="BP7" s="255">
        <f t="shared" si="8"/>
        <v>4.7753091605923652</v>
      </c>
      <c r="BQ7" s="255">
        <f t="shared" si="8"/>
        <v>5.5207511649435617</v>
      </c>
      <c r="BR7" s="255">
        <f t="shared" si="8"/>
        <v>8.9266960722537281</v>
      </c>
      <c r="BS7" s="255" t="str">
        <f t="shared" si="8"/>
        <v/>
      </c>
      <c r="BT7" s="255" t="str">
        <f t="shared" si="8"/>
        <v/>
      </c>
      <c r="BU7" s="255" t="str">
        <f t="shared" si="8"/>
        <v/>
      </c>
      <c r="BV7" s="255" t="str">
        <f t="shared" si="8"/>
        <v/>
      </c>
      <c r="BW7" s="255" t="str">
        <f t="shared" si="8"/>
        <v/>
      </c>
      <c r="BX7" s="255" t="str">
        <f t="shared" si="8"/>
        <v/>
      </c>
      <c r="BY7" s="255" t="str">
        <f t="shared" si="8"/>
        <v/>
      </c>
      <c r="BZ7" s="255" t="str">
        <f t="shared" si="8"/>
        <v/>
      </c>
      <c r="CA7" s="255" t="str">
        <f t="shared" si="8"/>
        <v/>
      </c>
      <c r="CB7" s="255" t="str">
        <f t="shared" si="9"/>
        <v/>
      </c>
      <c r="CC7" s="255" t="str">
        <f t="shared" si="9"/>
        <v/>
      </c>
      <c r="CD7" s="255" t="str">
        <f t="shared" si="9"/>
        <v/>
      </c>
      <c r="CE7" s="255" t="str">
        <f t="shared" si="9"/>
        <v/>
      </c>
      <c r="CF7" s="255" t="str">
        <f t="shared" si="9"/>
        <v/>
      </c>
      <c r="CG7" s="255" t="str">
        <f t="shared" si="9"/>
        <v/>
      </c>
      <c r="CH7" s="255" t="str">
        <f t="shared" si="9"/>
        <v/>
      </c>
      <c r="CI7" s="255" t="str">
        <f t="shared" si="9"/>
        <v/>
      </c>
      <c r="CJ7" s="255" t="str">
        <f t="shared" si="9"/>
        <v/>
      </c>
      <c r="CK7" s="255" t="str">
        <f t="shared" si="9"/>
        <v/>
      </c>
      <c r="CL7" s="255" t="str">
        <f t="shared" si="9"/>
        <v/>
      </c>
      <c r="CM7" s="255" t="str">
        <f t="shared" si="9"/>
        <v/>
      </c>
      <c r="CN7" s="255" t="str">
        <f t="shared" si="9"/>
        <v/>
      </c>
      <c r="CO7" s="255" t="str">
        <f t="shared" si="9"/>
        <v/>
      </c>
      <c r="CP7" s="255" t="str">
        <f t="shared" si="9"/>
        <v/>
      </c>
      <c r="CQ7" s="255" t="str">
        <f t="shared" si="9"/>
        <v/>
      </c>
      <c r="CR7" s="255" t="str">
        <f t="shared" si="10"/>
        <v/>
      </c>
      <c r="CS7" s="255" t="str">
        <f t="shared" si="10"/>
        <v/>
      </c>
      <c r="CT7" s="255" t="str">
        <f t="shared" si="10"/>
        <v/>
      </c>
      <c r="CU7" s="255" t="str">
        <f t="shared" si="10"/>
        <v/>
      </c>
      <c r="CV7" s="255" t="str">
        <f t="shared" si="10"/>
        <v/>
      </c>
      <c r="CW7" s="255" t="str">
        <f t="shared" si="10"/>
        <v/>
      </c>
      <c r="CX7" s="255" t="str">
        <f t="shared" si="10"/>
        <v/>
      </c>
      <c r="CY7" s="255" t="str">
        <f t="shared" si="10"/>
        <v/>
      </c>
      <c r="CZ7" s="255" t="str">
        <f t="shared" si="10"/>
        <v/>
      </c>
      <c r="DA7" s="255" t="str">
        <f t="shared" si="10"/>
        <v/>
      </c>
      <c r="DB7" s="255" t="str">
        <f t="shared" si="10"/>
        <v/>
      </c>
      <c r="DC7" s="255" t="str">
        <f t="shared" si="10"/>
        <v/>
      </c>
      <c r="DD7" s="2"/>
    </row>
    <row r="8" spans="1:108">
      <c r="A8" s="23">
        <v>1055532</v>
      </c>
      <c r="B8" s="1">
        <v>14</v>
      </c>
      <c r="C8" s="25" t="str">
        <f t="shared" si="5"/>
        <v>1055532-14</v>
      </c>
      <c r="D8" s="24" t="s">
        <v>87</v>
      </c>
      <c r="E8" s="32" t="s">
        <v>68</v>
      </c>
      <c r="F8" s="27">
        <v>42798</v>
      </c>
      <c r="G8" s="33">
        <v>26.9</v>
      </c>
      <c r="H8" s="27">
        <v>42808</v>
      </c>
      <c r="I8" s="33">
        <v>28.3</v>
      </c>
      <c r="J8" s="33">
        <v>8.4</v>
      </c>
      <c r="K8" s="33">
        <v>6.3</v>
      </c>
      <c r="L8" s="28">
        <f t="shared" si="6"/>
        <v>173.36592000000002</v>
      </c>
      <c r="M8" s="251"/>
      <c r="N8" s="252">
        <v>125</v>
      </c>
      <c r="O8" s="253">
        <f t="shared" si="11"/>
        <v>11.042402826855124</v>
      </c>
      <c r="P8" s="254">
        <f t="shared" si="7"/>
        <v>1.8025457367860993</v>
      </c>
      <c r="Q8" s="29"/>
      <c r="R8" s="111"/>
      <c r="S8" s="71">
        <f>8.4*6.3*6.3*0.52</f>
        <v>173.36592000000002</v>
      </c>
      <c r="T8" s="76">
        <v>251.55</v>
      </c>
      <c r="U8" s="76">
        <f>10.4*8.4*8.4*0.52</f>
        <v>381.58848000000012</v>
      </c>
      <c r="V8" s="76">
        <f>16.4*9.6*9.6*0.52</f>
        <v>785.94047999999987</v>
      </c>
      <c r="W8" s="76">
        <f>19.6*11.6*11.6*0.52</f>
        <v>1371.4355200000002</v>
      </c>
      <c r="X8" s="76">
        <f>21.2*14.1*14.1*0.52</f>
        <v>2191.6814399999994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2"/>
      <c r="BL8" s="255">
        <f t="shared" si="8"/>
        <v>1</v>
      </c>
      <c r="BM8" s="255">
        <f t="shared" si="8"/>
        <v>1.4509772162833388</v>
      </c>
      <c r="BN8" s="255">
        <f t="shared" si="8"/>
        <v>2.2010582010582014</v>
      </c>
      <c r="BO8" s="255">
        <f t="shared" si="8"/>
        <v>4.5334197170931851</v>
      </c>
      <c r="BP8" s="255">
        <f t="shared" si="8"/>
        <v>7.9106407995296886</v>
      </c>
      <c r="BQ8" s="255">
        <f t="shared" si="8"/>
        <v>12.641939315408699</v>
      </c>
      <c r="BR8" s="255" t="str">
        <f t="shared" si="8"/>
        <v/>
      </c>
      <c r="BS8" s="255" t="str">
        <f t="shared" si="8"/>
        <v/>
      </c>
      <c r="BT8" s="255" t="str">
        <f t="shared" si="8"/>
        <v/>
      </c>
      <c r="BU8" s="255" t="str">
        <f t="shared" si="8"/>
        <v/>
      </c>
      <c r="BV8" s="255" t="str">
        <f t="shared" si="8"/>
        <v/>
      </c>
      <c r="BW8" s="255" t="str">
        <f t="shared" si="8"/>
        <v/>
      </c>
      <c r="BX8" s="255" t="str">
        <f t="shared" si="8"/>
        <v/>
      </c>
      <c r="BY8" s="255" t="str">
        <f t="shared" si="8"/>
        <v/>
      </c>
      <c r="BZ8" s="255" t="str">
        <f t="shared" si="8"/>
        <v/>
      </c>
      <c r="CA8" s="255" t="str">
        <f t="shared" si="8"/>
        <v/>
      </c>
      <c r="CB8" s="255" t="str">
        <f t="shared" si="9"/>
        <v/>
      </c>
      <c r="CC8" s="255" t="str">
        <f t="shared" si="9"/>
        <v/>
      </c>
      <c r="CD8" s="255" t="str">
        <f t="shared" si="9"/>
        <v/>
      </c>
      <c r="CE8" s="255" t="str">
        <f t="shared" si="9"/>
        <v/>
      </c>
      <c r="CF8" s="255" t="str">
        <f t="shared" si="9"/>
        <v/>
      </c>
      <c r="CG8" s="255" t="str">
        <f t="shared" si="9"/>
        <v/>
      </c>
      <c r="CH8" s="255" t="str">
        <f t="shared" si="9"/>
        <v/>
      </c>
      <c r="CI8" s="255" t="str">
        <f t="shared" si="9"/>
        <v/>
      </c>
      <c r="CJ8" s="255" t="str">
        <f t="shared" si="9"/>
        <v/>
      </c>
      <c r="CK8" s="255" t="str">
        <f t="shared" si="9"/>
        <v/>
      </c>
      <c r="CL8" s="255" t="str">
        <f t="shared" si="9"/>
        <v/>
      </c>
      <c r="CM8" s="255" t="str">
        <f t="shared" si="9"/>
        <v/>
      </c>
      <c r="CN8" s="255" t="str">
        <f t="shared" si="9"/>
        <v/>
      </c>
      <c r="CO8" s="255" t="str">
        <f t="shared" si="9"/>
        <v/>
      </c>
      <c r="CP8" s="255" t="str">
        <f t="shared" si="9"/>
        <v/>
      </c>
      <c r="CQ8" s="255" t="str">
        <f t="shared" si="9"/>
        <v/>
      </c>
      <c r="CR8" s="255" t="str">
        <f t="shared" si="10"/>
        <v/>
      </c>
      <c r="CS8" s="255" t="str">
        <f t="shared" si="10"/>
        <v/>
      </c>
      <c r="CT8" s="255" t="str">
        <f t="shared" si="10"/>
        <v/>
      </c>
      <c r="CU8" s="255" t="str">
        <f t="shared" si="10"/>
        <v/>
      </c>
      <c r="CV8" s="255" t="str">
        <f t="shared" si="10"/>
        <v/>
      </c>
      <c r="CW8" s="255" t="str">
        <f t="shared" si="10"/>
        <v/>
      </c>
      <c r="CX8" s="255" t="str">
        <f t="shared" si="10"/>
        <v/>
      </c>
      <c r="CY8" s="255" t="str">
        <f t="shared" si="10"/>
        <v/>
      </c>
      <c r="CZ8" s="255" t="str">
        <f t="shared" si="10"/>
        <v/>
      </c>
      <c r="DA8" s="255" t="str">
        <f t="shared" si="10"/>
        <v/>
      </c>
      <c r="DB8" s="255" t="str">
        <f t="shared" si="10"/>
        <v/>
      </c>
      <c r="DC8" s="255" t="str">
        <f t="shared" si="10"/>
        <v/>
      </c>
      <c r="DD8" s="2"/>
    </row>
    <row r="9" spans="1:108">
      <c r="A9" s="23">
        <v>1055532</v>
      </c>
      <c r="B9" s="1">
        <v>15</v>
      </c>
      <c r="C9" s="25" t="str">
        <f t="shared" si="5"/>
        <v>1055532-15</v>
      </c>
      <c r="D9" s="24" t="s">
        <v>87</v>
      </c>
      <c r="E9" s="32"/>
      <c r="F9" s="27">
        <v>42798</v>
      </c>
      <c r="G9" s="33">
        <v>25.1</v>
      </c>
      <c r="H9" s="27">
        <v>42808</v>
      </c>
      <c r="I9" s="33">
        <v>27</v>
      </c>
      <c r="J9" s="33"/>
      <c r="K9" s="33"/>
      <c r="L9" s="28">
        <f t="shared" si="6"/>
        <v>0</v>
      </c>
      <c r="M9" s="251"/>
      <c r="N9" s="252"/>
      <c r="O9" s="253">
        <f t="shared" si="11"/>
        <v>0</v>
      </c>
      <c r="P9" s="254" t="e">
        <f t="shared" si="7"/>
        <v>#DIV/0!</v>
      </c>
      <c r="Q9" s="29"/>
      <c r="R9" s="111"/>
      <c r="S9" s="71"/>
      <c r="T9" s="76">
        <v>119.77575999999999</v>
      </c>
      <c r="U9" s="76">
        <f>8.2*5.3*5.3*0.52</f>
        <v>119.77575999999999</v>
      </c>
      <c r="V9" s="76">
        <f>14.6*10.9*10.9*0.52</f>
        <v>902.00552000000016</v>
      </c>
      <c r="W9" s="76">
        <f>13.4*11.1*11.1*0.52</f>
        <v>858.52728000000013</v>
      </c>
      <c r="X9" s="76">
        <f>14.9*13.3*13.3*0.52</f>
        <v>1370.5437200000003</v>
      </c>
      <c r="Y9" s="76">
        <f>17.4*16*16*0.52</f>
        <v>2316.288</v>
      </c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2"/>
      <c r="BL9" s="255" t="str">
        <f t="shared" si="8"/>
        <v/>
      </c>
      <c r="BM9" s="255" t="str">
        <f t="shared" si="8"/>
        <v/>
      </c>
      <c r="BN9" s="255" t="str">
        <f t="shared" si="8"/>
        <v/>
      </c>
      <c r="BO9" s="255" t="str">
        <f t="shared" si="8"/>
        <v/>
      </c>
      <c r="BP9" s="255" t="str">
        <f t="shared" si="8"/>
        <v/>
      </c>
      <c r="BQ9" s="255" t="str">
        <f t="shared" si="8"/>
        <v/>
      </c>
      <c r="BR9" s="255" t="str">
        <f t="shared" si="8"/>
        <v/>
      </c>
      <c r="BS9" s="255" t="str">
        <f t="shared" si="8"/>
        <v/>
      </c>
      <c r="BT9" s="255" t="str">
        <f t="shared" si="8"/>
        <v/>
      </c>
      <c r="BU9" s="255" t="str">
        <f t="shared" si="8"/>
        <v/>
      </c>
      <c r="BV9" s="255" t="str">
        <f t="shared" si="8"/>
        <v/>
      </c>
      <c r="BW9" s="255" t="str">
        <f t="shared" si="8"/>
        <v/>
      </c>
      <c r="BX9" s="255" t="str">
        <f t="shared" si="8"/>
        <v/>
      </c>
      <c r="BY9" s="255" t="str">
        <f t="shared" si="8"/>
        <v/>
      </c>
      <c r="BZ9" s="255" t="str">
        <f t="shared" si="8"/>
        <v/>
      </c>
      <c r="CA9" s="255" t="str">
        <f t="shared" si="8"/>
        <v/>
      </c>
      <c r="CB9" s="255" t="str">
        <f t="shared" si="9"/>
        <v/>
      </c>
      <c r="CC9" s="255" t="str">
        <f t="shared" si="9"/>
        <v/>
      </c>
      <c r="CD9" s="255" t="str">
        <f t="shared" si="9"/>
        <v/>
      </c>
      <c r="CE9" s="255" t="str">
        <f t="shared" si="9"/>
        <v/>
      </c>
      <c r="CF9" s="255" t="str">
        <f t="shared" si="9"/>
        <v/>
      </c>
      <c r="CG9" s="255" t="str">
        <f t="shared" si="9"/>
        <v/>
      </c>
      <c r="CH9" s="255" t="str">
        <f t="shared" si="9"/>
        <v/>
      </c>
      <c r="CI9" s="255" t="str">
        <f t="shared" si="9"/>
        <v/>
      </c>
      <c r="CJ9" s="255" t="str">
        <f t="shared" si="9"/>
        <v/>
      </c>
      <c r="CK9" s="255" t="str">
        <f t="shared" si="9"/>
        <v/>
      </c>
      <c r="CL9" s="255" t="str">
        <f t="shared" si="9"/>
        <v/>
      </c>
      <c r="CM9" s="255" t="str">
        <f t="shared" si="9"/>
        <v/>
      </c>
      <c r="CN9" s="255" t="str">
        <f t="shared" si="9"/>
        <v/>
      </c>
      <c r="CO9" s="255" t="str">
        <f t="shared" si="9"/>
        <v/>
      </c>
      <c r="CP9" s="255" t="str">
        <f t="shared" si="9"/>
        <v/>
      </c>
      <c r="CQ9" s="255" t="str">
        <f t="shared" si="9"/>
        <v/>
      </c>
      <c r="CR9" s="255" t="str">
        <f t="shared" si="10"/>
        <v/>
      </c>
      <c r="CS9" s="255" t="str">
        <f t="shared" si="10"/>
        <v/>
      </c>
      <c r="CT9" s="255" t="str">
        <f t="shared" si="10"/>
        <v/>
      </c>
      <c r="CU9" s="255" t="str">
        <f t="shared" si="10"/>
        <v/>
      </c>
      <c r="CV9" s="255" t="str">
        <f t="shared" si="10"/>
        <v/>
      </c>
      <c r="CW9" s="255" t="str">
        <f t="shared" si="10"/>
        <v/>
      </c>
      <c r="CX9" s="255" t="str">
        <f t="shared" si="10"/>
        <v/>
      </c>
      <c r="CY9" s="255" t="str">
        <f t="shared" si="10"/>
        <v/>
      </c>
      <c r="CZ9" s="255" t="str">
        <f t="shared" si="10"/>
        <v/>
      </c>
      <c r="DA9" s="255" t="str">
        <f t="shared" si="10"/>
        <v/>
      </c>
      <c r="DB9" s="255" t="str">
        <f t="shared" si="10"/>
        <v/>
      </c>
      <c r="DC9" s="255" t="str">
        <f t="shared" si="10"/>
        <v/>
      </c>
      <c r="DD9" s="2"/>
    </row>
    <row r="10" spans="1:108">
      <c r="A10" s="35">
        <v>1057006</v>
      </c>
      <c r="B10" s="1">
        <v>21</v>
      </c>
      <c r="C10" s="25" t="str">
        <f t="shared" si="5"/>
        <v>1057006-21</v>
      </c>
      <c r="D10" s="24" t="s">
        <v>87</v>
      </c>
      <c r="E10" s="32" t="s">
        <v>68</v>
      </c>
      <c r="F10" s="27">
        <v>42798</v>
      </c>
      <c r="G10" s="33">
        <v>26.1</v>
      </c>
      <c r="H10" s="27">
        <v>42808</v>
      </c>
      <c r="I10" s="33">
        <v>27</v>
      </c>
      <c r="J10" s="33">
        <v>11.3</v>
      </c>
      <c r="K10" s="33">
        <v>6.6</v>
      </c>
      <c r="L10" s="28">
        <f t="shared" si="6"/>
        <v>255.95855999999998</v>
      </c>
      <c r="M10" s="251"/>
      <c r="N10" s="252">
        <v>125</v>
      </c>
      <c r="O10" s="253">
        <f t="shared" si="11"/>
        <v>11.574074074074073</v>
      </c>
      <c r="P10" s="254">
        <f t="shared" si="7"/>
        <v>1.2209007583102516</v>
      </c>
      <c r="Q10" s="29"/>
      <c r="R10" s="111"/>
      <c r="S10" s="71">
        <f>11.3*6.6*6.6*0.52</f>
        <v>255.95855999999998</v>
      </c>
      <c r="T10" s="76">
        <v>298.11599999999999</v>
      </c>
      <c r="U10" s="76">
        <f>13*7.6*7.6*0.52</f>
        <v>390.45760000000001</v>
      </c>
      <c r="V10" s="76">
        <f>14.9*9.5*9.5*0.52</f>
        <v>699.25700000000006</v>
      </c>
      <c r="W10" s="76">
        <f>16.9*10.8*10.8*0.52</f>
        <v>1025.0323200000003</v>
      </c>
      <c r="X10" s="76">
        <f>18.3*11.6*11.6*0.52</f>
        <v>1280.4729600000001</v>
      </c>
      <c r="Y10" s="76">
        <f>21.6*14*14*0.52</f>
        <v>2201.4720000000002</v>
      </c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2"/>
      <c r="BL10" s="255">
        <f t="shared" si="8"/>
        <v>1</v>
      </c>
      <c r="BM10" s="255">
        <f t="shared" si="8"/>
        <v>1.1647041614861406</v>
      </c>
      <c r="BN10" s="255">
        <f t="shared" si="8"/>
        <v>1.5254719357696029</v>
      </c>
      <c r="BO10" s="255">
        <f t="shared" si="8"/>
        <v>2.7319148849720052</v>
      </c>
      <c r="BP10" s="255">
        <f t="shared" si="8"/>
        <v>4.0046807576976535</v>
      </c>
      <c r="BQ10" s="255">
        <f t="shared" si="8"/>
        <v>5.0026573051512724</v>
      </c>
      <c r="BR10" s="255">
        <f t="shared" si="8"/>
        <v>8.6008922694361161</v>
      </c>
      <c r="BS10" s="255" t="str">
        <f t="shared" si="8"/>
        <v/>
      </c>
      <c r="BT10" s="255" t="str">
        <f t="shared" si="8"/>
        <v/>
      </c>
      <c r="BU10" s="255" t="str">
        <f t="shared" si="8"/>
        <v/>
      </c>
      <c r="BV10" s="255" t="str">
        <f t="shared" si="8"/>
        <v/>
      </c>
      <c r="BW10" s="255" t="str">
        <f t="shared" si="8"/>
        <v/>
      </c>
      <c r="BX10" s="255" t="str">
        <f t="shared" si="8"/>
        <v/>
      </c>
      <c r="BY10" s="255" t="str">
        <f t="shared" si="8"/>
        <v/>
      </c>
      <c r="BZ10" s="255" t="str">
        <f t="shared" si="8"/>
        <v/>
      </c>
      <c r="CA10" s="255" t="str">
        <f t="shared" si="8"/>
        <v/>
      </c>
      <c r="CB10" s="255" t="str">
        <f t="shared" si="9"/>
        <v/>
      </c>
      <c r="CC10" s="255" t="str">
        <f t="shared" si="9"/>
        <v/>
      </c>
      <c r="CD10" s="255" t="str">
        <f t="shared" si="9"/>
        <v/>
      </c>
      <c r="CE10" s="255" t="str">
        <f t="shared" si="9"/>
        <v/>
      </c>
      <c r="CF10" s="255" t="str">
        <f t="shared" si="9"/>
        <v/>
      </c>
      <c r="CG10" s="255" t="str">
        <f t="shared" si="9"/>
        <v/>
      </c>
      <c r="CH10" s="255" t="str">
        <f t="shared" si="9"/>
        <v/>
      </c>
      <c r="CI10" s="255" t="str">
        <f t="shared" si="9"/>
        <v/>
      </c>
      <c r="CJ10" s="255" t="str">
        <f t="shared" si="9"/>
        <v/>
      </c>
      <c r="CK10" s="255" t="str">
        <f t="shared" si="9"/>
        <v/>
      </c>
      <c r="CL10" s="255" t="str">
        <f t="shared" si="9"/>
        <v/>
      </c>
      <c r="CM10" s="255" t="str">
        <f t="shared" si="9"/>
        <v/>
      </c>
      <c r="CN10" s="255" t="str">
        <f t="shared" si="9"/>
        <v/>
      </c>
      <c r="CO10" s="255" t="str">
        <f t="shared" si="9"/>
        <v/>
      </c>
      <c r="CP10" s="255" t="str">
        <f t="shared" si="9"/>
        <v/>
      </c>
      <c r="CQ10" s="255" t="str">
        <f t="shared" si="9"/>
        <v/>
      </c>
      <c r="CR10" s="255" t="str">
        <f t="shared" si="10"/>
        <v/>
      </c>
      <c r="CS10" s="255" t="str">
        <f t="shared" si="10"/>
        <v/>
      </c>
      <c r="CT10" s="255" t="str">
        <f t="shared" si="10"/>
        <v/>
      </c>
      <c r="CU10" s="255" t="str">
        <f t="shared" si="10"/>
        <v/>
      </c>
      <c r="CV10" s="255" t="str">
        <f t="shared" si="10"/>
        <v/>
      </c>
      <c r="CW10" s="255" t="str">
        <f t="shared" si="10"/>
        <v/>
      </c>
      <c r="CX10" s="255" t="str">
        <f t="shared" si="10"/>
        <v/>
      </c>
      <c r="CY10" s="255" t="str">
        <f t="shared" si="10"/>
        <v/>
      </c>
      <c r="CZ10" s="255" t="str">
        <f t="shared" si="10"/>
        <v/>
      </c>
      <c r="DA10" s="255" t="str">
        <f t="shared" si="10"/>
        <v/>
      </c>
      <c r="DB10" s="255" t="str">
        <f t="shared" si="10"/>
        <v/>
      </c>
      <c r="DC10" s="255" t="str">
        <f t="shared" si="10"/>
        <v/>
      </c>
      <c r="DD10" s="2"/>
    </row>
    <row r="11" spans="1:108">
      <c r="A11" s="35">
        <v>1057006</v>
      </c>
      <c r="B11" s="1">
        <v>22</v>
      </c>
      <c r="C11" s="25" t="str">
        <f t="shared" si="5"/>
        <v>1057006-22</v>
      </c>
      <c r="D11" s="24" t="s">
        <v>87</v>
      </c>
      <c r="E11" s="32" t="s">
        <v>88</v>
      </c>
      <c r="F11" s="27">
        <v>42798</v>
      </c>
      <c r="G11" s="33">
        <v>30</v>
      </c>
      <c r="H11" s="27">
        <v>42808</v>
      </c>
      <c r="I11" s="33">
        <v>32.5</v>
      </c>
      <c r="J11" s="33">
        <v>9.4</v>
      </c>
      <c r="K11" s="33">
        <v>6.7</v>
      </c>
      <c r="L11" s="28">
        <f t="shared" si="6"/>
        <v>219.42232000000001</v>
      </c>
      <c r="M11" s="251"/>
      <c r="N11" s="252"/>
      <c r="O11" s="253">
        <f t="shared" si="11"/>
        <v>0</v>
      </c>
      <c r="P11" s="254">
        <f t="shared" si="7"/>
        <v>0</v>
      </c>
      <c r="Q11" s="29"/>
      <c r="R11" s="111"/>
      <c r="S11" s="71">
        <f>9.4*6.7*6.7*0.52</f>
        <v>219.42232000000004</v>
      </c>
      <c r="T11" s="76">
        <v>336.05572000000006</v>
      </c>
      <c r="U11" s="76">
        <f>11.9*8.1*8.1*0.52</f>
        <v>405.99468000000002</v>
      </c>
      <c r="V11" s="76">
        <f>14.8*10.5*10.5*0.52</f>
        <v>848.48400000000004</v>
      </c>
      <c r="W11" s="76">
        <f>15.6*11*11*0.52</f>
        <v>981.55200000000002</v>
      </c>
      <c r="X11" s="76">
        <f>17.2*13.7*13.7*0.52</f>
        <v>1678.6993599999998</v>
      </c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2"/>
      <c r="BL11" s="255">
        <f t="shared" si="8"/>
        <v>1.0000000000000002</v>
      </c>
      <c r="BM11" s="255">
        <f t="shared" si="8"/>
        <v>1.5315475654436614</v>
      </c>
      <c r="BN11" s="255">
        <f t="shared" si="8"/>
        <v>1.8502888858344038</v>
      </c>
      <c r="BO11" s="255">
        <f t="shared" si="8"/>
        <v>3.8668992288478217</v>
      </c>
      <c r="BP11" s="255">
        <f t="shared" si="8"/>
        <v>4.4733461937691663</v>
      </c>
      <c r="BQ11" s="255">
        <f t="shared" si="8"/>
        <v>7.6505405648796341</v>
      </c>
      <c r="BR11" s="255" t="str">
        <f t="shared" si="8"/>
        <v/>
      </c>
      <c r="BS11" s="255" t="str">
        <f t="shared" si="8"/>
        <v/>
      </c>
      <c r="BT11" s="255" t="str">
        <f t="shared" si="8"/>
        <v/>
      </c>
      <c r="BU11" s="255" t="str">
        <f t="shared" si="8"/>
        <v/>
      </c>
      <c r="BV11" s="255" t="str">
        <f t="shared" si="8"/>
        <v/>
      </c>
      <c r="BW11" s="255" t="str">
        <f t="shared" si="8"/>
        <v/>
      </c>
      <c r="BX11" s="255" t="str">
        <f t="shared" si="8"/>
        <v/>
      </c>
      <c r="BY11" s="255" t="str">
        <f t="shared" si="8"/>
        <v/>
      </c>
      <c r="BZ11" s="255" t="str">
        <f t="shared" si="8"/>
        <v/>
      </c>
      <c r="CA11" s="255" t="str">
        <f t="shared" si="8"/>
        <v/>
      </c>
      <c r="CB11" s="255" t="str">
        <f t="shared" si="9"/>
        <v/>
      </c>
      <c r="CC11" s="255" t="str">
        <f t="shared" si="9"/>
        <v/>
      </c>
      <c r="CD11" s="255" t="str">
        <f t="shared" si="9"/>
        <v/>
      </c>
      <c r="CE11" s="255" t="str">
        <f t="shared" si="9"/>
        <v/>
      </c>
      <c r="CF11" s="255" t="str">
        <f t="shared" si="9"/>
        <v/>
      </c>
      <c r="CG11" s="255" t="str">
        <f t="shared" si="9"/>
        <v/>
      </c>
      <c r="CH11" s="255" t="str">
        <f t="shared" si="9"/>
        <v/>
      </c>
      <c r="CI11" s="255" t="str">
        <f t="shared" si="9"/>
        <v/>
      </c>
      <c r="CJ11" s="255" t="str">
        <f t="shared" si="9"/>
        <v/>
      </c>
      <c r="CK11" s="255" t="str">
        <f t="shared" si="9"/>
        <v/>
      </c>
      <c r="CL11" s="255" t="str">
        <f t="shared" si="9"/>
        <v/>
      </c>
      <c r="CM11" s="255" t="str">
        <f t="shared" si="9"/>
        <v/>
      </c>
      <c r="CN11" s="255" t="str">
        <f t="shared" si="9"/>
        <v/>
      </c>
      <c r="CO11" s="255" t="str">
        <f t="shared" si="9"/>
        <v/>
      </c>
      <c r="CP11" s="255" t="str">
        <f t="shared" si="9"/>
        <v/>
      </c>
      <c r="CQ11" s="255" t="str">
        <f t="shared" si="9"/>
        <v/>
      </c>
      <c r="CR11" s="255" t="str">
        <f t="shared" si="10"/>
        <v/>
      </c>
      <c r="CS11" s="255" t="str">
        <f t="shared" si="10"/>
        <v/>
      </c>
      <c r="CT11" s="255" t="str">
        <f t="shared" si="10"/>
        <v/>
      </c>
      <c r="CU11" s="255" t="str">
        <f t="shared" si="10"/>
        <v/>
      </c>
      <c r="CV11" s="255" t="str">
        <f t="shared" si="10"/>
        <v/>
      </c>
      <c r="CW11" s="255" t="str">
        <f t="shared" si="10"/>
        <v/>
      </c>
      <c r="CX11" s="255" t="str">
        <f t="shared" si="10"/>
        <v/>
      </c>
      <c r="CY11" s="255" t="str">
        <f t="shared" si="10"/>
        <v/>
      </c>
      <c r="CZ11" s="255" t="str">
        <f t="shared" si="10"/>
        <v/>
      </c>
      <c r="DA11" s="255" t="str">
        <f t="shared" si="10"/>
        <v/>
      </c>
      <c r="DB11" s="255" t="str">
        <f t="shared" si="10"/>
        <v/>
      </c>
      <c r="DC11" s="255" t="str">
        <f t="shared" si="10"/>
        <v/>
      </c>
      <c r="DD11" s="2"/>
    </row>
    <row r="12" spans="1:108">
      <c r="A12" s="35">
        <v>1057006</v>
      </c>
      <c r="B12" s="1">
        <v>23</v>
      </c>
      <c r="C12" s="25" t="str">
        <f t="shared" si="5"/>
        <v>1057006-23</v>
      </c>
      <c r="D12" s="24" t="s">
        <v>87</v>
      </c>
      <c r="E12" s="32" t="s">
        <v>94</v>
      </c>
      <c r="F12" s="27">
        <v>42798</v>
      </c>
      <c r="G12" s="33">
        <v>24.8</v>
      </c>
      <c r="H12" s="27">
        <v>42808</v>
      </c>
      <c r="I12" s="33">
        <v>25.4</v>
      </c>
      <c r="J12" s="33">
        <v>11.2</v>
      </c>
      <c r="K12" s="33">
        <v>7.6</v>
      </c>
      <c r="L12" s="28">
        <f t="shared" si="6"/>
        <v>336.39423999999997</v>
      </c>
      <c r="M12" s="251" t="s">
        <v>89</v>
      </c>
      <c r="N12" s="252">
        <v>125</v>
      </c>
      <c r="O12" s="253">
        <f t="shared" si="11"/>
        <v>12.303149606299213</v>
      </c>
      <c r="P12" s="254">
        <f t="shared" si="7"/>
        <v>0.92896953289093187</v>
      </c>
      <c r="Q12" s="29"/>
      <c r="R12" s="111"/>
      <c r="S12" s="71">
        <f>11.2*7.6*7.6*0.52</f>
        <v>336.39423999999997</v>
      </c>
      <c r="T12" s="76">
        <v>367.13040000000001</v>
      </c>
      <c r="U12" s="76">
        <f>12.4*8.7*8.7*0.52</f>
        <v>488.04911999999996</v>
      </c>
      <c r="V12" s="76">
        <f>18.8*10.2*10.2*0.52</f>
        <v>1017.0950399999999</v>
      </c>
      <c r="W12" s="76">
        <f>21*12.2*12.2*0.52</f>
        <v>1625.3327999999999</v>
      </c>
      <c r="X12" s="76">
        <f>20.7*12.1*12.1*0.52</f>
        <v>1575.9572399999997</v>
      </c>
      <c r="Y12" s="76">
        <f>21.5*12.7*12.7*0.52</f>
        <v>1803.2222000000002</v>
      </c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2"/>
      <c r="BL12" s="255">
        <f t="shared" si="8"/>
        <v>1</v>
      </c>
      <c r="BM12" s="255">
        <f t="shared" si="8"/>
        <v>1.0913694598337951</v>
      </c>
      <c r="BN12" s="255">
        <f t="shared" si="8"/>
        <v>1.4508248417095371</v>
      </c>
      <c r="BO12" s="255">
        <f t="shared" si="8"/>
        <v>3.0235209734863475</v>
      </c>
      <c r="BP12" s="255">
        <f t="shared" si="8"/>
        <v>4.8316308864265931</v>
      </c>
      <c r="BQ12" s="255">
        <f t="shared" si="8"/>
        <v>4.684852035516422</v>
      </c>
      <c r="BR12" s="255">
        <f t="shared" si="8"/>
        <v>5.3604431514641879</v>
      </c>
      <c r="BS12" s="255" t="str">
        <f t="shared" si="8"/>
        <v/>
      </c>
      <c r="BT12" s="255" t="str">
        <f t="shared" si="8"/>
        <v/>
      </c>
      <c r="BU12" s="255" t="str">
        <f t="shared" si="8"/>
        <v/>
      </c>
      <c r="BV12" s="255" t="str">
        <f t="shared" si="8"/>
        <v/>
      </c>
      <c r="BW12" s="255" t="str">
        <f t="shared" si="8"/>
        <v/>
      </c>
      <c r="BX12" s="255" t="str">
        <f t="shared" si="8"/>
        <v/>
      </c>
      <c r="BY12" s="255" t="str">
        <f t="shared" si="8"/>
        <v/>
      </c>
      <c r="BZ12" s="255" t="str">
        <f t="shared" si="8"/>
        <v/>
      </c>
      <c r="CA12" s="255" t="str">
        <f t="shared" si="8"/>
        <v/>
      </c>
      <c r="CB12" s="255" t="str">
        <f t="shared" si="9"/>
        <v/>
      </c>
      <c r="CC12" s="255" t="str">
        <f t="shared" si="9"/>
        <v/>
      </c>
      <c r="CD12" s="255" t="str">
        <f t="shared" si="9"/>
        <v/>
      </c>
      <c r="CE12" s="255" t="str">
        <f t="shared" si="9"/>
        <v/>
      </c>
      <c r="CF12" s="255" t="str">
        <f t="shared" si="9"/>
        <v/>
      </c>
      <c r="CG12" s="255" t="str">
        <f t="shared" si="9"/>
        <v/>
      </c>
      <c r="CH12" s="255" t="str">
        <f t="shared" si="9"/>
        <v/>
      </c>
      <c r="CI12" s="255" t="str">
        <f t="shared" si="9"/>
        <v/>
      </c>
      <c r="CJ12" s="255" t="str">
        <f t="shared" si="9"/>
        <v/>
      </c>
      <c r="CK12" s="255" t="str">
        <f t="shared" si="9"/>
        <v/>
      </c>
      <c r="CL12" s="255" t="str">
        <f t="shared" si="9"/>
        <v/>
      </c>
      <c r="CM12" s="255" t="str">
        <f t="shared" si="9"/>
        <v/>
      </c>
      <c r="CN12" s="255" t="str">
        <f t="shared" si="9"/>
        <v/>
      </c>
      <c r="CO12" s="255" t="str">
        <f t="shared" si="9"/>
        <v/>
      </c>
      <c r="CP12" s="255" t="str">
        <f t="shared" si="9"/>
        <v/>
      </c>
      <c r="CQ12" s="255" t="str">
        <f t="shared" si="9"/>
        <v/>
      </c>
      <c r="CR12" s="255" t="str">
        <f t="shared" si="10"/>
        <v/>
      </c>
      <c r="CS12" s="255" t="str">
        <f t="shared" si="10"/>
        <v/>
      </c>
      <c r="CT12" s="255" t="str">
        <f t="shared" si="10"/>
        <v/>
      </c>
      <c r="CU12" s="255" t="str">
        <f t="shared" si="10"/>
        <v/>
      </c>
      <c r="CV12" s="255" t="str">
        <f t="shared" si="10"/>
        <v/>
      </c>
      <c r="CW12" s="255" t="str">
        <f t="shared" si="10"/>
        <v/>
      </c>
      <c r="CX12" s="255" t="str">
        <f t="shared" si="10"/>
        <v/>
      </c>
      <c r="CY12" s="255" t="str">
        <f t="shared" si="10"/>
        <v/>
      </c>
      <c r="CZ12" s="255" t="str">
        <f t="shared" si="10"/>
        <v/>
      </c>
      <c r="DA12" s="255" t="str">
        <f t="shared" si="10"/>
        <v/>
      </c>
      <c r="DB12" s="255" t="str">
        <f t="shared" si="10"/>
        <v/>
      </c>
      <c r="DC12" s="255" t="str">
        <f t="shared" si="10"/>
        <v/>
      </c>
      <c r="DD12" s="2"/>
    </row>
    <row r="13" spans="1:108">
      <c r="A13" s="35">
        <v>1057006</v>
      </c>
      <c r="B13" s="1">
        <v>24</v>
      </c>
      <c r="C13" s="25" t="str">
        <f t="shared" si="5"/>
        <v>1057006-24</v>
      </c>
      <c r="D13" s="24" t="s">
        <v>87</v>
      </c>
      <c r="E13" s="32" t="s">
        <v>93</v>
      </c>
      <c r="F13" s="27">
        <v>42798</v>
      </c>
      <c r="G13" s="33">
        <v>28.5</v>
      </c>
      <c r="H13" s="27">
        <v>42808</v>
      </c>
      <c r="I13" s="33">
        <v>29.4</v>
      </c>
      <c r="J13" s="33">
        <v>8.1999999999999993</v>
      </c>
      <c r="K13" s="33">
        <v>6</v>
      </c>
      <c r="L13" s="28">
        <f t="shared" si="6"/>
        <v>153.50399999999999</v>
      </c>
      <c r="M13" s="251" t="s">
        <v>89</v>
      </c>
      <c r="N13" s="252"/>
      <c r="O13" s="253">
        <f t="shared" si="11"/>
        <v>0</v>
      </c>
      <c r="P13" s="254">
        <f t="shared" si="7"/>
        <v>0</v>
      </c>
      <c r="Q13" s="29"/>
      <c r="R13" s="111"/>
      <c r="S13" s="71">
        <f>8.2*6*6*0.52</f>
        <v>153.50399999999999</v>
      </c>
      <c r="T13" s="76">
        <v>283.04640000000006</v>
      </c>
      <c r="U13" s="76">
        <f>12.9*9.3*9.3*0.52</f>
        <v>580.17492000000016</v>
      </c>
      <c r="V13" s="76">
        <f>14.1*11.4*11.4*0.52</f>
        <v>952.8667200000001</v>
      </c>
      <c r="W13" s="76">
        <f>23.3*10.9*10.9*0.52</f>
        <v>1439.5019600000003</v>
      </c>
      <c r="X13" s="76">
        <f>22.3*12.2*12.2*0.52</f>
        <v>1725.9486399999998</v>
      </c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2"/>
      <c r="BL13" s="255">
        <f t="shared" si="8"/>
        <v>1</v>
      </c>
      <c r="BM13" s="255">
        <f t="shared" si="8"/>
        <v>1.8439024390243908</v>
      </c>
      <c r="BN13" s="255">
        <f t="shared" si="8"/>
        <v>3.7795426829268304</v>
      </c>
      <c r="BO13" s="255">
        <f t="shared" si="8"/>
        <v>6.2074390243902453</v>
      </c>
      <c r="BP13" s="255">
        <f t="shared" si="8"/>
        <v>9.3776185636856386</v>
      </c>
      <c r="BQ13" s="255">
        <f t="shared" si="8"/>
        <v>11.243672086720867</v>
      </c>
      <c r="BR13" s="255" t="str">
        <f t="shared" si="8"/>
        <v/>
      </c>
      <c r="BS13" s="255" t="str">
        <f t="shared" si="8"/>
        <v/>
      </c>
      <c r="BT13" s="255" t="str">
        <f t="shared" si="8"/>
        <v/>
      </c>
      <c r="BU13" s="255" t="str">
        <f t="shared" si="8"/>
        <v/>
      </c>
      <c r="BV13" s="255" t="str">
        <f t="shared" si="8"/>
        <v/>
      </c>
      <c r="BW13" s="255" t="str">
        <f t="shared" si="8"/>
        <v/>
      </c>
      <c r="BX13" s="255" t="str">
        <f t="shared" si="8"/>
        <v/>
      </c>
      <c r="BY13" s="255" t="str">
        <f t="shared" si="8"/>
        <v/>
      </c>
      <c r="BZ13" s="255" t="str">
        <f t="shared" si="8"/>
        <v/>
      </c>
      <c r="CA13" s="255" t="str">
        <f t="shared" si="8"/>
        <v/>
      </c>
      <c r="CB13" s="255" t="str">
        <f t="shared" si="9"/>
        <v/>
      </c>
      <c r="CC13" s="255" t="str">
        <f t="shared" si="9"/>
        <v/>
      </c>
      <c r="CD13" s="255" t="str">
        <f t="shared" si="9"/>
        <v/>
      </c>
      <c r="CE13" s="255" t="str">
        <f t="shared" si="9"/>
        <v/>
      </c>
      <c r="CF13" s="255" t="str">
        <f t="shared" si="9"/>
        <v/>
      </c>
      <c r="CG13" s="255" t="str">
        <f t="shared" si="9"/>
        <v/>
      </c>
      <c r="CH13" s="255" t="str">
        <f t="shared" si="9"/>
        <v/>
      </c>
      <c r="CI13" s="255" t="str">
        <f t="shared" si="9"/>
        <v/>
      </c>
      <c r="CJ13" s="255" t="str">
        <f t="shared" si="9"/>
        <v/>
      </c>
      <c r="CK13" s="255" t="str">
        <f t="shared" si="9"/>
        <v/>
      </c>
      <c r="CL13" s="255" t="str">
        <f t="shared" si="9"/>
        <v/>
      </c>
      <c r="CM13" s="255" t="str">
        <f t="shared" si="9"/>
        <v/>
      </c>
      <c r="CN13" s="255" t="str">
        <f t="shared" si="9"/>
        <v/>
      </c>
      <c r="CO13" s="255" t="str">
        <f t="shared" si="9"/>
        <v/>
      </c>
      <c r="CP13" s="255" t="str">
        <f t="shared" si="9"/>
        <v/>
      </c>
      <c r="CQ13" s="255" t="str">
        <f t="shared" si="9"/>
        <v/>
      </c>
      <c r="CR13" s="255" t="str">
        <f t="shared" si="10"/>
        <v/>
      </c>
      <c r="CS13" s="255" t="str">
        <f t="shared" si="10"/>
        <v/>
      </c>
      <c r="CT13" s="255" t="str">
        <f t="shared" si="10"/>
        <v/>
      </c>
      <c r="CU13" s="255" t="str">
        <f t="shared" si="10"/>
        <v/>
      </c>
      <c r="CV13" s="255" t="str">
        <f t="shared" si="10"/>
        <v/>
      </c>
      <c r="CW13" s="255" t="str">
        <f t="shared" si="10"/>
        <v/>
      </c>
      <c r="CX13" s="255" t="str">
        <f t="shared" si="10"/>
        <v/>
      </c>
      <c r="CY13" s="255" t="str">
        <f t="shared" si="10"/>
        <v/>
      </c>
      <c r="CZ13" s="255" t="str">
        <f t="shared" si="10"/>
        <v/>
      </c>
      <c r="DA13" s="255" t="str">
        <f t="shared" si="10"/>
        <v/>
      </c>
      <c r="DB13" s="255" t="str">
        <f t="shared" si="10"/>
        <v/>
      </c>
      <c r="DC13" s="255" t="str">
        <f t="shared" si="10"/>
        <v/>
      </c>
      <c r="DD13" s="2"/>
    </row>
    <row r="14" spans="1:108">
      <c r="A14" s="35">
        <v>1057006</v>
      </c>
      <c r="B14" s="1">
        <v>25</v>
      </c>
      <c r="C14" s="25" t="str">
        <f t="shared" si="5"/>
        <v>1057006-25</v>
      </c>
      <c r="D14" s="24" t="s">
        <v>87</v>
      </c>
      <c r="E14" s="32" t="s">
        <v>93</v>
      </c>
      <c r="F14" s="27">
        <v>42798</v>
      </c>
      <c r="G14" s="33">
        <v>30.2</v>
      </c>
      <c r="H14" s="27">
        <v>42808</v>
      </c>
      <c r="I14" s="33">
        <v>31.8</v>
      </c>
      <c r="J14" s="33">
        <v>9.9</v>
      </c>
      <c r="K14" s="33">
        <v>7.7</v>
      </c>
      <c r="L14" s="28">
        <f t="shared" si="6"/>
        <v>305.22492000000005</v>
      </c>
      <c r="M14" s="251" t="s">
        <v>89</v>
      </c>
      <c r="N14" s="252"/>
      <c r="O14" s="253">
        <f t="shared" si="11"/>
        <v>0</v>
      </c>
      <c r="P14" s="254">
        <f t="shared" si="7"/>
        <v>0</v>
      </c>
      <c r="Q14" s="29"/>
      <c r="R14" s="111"/>
      <c r="S14" s="71">
        <f>9.9*7.7*7.7*0.52</f>
        <v>305.22492</v>
      </c>
      <c r="T14" s="76">
        <v>354.6457200000001</v>
      </c>
      <c r="U14" s="76">
        <f>12.9*9.6*9.6*0.52</f>
        <v>618.20928000000004</v>
      </c>
      <c r="V14" s="76">
        <f>12.8*10.3*10.3*0.52</f>
        <v>706.13504000000012</v>
      </c>
      <c r="W14" s="76">
        <f>12.8*10.7*10.7*0.52</f>
        <v>762.04543999999999</v>
      </c>
      <c r="X14" s="76">
        <f>13.9*11.3*11.3*0.52</f>
        <v>922.9433200000002</v>
      </c>
      <c r="Y14" s="76">
        <f>14.5*11.3*11.3*0.52</f>
        <v>962.78260000000023</v>
      </c>
      <c r="Z14" s="76">
        <f>14.9*11.7*11.7*0.52</f>
        <v>1060.6237199999998</v>
      </c>
      <c r="AA14" s="76">
        <f>14.7*12.6*12.6*0.52</f>
        <v>1213.5614399999999</v>
      </c>
      <c r="AB14" s="76">
        <f>15.2*13.1*13.1*0.52</f>
        <v>1356.40544</v>
      </c>
      <c r="AC14" s="76">
        <f>17.5*13.1*13.1*0.52</f>
        <v>1561.6509999999998</v>
      </c>
      <c r="AD14" s="76">
        <f>17.2*13.8*13.8*0.52</f>
        <v>1703.2953600000001</v>
      </c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2"/>
      <c r="BL14" s="255">
        <f t="shared" si="8"/>
        <v>0.99999999999999978</v>
      </c>
      <c r="BM14" s="255">
        <f t="shared" si="8"/>
        <v>1.1619160060718503</v>
      </c>
      <c r="BN14" s="255">
        <f t="shared" si="8"/>
        <v>2.02542203958969</v>
      </c>
      <c r="BO14" s="255">
        <f t="shared" si="8"/>
        <v>2.3134907857458034</v>
      </c>
      <c r="BP14" s="255">
        <f t="shared" si="8"/>
        <v>2.496668489584664</v>
      </c>
      <c r="BQ14" s="255">
        <f t="shared" si="8"/>
        <v>3.0238137829637242</v>
      </c>
      <c r="BR14" s="255">
        <f t="shared" si="8"/>
        <v>3.154338118918993</v>
      </c>
      <c r="BS14" s="255">
        <f t="shared" si="8"/>
        <v>3.4748922859902778</v>
      </c>
      <c r="BT14" s="255">
        <f t="shared" si="8"/>
        <v>3.9759579263711484</v>
      </c>
      <c r="BU14" s="255">
        <f t="shared" si="8"/>
        <v>4.4439537898805899</v>
      </c>
      <c r="BV14" s="255">
        <f t="shared" si="8"/>
        <v>5.1163941659809415</v>
      </c>
      <c r="BW14" s="255">
        <f t="shared" si="8"/>
        <v>5.58045968199451</v>
      </c>
      <c r="BX14" s="255" t="str">
        <f t="shared" si="8"/>
        <v/>
      </c>
      <c r="BY14" s="255" t="str">
        <f t="shared" si="8"/>
        <v/>
      </c>
      <c r="BZ14" s="255" t="str">
        <f t="shared" si="8"/>
        <v/>
      </c>
      <c r="CA14" s="255" t="str">
        <f t="shared" si="8"/>
        <v/>
      </c>
      <c r="CB14" s="255" t="str">
        <f t="shared" si="9"/>
        <v/>
      </c>
      <c r="CC14" s="255" t="str">
        <f t="shared" si="9"/>
        <v/>
      </c>
      <c r="CD14" s="255" t="str">
        <f t="shared" si="9"/>
        <v/>
      </c>
      <c r="CE14" s="255" t="str">
        <f t="shared" si="9"/>
        <v/>
      </c>
      <c r="CF14" s="255" t="str">
        <f t="shared" si="9"/>
        <v/>
      </c>
      <c r="CG14" s="255" t="str">
        <f t="shared" si="9"/>
        <v/>
      </c>
      <c r="CH14" s="255" t="str">
        <f t="shared" si="9"/>
        <v/>
      </c>
      <c r="CI14" s="255" t="str">
        <f t="shared" si="9"/>
        <v/>
      </c>
      <c r="CJ14" s="255" t="str">
        <f t="shared" si="9"/>
        <v/>
      </c>
      <c r="CK14" s="255" t="str">
        <f t="shared" si="9"/>
        <v/>
      </c>
      <c r="CL14" s="255" t="str">
        <f t="shared" si="9"/>
        <v/>
      </c>
      <c r="CM14" s="255" t="str">
        <f t="shared" si="9"/>
        <v/>
      </c>
      <c r="CN14" s="255" t="str">
        <f t="shared" si="9"/>
        <v/>
      </c>
      <c r="CO14" s="255" t="str">
        <f t="shared" si="9"/>
        <v/>
      </c>
      <c r="CP14" s="255" t="str">
        <f t="shared" si="9"/>
        <v/>
      </c>
      <c r="CQ14" s="255" t="str">
        <f t="shared" si="9"/>
        <v/>
      </c>
      <c r="CR14" s="255" t="str">
        <f t="shared" si="10"/>
        <v/>
      </c>
      <c r="CS14" s="255" t="str">
        <f t="shared" si="10"/>
        <v/>
      </c>
      <c r="CT14" s="255" t="str">
        <f t="shared" si="10"/>
        <v/>
      </c>
      <c r="CU14" s="255" t="str">
        <f t="shared" si="10"/>
        <v/>
      </c>
      <c r="CV14" s="255" t="str">
        <f t="shared" si="10"/>
        <v/>
      </c>
      <c r="CW14" s="255" t="str">
        <f t="shared" si="10"/>
        <v/>
      </c>
      <c r="CX14" s="255" t="str">
        <f t="shared" si="10"/>
        <v/>
      </c>
      <c r="CY14" s="255" t="str">
        <f t="shared" si="10"/>
        <v/>
      </c>
      <c r="CZ14" s="255" t="str">
        <f t="shared" si="10"/>
        <v/>
      </c>
      <c r="DA14" s="255" t="str">
        <f t="shared" si="10"/>
        <v/>
      </c>
      <c r="DB14" s="255" t="str">
        <f t="shared" si="10"/>
        <v/>
      </c>
      <c r="DC14" s="255" t="str">
        <f t="shared" si="10"/>
        <v/>
      </c>
      <c r="DD14" s="2"/>
    </row>
    <row r="15" spans="1:108">
      <c r="A15" s="35">
        <v>1057005</v>
      </c>
      <c r="B15" s="1">
        <v>31</v>
      </c>
      <c r="C15" s="25" t="str">
        <f t="shared" si="5"/>
        <v>1057005-31</v>
      </c>
      <c r="D15" s="24" t="s">
        <v>87</v>
      </c>
      <c r="E15" s="32" t="s">
        <v>94</v>
      </c>
      <c r="F15" s="27">
        <v>42798</v>
      </c>
      <c r="G15" s="33">
        <v>26.1</v>
      </c>
      <c r="H15" s="27">
        <v>42808</v>
      </c>
      <c r="I15" s="33">
        <v>27.7</v>
      </c>
      <c r="J15" s="33">
        <v>6.7</v>
      </c>
      <c r="K15" s="33">
        <v>6.6</v>
      </c>
      <c r="L15" s="28">
        <f t="shared" si="6"/>
        <v>151.76303999999999</v>
      </c>
      <c r="M15" s="251" t="s">
        <v>89</v>
      </c>
      <c r="N15" s="252">
        <v>125</v>
      </c>
      <c r="O15" s="253">
        <f t="shared" si="11"/>
        <v>11.28158844765343</v>
      </c>
      <c r="P15" s="254">
        <f t="shared" si="7"/>
        <v>2.0591311296874393</v>
      </c>
      <c r="Q15" s="29"/>
      <c r="R15" s="111"/>
      <c r="S15" s="71">
        <f>6.7*6.6*6.6*0.52</f>
        <v>151.76303999999999</v>
      </c>
      <c r="T15" s="76">
        <v>237.27808000000002</v>
      </c>
      <c r="U15" s="76">
        <f>10.6*8.3*8.3*0.52</f>
        <v>379.72168000000011</v>
      </c>
      <c r="V15" s="76">
        <f>12.1*12.1*12.1*0.52</f>
        <v>921.21172000000001</v>
      </c>
      <c r="W15" s="76">
        <f>13.1*10.7*10.7*0.52</f>
        <v>779.90587999999991</v>
      </c>
      <c r="X15" s="76">
        <f>13.5*11.4*11.4*0.52</f>
        <v>912.31920000000002</v>
      </c>
      <c r="Y15" s="76">
        <f>13.8*11.4*11.4*0.52</f>
        <v>932.59296000000018</v>
      </c>
      <c r="Z15" s="76">
        <f>14.4*11.7*11.7*0.52</f>
        <v>1025.0323199999998</v>
      </c>
      <c r="AA15" s="76">
        <f>14.2*12.2*12.2*0.52</f>
        <v>1099.0345599999998</v>
      </c>
      <c r="AB15" s="76">
        <f>16.9*13.4*13.4*0.52</f>
        <v>1577.9732799999999</v>
      </c>
      <c r="AC15" s="76">
        <f>17.1*14.3*14.3*0.52</f>
        <v>1818.3250800000003</v>
      </c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2"/>
      <c r="BL15" s="255">
        <f t="shared" si="8"/>
        <v>1</v>
      </c>
      <c r="BM15" s="255">
        <f t="shared" si="8"/>
        <v>1.5634773789454932</v>
      </c>
      <c r="BN15" s="255">
        <f t="shared" si="8"/>
        <v>2.5020695420966801</v>
      </c>
      <c r="BO15" s="255">
        <f t="shared" si="8"/>
        <v>6.0700663349917088</v>
      </c>
      <c r="BP15" s="255">
        <f t="shared" si="8"/>
        <v>5.1389711223496839</v>
      </c>
      <c r="BQ15" s="255">
        <f t="shared" si="8"/>
        <v>6.0114715677809309</v>
      </c>
      <c r="BR15" s="255">
        <f t="shared" si="8"/>
        <v>6.1450598248427299</v>
      </c>
      <c r="BS15" s="255">
        <f t="shared" si="8"/>
        <v>6.7541630689527556</v>
      </c>
      <c r="BT15" s="255">
        <f t="shared" si="8"/>
        <v>7.2417800803146797</v>
      </c>
      <c r="BU15" s="255">
        <f t="shared" si="8"/>
        <v>10.397612488521579</v>
      </c>
      <c r="BV15" s="255">
        <f t="shared" si="8"/>
        <v>11.981343283582092</v>
      </c>
      <c r="BW15" s="255" t="str">
        <f t="shared" si="8"/>
        <v/>
      </c>
      <c r="BX15" s="255" t="str">
        <f t="shared" si="8"/>
        <v/>
      </c>
      <c r="BY15" s="255" t="str">
        <f t="shared" si="8"/>
        <v/>
      </c>
      <c r="BZ15" s="255" t="str">
        <f t="shared" si="8"/>
        <v/>
      </c>
      <c r="CA15" s="255" t="str">
        <f t="shared" si="8"/>
        <v/>
      </c>
      <c r="CB15" s="255" t="str">
        <f t="shared" si="9"/>
        <v/>
      </c>
      <c r="CC15" s="255" t="str">
        <f t="shared" si="9"/>
        <v/>
      </c>
      <c r="CD15" s="255" t="str">
        <f t="shared" si="9"/>
        <v/>
      </c>
      <c r="CE15" s="255" t="str">
        <f t="shared" si="9"/>
        <v/>
      </c>
      <c r="CF15" s="255" t="str">
        <f t="shared" si="9"/>
        <v/>
      </c>
      <c r="CG15" s="255" t="str">
        <f t="shared" si="9"/>
        <v/>
      </c>
      <c r="CH15" s="255" t="str">
        <f t="shared" si="9"/>
        <v/>
      </c>
      <c r="CI15" s="255" t="str">
        <f t="shared" si="9"/>
        <v/>
      </c>
      <c r="CJ15" s="255" t="str">
        <f t="shared" si="9"/>
        <v/>
      </c>
      <c r="CK15" s="255" t="str">
        <f t="shared" si="9"/>
        <v/>
      </c>
      <c r="CL15" s="255" t="str">
        <f t="shared" si="9"/>
        <v/>
      </c>
      <c r="CM15" s="255" t="str">
        <f t="shared" si="9"/>
        <v/>
      </c>
      <c r="CN15" s="255" t="str">
        <f t="shared" si="9"/>
        <v/>
      </c>
      <c r="CO15" s="255" t="str">
        <f t="shared" si="9"/>
        <v/>
      </c>
      <c r="CP15" s="255" t="str">
        <f t="shared" si="9"/>
        <v/>
      </c>
      <c r="CQ15" s="255" t="str">
        <f t="shared" si="9"/>
        <v/>
      </c>
      <c r="CR15" s="255" t="str">
        <f t="shared" si="10"/>
        <v/>
      </c>
      <c r="CS15" s="255" t="str">
        <f t="shared" si="10"/>
        <v/>
      </c>
      <c r="CT15" s="255" t="str">
        <f t="shared" si="10"/>
        <v/>
      </c>
      <c r="CU15" s="255" t="str">
        <f t="shared" si="10"/>
        <v/>
      </c>
      <c r="CV15" s="255" t="str">
        <f t="shared" si="10"/>
        <v/>
      </c>
      <c r="CW15" s="255" t="str">
        <f t="shared" si="10"/>
        <v/>
      </c>
      <c r="CX15" s="255" t="str">
        <f t="shared" si="10"/>
        <v/>
      </c>
      <c r="CY15" s="255" t="str">
        <f t="shared" si="10"/>
        <v/>
      </c>
      <c r="CZ15" s="255" t="str">
        <f t="shared" si="10"/>
        <v/>
      </c>
      <c r="DA15" s="255" t="str">
        <f t="shared" si="10"/>
        <v/>
      </c>
      <c r="DB15" s="255" t="str">
        <f t="shared" si="10"/>
        <v/>
      </c>
      <c r="DC15" s="255" t="str">
        <f t="shared" si="10"/>
        <v/>
      </c>
      <c r="DD15" s="2"/>
    </row>
    <row r="16" spans="1:108">
      <c r="A16" s="35">
        <v>1057005</v>
      </c>
      <c r="B16" s="1">
        <v>32</v>
      </c>
      <c r="C16" s="25" t="str">
        <f t="shared" si="5"/>
        <v>1057005-32</v>
      </c>
      <c r="D16" s="24" t="s">
        <v>87</v>
      </c>
      <c r="E16" s="32"/>
      <c r="F16" s="27">
        <v>42798</v>
      </c>
      <c r="G16" s="33">
        <v>29.4</v>
      </c>
      <c r="H16" s="27">
        <v>42808</v>
      </c>
      <c r="I16" s="33">
        <v>31.6</v>
      </c>
      <c r="J16" s="33">
        <v>11.9</v>
      </c>
      <c r="K16" s="33">
        <v>7.9</v>
      </c>
      <c r="L16" s="28">
        <f t="shared" si="6"/>
        <v>386.19308000000007</v>
      </c>
      <c r="M16" s="251"/>
      <c r="N16" s="252"/>
      <c r="O16" s="253">
        <f t="shared" si="11"/>
        <v>0</v>
      </c>
      <c r="P16" s="254">
        <f t="shared" si="7"/>
        <v>0</v>
      </c>
      <c r="Q16" s="29"/>
      <c r="R16" s="111"/>
      <c r="S16" s="71">
        <f>11.9*7.9*7.9*0.52</f>
        <v>386.19308000000007</v>
      </c>
      <c r="T16" s="76">
        <v>350.49456000000009</v>
      </c>
      <c r="U16" s="76">
        <f>12.2*9.2*9.2*0.52</f>
        <v>536.95615999999984</v>
      </c>
      <c r="V16" s="76">
        <f>13.8*10.1*10.1*0.52</f>
        <v>732.02375999999992</v>
      </c>
      <c r="W16" s="76">
        <f>15.1*10.9*10.9*0.52</f>
        <v>932.89612000000011</v>
      </c>
      <c r="X16" s="76">
        <f>16.2*11.9*11.9*0.52</f>
        <v>1192.92264</v>
      </c>
      <c r="Y16" s="76">
        <f>17.1*12.6*12.6*0.52</f>
        <v>1411.6939199999999</v>
      </c>
      <c r="Z16" s="76">
        <f>18.2*13.8*13.8*0.52</f>
        <v>1802.3241600000001</v>
      </c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2"/>
      <c r="BL16" s="255">
        <f t="shared" si="8"/>
        <v>1</v>
      </c>
      <c r="BM16" s="255">
        <f t="shared" si="8"/>
        <v>0.90756302521008414</v>
      </c>
      <c r="BN16" s="255">
        <f t="shared" si="8"/>
        <v>1.3903826552252043</v>
      </c>
      <c r="BO16" s="255">
        <f t="shared" si="8"/>
        <v>1.8954864753143681</v>
      </c>
      <c r="BP16" s="255">
        <f t="shared" si="8"/>
        <v>2.4156210152703927</v>
      </c>
      <c r="BQ16" s="255">
        <f t="shared" si="8"/>
        <v>3.0889280564012171</v>
      </c>
      <c r="BR16" s="255">
        <f t="shared" si="8"/>
        <v>3.6554096722810252</v>
      </c>
      <c r="BS16" s="255">
        <f t="shared" si="8"/>
        <v>4.6668991583173884</v>
      </c>
      <c r="BT16" s="255" t="str">
        <f t="shared" si="8"/>
        <v/>
      </c>
      <c r="BU16" s="255" t="str">
        <f t="shared" si="8"/>
        <v/>
      </c>
      <c r="BV16" s="255" t="str">
        <f t="shared" si="8"/>
        <v/>
      </c>
      <c r="BW16" s="255" t="str">
        <f t="shared" si="8"/>
        <v/>
      </c>
      <c r="BX16" s="255" t="str">
        <f t="shared" si="8"/>
        <v/>
      </c>
      <c r="BY16" s="255" t="str">
        <f t="shared" si="8"/>
        <v/>
      </c>
      <c r="BZ16" s="255" t="str">
        <f t="shared" si="8"/>
        <v/>
      </c>
      <c r="CA16" s="255" t="str">
        <f t="shared" si="8"/>
        <v/>
      </c>
      <c r="CB16" s="255" t="str">
        <f t="shared" si="9"/>
        <v/>
      </c>
      <c r="CC16" s="255" t="str">
        <f t="shared" si="9"/>
        <v/>
      </c>
      <c r="CD16" s="255" t="str">
        <f t="shared" si="9"/>
        <v/>
      </c>
      <c r="CE16" s="255" t="str">
        <f t="shared" si="9"/>
        <v/>
      </c>
      <c r="CF16" s="255" t="str">
        <f t="shared" si="9"/>
        <v/>
      </c>
      <c r="CG16" s="255" t="str">
        <f t="shared" si="9"/>
        <v/>
      </c>
      <c r="CH16" s="255" t="str">
        <f t="shared" si="9"/>
        <v/>
      </c>
      <c r="CI16" s="255" t="str">
        <f t="shared" si="9"/>
        <v/>
      </c>
      <c r="CJ16" s="255" t="str">
        <f t="shared" si="9"/>
        <v/>
      </c>
      <c r="CK16" s="255" t="str">
        <f t="shared" si="9"/>
        <v/>
      </c>
      <c r="CL16" s="255" t="str">
        <f t="shared" si="9"/>
        <v/>
      </c>
      <c r="CM16" s="255" t="str">
        <f t="shared" si="9"/>
        <v/>
      </c>
      <c r="CN16" s="255" t="str">
        <f t="shared" si="9"/>
        <v/>
      </c>
      <c r="CO16" s="255" t="str">
        <f t="shared" si="9"/>
        <v/>
      </c>
      <c r="CP16" s="255" t="str">
        <f t="shared" si="9"/>
        <v/>
      </c>
      <c r="CQ16" s="255" t="str">
        <f t="shared" si="9"/>
        <v/>
      </c>
      <c r="CR16" s="255" t="str">
        <f t="shared" si="10"/>
        <v/>
      </c>
      <c r="CS16" s="255" t="str">
        <f t="shared" si="10"/>
        <v/>
      </c>
      <c r="CT16" s="255" t="str">
        <f t="shared" si="10"/>
        <v/>
      </c>
      <c r="CU16" s="255" t="str">
        <f t="shared" si="10"/>
        <v/>
      </c>
      <c r="CV16" s="255" t="str">
        <f t="shared" si="10"/>
        <v/>
      </c>
      <c r="CW16" s="255" t="str">
        <f t="shared" si="10"/>
        <v/>
      </c>
      <c r="CX16" s="255" t="str">
        <f t="shared" si="10"/>
        <v/>
      </c>
      <c r="CY16" s="255" t="str">
        <f t="shared" si="10"/>
        <v/>
      </c>
      <c r="CZ16" s="255" t="str">
        <f t="shared" si="10"/>
        <v/>
      </c>
      <c r="DA16" s="255" t="str">
        <f t="shared" si="10"/>
        <v/>
      </c>
      <c r="DB16" s="255" t="str">
        <f t="shared" si="10"/>
        <v/>
      </c>
      <c r="DC16" s="255" t="str">
        <f t="shared" si="10"/>
        <v/>
      </c>
      <c r="DD16" s="2"/>
    </row>
    <row r="17" spans="1:108">
      <c r="A17" s="35">
        <v>1057005</v>
      </c>
      <c r="B17" s="1">
        <v>33</v>
      </c>
      <c r="C17" s="25" t="str">
        <f t="shared" si="5"/>
        <v>1057005-33</v>
      </c>
      <c r="D17" s="24" t="s">
        <v>87</v>
      </c>
      <c r="E17" s="32" t="s">
        <v>93</v>
      </c>
      <c r="F17" s="27">
        <v>42798</v>
      </c>
      <c r="G17" s="33">
        <v>27.2</v>
      </c>
      <c r="H17" s="27">
        <v>42808</v>
      </c>
      <c r="I17" s="33">
        <v>30.1</v>
      </c>
      <c r="J17" s="33">
        <v>9.3000000000000007</v>
      </c>
      <c r="K17" s="33">
        <v>7.6</v>
      </c>
      <c r="L17" s="28">
        <f t="shared" si="6"/>
        <v>279.32736</v>
      </c>
      <c r="M17" s="251" t="s">
        <v>89</v>
      </c>
      <c r="N17" s="252"/>
      <c r="O17" s="253">
        <f t="shared" si="11"/>
        <v>0</v>
      </c>
      <c r="P17" s="254">
        <f t="shared" si="7"/>
        <v>0</v>
      </c>
      <c r="Q17" s="29"/>
      <c r="R17" s="111"/>
      <c r="S17" s="71">
        <f>9.3*7.6*7.6*0.52</f>
        <v>279.32736</v>
      </c>
      <c r="T17" s="76">
        <v>320.70168000000001</v>
      </c>
      <c r="U17" s="76">
        <f>10.8*8.4*8.4*0.52</f>
        <v>396.26496000000009</v>
      </c>
      <c r="V17" s="76">
        <f>11.9*9.6*9.6*0.52</f>
        <v>570.28607999999997</v>
      </c>
      <c r="W17" s="76">
        <f>12.2*10.1*10.1*0.52</f>
        <v>647.15143999999987</v>
      </c>
      <c r="X17" s="76">
        <f>11.8*11.5*11.5*0.52</f>
        <v>811.4860000000001</v>
      </c>
      <c r="Y17" s="76">
        <f>13.5*11.3*11.3*0.52</f>
        <v>896.38380000000018</v>
      </c>
      <c r="Z17" s="76">
        <f>14.3*11.4*11.4*0.52</f>
        <v>966.38256000000013</v>
      </c>
      <c r="AA17" s="76">
        <f>13.7*13*13*0.52</f>
        <v>1203.9559999999999</v>
      </c>
      <c r="AB17" s="76">
        <f>15*14.9*14.9*0.52</f>
        <v>1731.6780000000001</v>
      </c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2"/>
      <c r="BL17" s="255">
        <f t="shared" si="8"/>
        <v>1</v>
      </c>
      <c r="BM17" s="255">
        <f t="shared" si="8"/>
        <v>1.1481212581538738</v>
      </c>
      <c r="BN17" s="255">
        <f t="shared" si="8"/>
        <v>1.4186399785541957</v>
      </c>
      <c r="BO17" s="255">
        <f t="shared" si="8"/>
        <v>2.0416406040568313</v>
      </c>
      <c r="BP17" s="255">
        <f t="shared" si="8"/>
        <v>2.3168208083876922</v>
      </c>
      <c r="BQ17" s="255">
        <f t="shared" si="8"/>
        <v>2.905143269889495</v>
      </c>
      <c r="BR17" s="255">
        <f t="shared" si="8"/>
        <v>3.2090798409436161</v>
      </c>
      <c r="BS17" s="255">
        <f t="shared" si="8"/>
        <v>3.459677419354839</v>
      </c>
      <c r="BT17" s="255">
        <f t="shared" si="8"/>
        <v>4.3101971822595537</v>
      </c>
      <c r="BU17" s="255">
        <f t="shared" si="8"/>
        <v>6.1994571530694316</v>
      </c>
      <c r="BV17" s="255" t="str">
        <f t="shared" si="8"/>
        <v/>
      </c>
      <c r="BW17" s="255" t="str">
        <f t="shared" si="8"/>
        <v/>
      </c>
      <c r="BX17" s="255" t="str">
        <f t="shared" si="8"/>
        <v/>
      </c>
      <c r="BY17" s="255" t="str">
        <f t="shared" si="8"/>
        <v/>
      </c>
      <c r="BZ17" s="255" t="str">
        <f t="shared" si="8"/>
        <v/>
      </c>
      <c r="CA17" s="255" t="str">
        <f t="shared" si="8"/>
        <v/>
      </c>
      <c r="CB17" s="255" t="str">
        <f t="shared" si="9"/>
        <v/>
      </c>
      <c r="CC17" s="255" t="str">
        <f t="shared" si="9"/>
        <v/>
      </c>
      <c r="CD17" s="255" t="str">
        <f t="shared" si="9"/>
        <v/>
      </c>
      <c r="CE17" s="255" t="str">
        <f t="shared" si="9"/>
        <v/>
      </c>
      <c r="CF17" s="255" t="str">
        <f t="shared" si="9"/>
        <v/>
      </c>
      <c r="CG17" s="255" t="str">
        <f t="shared" si="9"/>
        <v/>
      </c>
      <c r="CH17" s="255" t="str">
        <f t="shared" si="9"/>
        <v/>
      </c>
      <c r="CI17" s="255" t="str">
        <f t="shared" si="9"/>
        <v/>
      </c>
      <c r="CJ17" s="255" t="str">
        <f t="shared" si="9"/>
        <v/>
      </c>
      <c r="CK17" s="255" t="str">
        <f t="shared" si="9"/>
        <v/>
      </c>
      <c r="CL17" s="255" t="str">
        <f t="shared" si="9"/>
        <v/>
      </c>
      <c r="CM17" s="255" t="str">
        <f t="shared" si="9"/>
        <v/>
      </c>
      <c r="CN17" s="255" t="str">
        <f t="shared" si="9"/>
        <v/>
      </c>
      <c r="CO17" s="255" t="str">
        <f t="shared" si="9"/>
        <v/>
      </c>
      <c r="CP17" s="255" t="str">
        <f t="shared" si="9"/>
        <v/>
      </c>
      <c r="CQ17" s="255" t="str">
        <f t="shared" si="9"/>
        <v/>
      </c>
      <c r="CR17" s="255" t="str">
        <f t="shared" si="10"/>
        <v/>
      </c>
      <c r="CS17" s="255" t="str">
        <f t="shared" si="10"/>
        <v/>
      </c>
      <c r="CT17" s="255" t="str">
        <f t="shared" si="10"/>
        <v/>
      </c>
      <c r="CU17" s="255" t="str">
        <f t="shared" si="10"/>
        <v/>
      </c>
      <c r="CV17" s="255" t="str">
        <f t="shared" si="10"/>
        <v/>
      </c>
      <c r="CW17" s="255" t="str">
        <f t="shared" si="10"/>
        <v/>
      </c>
      <c r="CX17" s="255" t="str">
        <f t="shared" si="10"/>
        <v/>
      </c>
      <c r="CY17" s="255" t="str">
        <f t="shared" si="10"/>
        <v/>
      </c>
      <c r="CZ17" s="255" t="str">
        <f t="shared" si="10"/>
        <v/>
      </c>
      <c r="DA17" s="255" t="str">
        <f t="shared" si="10"/>
        <v/>
      </c>
      <c r="DB17" s="255" t="str">
        <f t="shared" si="10"/>
        <v/>
      </c>
      <c r="DC17" s="255" t="str">
        <f t="shared" si="10"/>
        <v/>
      </c>
      <c r="DD17" s="2"/>
    </row>
    <row r="18" spans="1:108">
      <c r="A18" s="35">
        <v>1057005</v>
      </c>
      <c r="B18" s="1">
        <v>34</v>
      </c>
      <c r="C18" s="25" t="str">
        <f t="shared" si="5"/>
        <v>1057005-34</v>
      </c>
      <c r="D18" s="24" t="s">
        <v>87</v>
      </c>
      <c r="E18" s="32" t="s">
        <v>94</v>
      </c>
      <c r="F18" s="27">
        <v>42798</v>
      </c>
      <c r="G18" s="33">
        <v>25.4</v>
      </c>
      <c r="H18" s="27">
        <v>42808</v>
      </c>
      <c r="I18" s="33">
        <v>27</v>
      </c>
      <c r="J18" s="33">
        <v>9</v>
      </c>
      <c r="K18" s="33">
        <v>7.2</v>
      </c>
      <c r="L18" s="28">
        <f t="shared" si="6"/>
        <v>242.61120000000003</v>
      </c>
      <c r="M18" s="251" t="s">
        <v>89</v>
      </c>
      <c r="N18" s="252">
        <v>125</v>
      </c>
      <c r="O18" s="253">
        <f t="shared" si="11"/>
        <v>11.574074074074073</v>
      </c>
      <c r="P18" s="254">
        <f t="shared" si="7"/>
        <v>1.2880691410784002</v>
      </c>
      <c r="Q18" s="29"/>
      <c r="R18" s="111"/>
      <c r="S18" s="71">
        <f>9*7.2*7.2*0.52</f>
        <v>242.6112</v>
      </c>
      <c r="T18" s="76">
        <v>390.72800000000001</v>
      </c>
      <c r="U18" s="76">
        <f>11.4*8.9*8.9*0.52</f>
        <v>469.55688000000009</v>
      </c>
      <c r="V18" s="76">
        <f>14.2*9.9*9.9*0.52</f>
        <v>723.70583999999997</v>
      </c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2"/>
      <c r="BL18" s="255">
        <f t="shared" si="8"/>
        <v>0.99999999999999989</v>
      </c>
      <c r="BM18" s="255">
        <f t="shared" si="8"/>
        <v>1.6105109739368997</v>
      </c>
      <c r="BN18" s="255">
        <f t="shared" si="8"/>
        <v>1.9354295267489714</v>
      </c>
      <c r="BO18" s="255">
        <f t="shared" si="8"/>
        <v>2.9829861111111104</v>
      </c>
      <c r="BP18" s="255" t="str">
        <f t="shared" si="8"/>
        <v/>
      </c>
      <c r="BQ18" s="255" t="str">
        <f t="shared" si="8"/>
        <v/>
      </c>
      <c r="BR18" s="255" t="str">
        <f t="shared" si="8"/>
        <v/>
      </c>
      <c r="BS18" s="255" t="str">
        <f t="shared" si="8"/>
        <v/>
      </c>
      <c r="BT18" s="255" t="str">
        <f t="shared" si="8"/>
        <v/>
      </c>
      <c r="BU18" s="255" t="str">
        <f t="shared" si="8"/>
        <v/>
      </c>
      <c r="BV18" s="255" t="str">
        <f t="shared" si="8"/>
        <v/>
      </c>
      <c r="BW18" s="255" t="str">
        <f t="shared" si="8"/>
        <v/>
      </c>
      <c r="BX18" s="255" t="str">
        <f t="shared" si="8"/>
        <v/>
      </c>
      <c r="BY18" s="255" t="str">
        <f t="shared" si="8"/>
        <v/>
      </c>
      <c r="BZ18" s="255" t="str">
        <f t="shared" si="8"/>
        <v/>
      </c>
      <c r="CA18" s="255" t="str">
        <f t="shared" si="8"/>
        <v/>
      </c>
      <c r="CB18" s="255" t="str">
        <f t="shared" si="9"/>
        <v/>
      </c>
      <c r="CC18" s="255" t="str">
        <f t="shared" si="9"/>
        <v/>
      </c>
      <c r="CD18" s="255" t="str">
        <f t="shared" si="9"/>
        <v/>
      </c>
      <c r="CE18" s="255" t="str">
        <f t="shared" si="9"/>
        <v/>
      </c>
      <c r="CF18" s="255" t="str">
        <f t="shared" si="9"/>
        <v/>
      </c>
      <c r="CG18" s="255" t="str">
        <f t="shared" si="9"/>
        <v/>
      </c>
      <c r="CH18" s="255" t="str">
        <f t="shared" si="9"/>
        <v/>
      </c>
      <c r="CI18" s="255" t="str">
        <f t="shared" si="9"/>
        <v/>
      </c>
      <c r="CJ18" s="255" t="str">
        <f t="shared" si="9"/>
        <v/>
      </c>
      <c r="CK18" s="255" t="str">
        <f t="shared" si="9"/>
        <v/>
      </c>
      <c r="CL18" s="255" t="str">
        <f t="shared" si="9"/>
        <v/>
      </c>
      <c r="CM18" s="255" t="str">
        <f t="shared" si="9"/>
        <v/>
      </c>
      <c r="CN18" s="255" t="str">
        <f t="shared" si="9"/>
        <v/>
      </c>
      <c r="CO18" s="255" t="str">
        <f t="shared" si="9"/>
        <v/>
      </c>
      <c r="CP18" s="255" t="str">
        <f t="shared" si="9"/>
        <v/>
      </c>
      <c r="CQ18" s="255" t="str">
        <f t="shared" si="9"/>
        <v/>
      </c>
      <c r="CR18" s="255" t="str">
        <f t="shared" si="10"/>
        <v/>
      </c>
      <c r="CS18" s="255" t="str">
        <f t="shared" si="10"/>
        <v/>
      </c>
      <c r="CT18" s="255" t="str">
        <f t="shared" si="10"/>
        <v/>
      </c>
      <c r="CU18" s="255" t="str">
        <f t="shared" si="10"/>
        <v/>
      </c>
      <c r="CV18" s="255" t="str">
        <f t="shared" si="10"/>
        <v/>
      </c>
      <c r="CW18" s="255" t="str">
        <f t="shared" si="10"/>
        <v/>
      </c>
      <c r="CX18" s="255" t="str">
        <f t="shared" si="10"/>
        <v/>
      </c>
      <c r="CY18" s="255" t="str">
        <f t="shared" si="10"/>
        <v/>
      </c>
      <c r="CZ18" s="255" t="str">
        <f t="shared" si="10"/>
        <v/>
      </c>
      <c r="DA18" s="255" t="str">
        <f t="shared" si="10"/>
        <v/>
      </c>
      <c r="DB18" s="255" t="str">
        <f t="shared" si="10"/>
        <v/>
      </c>
      <c r="DC18" s="255" t="str">
        <f t="shared" si="10"/>
        <v/>
      </c>
      <c r="DD18" s="2"/>
    </row>
    <row r="19" spans="1:108">
      <c r="A19" s="35">
        <v>1057005</v>
      </c>
      <c r="B19" s="1">
        <v>35</v>
      </c>
      <c r="C19" s="25" t="str">
        <f t="shared" si="5"/>
        <v>1057005-35</v>
      </c>
      <c r="D19" s="24" t="s">
        <v>87</v>
      </c>
      <c r="E19" s="32" t="s">
        <v>93</v>
      </c>
      <c r="F19" s="27">
        <v>42798</v>
      </c>
      <c r="G19" s="33">
        <v>29</v>
      </c>
      <c r="H19" s="27">
        <v>42808</v>
      </c>
      <c r="I19" s="33">
        <v>30.3</v>
      </c>
      <c r="J19" s="33">
        <v>7.6</v>
      </c>
      <c r="K19" s="33">
        <v>6.5</v>
      </c>
      <c r="L19" s="28">
        <f t="shared" si="6"/>
        <v>166.97199999999998</v>
      </c>
      <c r="M19" s="251" t="s">
        <v>89</v>
      </c>
      <c r="N19" s="252"/>
      <c r="O19" s="253">
        <f t="shared" si="11"/>
        <v>0</v>
      </c>
      <c r="P19" s="254">
        <f t="shared" si="7"/>
        <v>0</v>
      </c>
      <c r="Q19" s="29"/>
      <c r="R19" s="111"/>
      <c r="S19" s="71">
        <f>7.6*6.5*6.5*0.52</f>
        <v>166.97199999999998</v>
      </c>
      <c r="T19" s="76">
        <v>185.67900000000003</v>
      </c>
      <c r="U19" s="76">
        <f>8.1*7.4*7.4*0.52</f>
        <v>230.64912000000001</v>
      </c>
      <c r="V19" s="76">
        <f>12.4*9.8*9.8*0.52</f>
        <v>619.26592000000016</v>
      </c>
      <c r="W19" s="76">
        <f>15.1*10.7*10.7*0.52</f>
        <v>898.97547999999995</v>
      </c>
      <c r="X19" s="76">
        <f>16.7*10.7*10.7*0.52</f>
        <v>994.23115999999982</v>
      </c>
      <c r="Y19" s="76">
        <f>14*10.7*10.7*0.52</f>
        <v>833.4871999999998</v>
      </c>
      <c r="Z19" s="76">
        <f>17.2*11.8*11.8*0.52</f>
        <v>1245.3625600000003</v>
      </c>
      <c r="AA19" s="76">
        <f>16.8*12.7*12.7*0.52</f>
        <v>1409.0294399999998</v>
      </c>
      <c r="AB19" s="76">
        <f>17*14.4*14.4*0.52</f>
        <v>1833.0624000000003</v>
      </c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2"/>
      <c r="BL19" s="255">
        <f t="shared" si="8"/>
        <v>1</v>
      </c>
      <c r="BM19" s="255">
        <f t="shared" si="8"/>
        <v>1.1120367486764251</v>
      </c>
      <c r="BN19" s="255">
        <f t="shared" si="8"/>
        <v>1.3813640610401747</v>
      </c>
      <c r="BO19" s="255">
        <f t="shared" si="8"/>
        <v>3.7088009965742774</v>
      </c>
      <c r="BP19" s="255">
        <f t="shared" si="8"/>
        <v>5.3839894113983187</v>
      </c>
      <c r="BQ19" s="255">
        <f t="shared" si="8"/>
        <v>5.9544783556524443</v>
      </c>
      <c r="BR19" s="255">
        <f t="shared" si="8"/>
        <v>4.9917782622236055</v>
      </c>
      <c r="BS19" s="255">
        <f t="shared" si="8"/>
        <v>7.4585113671753369</v>
      </c>
      <c r="BT19" s="255">
        <f t="shared" si="8"/>
        <v>8.4387169106197444</v>
      </c>
      <c r="BU19" s="255">
        <f t="shared" si="8"/>
        <v>10.978262223606356</v>
      </c>
      <c r="BV19" s="255" t="str">
        <f t="shared" si="8"/>
        <v/>
      </c>
      <c r="BW19" s="255" t="str">
        <f t="shared" si="8"/>
        <v/>
      </c>
      <c r="BX19" s="255" t="str">
        <f t="shared" si="8"/>
        <v/>
      </c>
      <c r="BY19" s="255" t="str">
        <f t="shared" si="8"/>
        <v/>
      </c>
      <c r="BZ19" s="255" t="str">
        <f t="shared" si="8"/>
        <v/>
      </c>
      <c r="CA19" s="255" t="str">
        <f t="shared" si="8"/>
        <v/>
      </c>
      <c r="CB19" s="255" t="str">
        <f t="shared" si="9"/>
        <v/>
      </c>
      <c r="CC19" s="255" t="str">
        <f t="shared" si="9"/>
        <v/>
      </c>
      <c r="CD19" s="255" t="str">
        <f t="shared" si="9"/>
        <v/>
      </c>
      <c r="CE19" s="255" t="str">
        <f t="shared" si="9"/>
        <v/>
      </c>
      <c r="CF19" s="255" t="str">
        <f t="shared" si="9"/>
        <v/>
      </c>
      <c r="CG19" s="255" t="str">
        <f t="shared" si="9"/>
        <v/>
      </c>
      <c r="CH19" s="255" t="str">
        <f t="shared" si="9"/>
        <v/>
      </c>
      <c r="CI19" s="255" t="str">
        <f t="shared" si="9"/>
        <v/>
      </c>
      <c r="CJ19" s="255" t="str">
        <f t="shared" si="9"/>
        <v/>
      </c>
      <c r="CK19" s="255" t="str">
        <f t="shared" si="9"/>
        <v/>
      </c>
      <c r="CL19" s="255" t="str">
        <f t="shared" si="9"/>
        <v/>
      </c>
      <c r="CM19" s="255" t="str">
        <f t="shared" si="9"/>
        <v/>
      </c>
      <c r="CN19" s="255" t="str">
        <f t="shared" si="9"/>
        <v/>
      </c>
      <c r="CO19" s="255" t="str">
        <f t="shared" si="9"/>
        <v/>
      </c>
      <c r="CP19" s="255" t="str">
        <f t="shared" si="9"/>
        <v/>
      </c>
      <c r="CQ19" s="255" t="str">
        <f t="shared" si="9"/>
        <v/>
      </c>
      <c r="CR19" s="255" t="str">
        <f t="shared" si="10"/>
        <v/>
      </c>
      <c r="CS19" s="255" t="str">
        <f t="shared" si="10"/>
        <v/>
      </c>
      <c r="CT19" s="255" t="str">
        <f t="shared" si="10"/>
        <v/>
      </c>
      <c r="CU19" s="255" t="str">
        <f t="shared" si="10"/>
        <v/>
      </c>
      <c r="CV19" s="255" t="str">
        <f t="shared" si="10"/>
        <v/>
      </c>
      <c r="CW19" s="255" t="str">
        <f t="shared" si="10"/>
        <v/>
      </c>
      <c r="CX19" s="255" t="str">
        <f t="shared" si="10"/>
        <v/>
      </c>
      <c r="CY19" s="255" t="str">
        <f t="shared" si="10"/>
        <v/>
      </c>
      <c r="CZ19" s="255" t="str">
        <f t="shared" si="10"/>
        <v/>
      </c>
      <c r="DA19" s="255" t="str">
        <f t="shared" si="10"/>
        <v/>
      </c>
      <c r="DB19" s="255" t="str">
        <f t="shared" si="10"/>
        <v/>
      </c>
      <c r="DC19" s="255" t="str">
        <f t="shared" si="10"/>
        <v/>
      </c>
      <c r="DD19" s="2"/>
    </row>
    <row r="20" spans="1:108">
      <c r="A20" s="35">
        <v>1057004</v>
      </c>
      <c r="B20" s="1">
        <v>41</v>
      </c>
      <c r="C20" s="25" t="str">
        <f t="shared" si="5"/>
        <v>1057004-41</v>
      </c>
      <c r="D20" s="24" t="s">
        <v>87</v>
      </c>
      <c r="E20" s="32" t="s">
        <v>94</v>
      </c>
      <c r="F20" s="27">
        <v>42798</v>
      </c>
      <c r="G20" s="33">
        <v>25.4</v>
      </c>
      <c r="H20" s="27">
        <v>42808</v>
      </c>
      <c r="I20" s="33">
        <v>27.8</v>
      </c>
      <c r="J20" s="33">
        <v>8.8000000000000007</v>
      </c>
      <c r="K20" s="33">
        <v>6.2</v>
      </c>
      <c r="L20" s="28">
        <f t="shared" si="6"/>
        <v>175.90144000000004</v>
      </c>
      <c r="M20" s="251" t="s">
        <v>89</v>
      </c>
      <c r="N20" s="252">
        <v>125</v>
      </c>
      <c r="O20" s="253">
        <f t="shared" si="11"/>
        <v>11.241007194244604</v>
      </c>
      <c r="P20" s="254">
        <f t="shared" si="7"/>
        <v>1.7765630571301745</v>
      </c>
      <c r="Q20" s="29"/>
      <c r="R20" s="111"/>
      <c r="S20" s="71">
        <f>8.8*6.2*6.2*0.52</f>
        <v>175.90144000000004</v>
      </c>
      <c r="T20" s="76">
        <v>291.34143999999998</v>
      </c>
      <c r="U20" s="76">
        <f>10.8*7.9*7.9*0.52</f>
        <v>350.49456000000009</v>
      </c>
      <c r="V20" s="76">
        <f>13.3*9.5*9.5*0.52</f>
        <v>624.1690000000001</v>
      </c>
      <c r="W20" s="76">
        <f>13.6*8.5*8.5*0.52</f>
        <v>510.952</v>
      </c>
      <c r="X20" s="76">
        <f>14.9*10.7*10.7*0.52</f>
        <v>887.06852000000003</v>
      </c>
      <c r="Y20" s="76">
        <f>15.3*10.3*10.3*0.52</f>
        <v>844.05204000000026</v>
      </c>
      <c r="Z20" s="76">
        <f>15.2*11.2*11.2*0.52</f>
        <v>991.47775999999988</v>
      </c>
      <c r="AA20" s="76">
        <f>15.3*11.1*11.1*0.52</f>
        <v>980.25876000000005</v>
      </c>
      <c r="AB20" s="76">
        <f>16.5*11.2*11.2*0.52</f>
        <v>1076.2751999999998</v>
      </c>
      <c r="AC20" s="76">
        <f>16*12.9*12.9*0.52</f>
        <v>1384.5312000000001</v>
      </c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2"/>
      <c r="BL20" s="255">
        <f t="shared" si="8"/>
        <v>1</v>
      </c>
      <c r="BM20" s="255">
        <f t="shared" si="8"/>
        <v>1.6562766058083431</v>
      </c>
      <c r="BN20" s="255">
        <f t="shared" si="8"/>
        <v>1.9925621984675055</v>
      </c>
      <c r="BO20" s="255">
        <f t="shared" si="8"/>
        <v>3.5484018777788289</v>
      </c>
      <c r="BP20" s="255">
        <f t="shared" si="8"/>
        <v>2.9047630309336858</v>
      </c>
      <c r="BQ20" s="255">
        <f t="shared" si="8"/>
        <v>5.0429861176804458</v>
      </c>
      <c r="BR20" s="255">
        <f t="shared" si="8"/>
        <v>4.7984373521899544</v>
      </c>
      <c r="BS20" s="255">
        <f t="shared" si="8"/>
        <v>5.6365528332229662</v>
      </c>
      <c r="BT20" s="255">
        <f t="shared" si="8"/>
        <v>5.5727727982215489</v>
      </c>
      <c r="BU20" s="255">
        <f t="shared" si="8"/>
        <v>6.1186264308012461</v>
      </c>
      <c r="BV20" s="255">
        <f t="shared" si="8"/>
        <v>7.8710623403651487</v>
      </c>
      <c r="BW20" s="255" t="str">
        <f t="shared" si="8"/>
        <v/>
      </c>
      <c r="BX20" s="255" t="str">
        <f t="shared" si="8"/>
        <v/>
      </c>
      <c r="BY20" s="255" t="str">
        <f t="shared" si="8"/>
        <v/>
      </c>
      <c r="BZ20" s="255" t="str">
        <f t="shared" si="8"/>
        <v/>
      </c>
      <c r="CA20" s="255" t="str">
        <f t="shared" ref="CA20:CP35" si="12">IF(OR(ISERROR(AH20/$L20)=TRUE,ISBLANK(AH20)=TRUE),"",AH20/$L20)</f>
        <v/>
      </c>
      <c r="CB20" s="255" t="str">
        <f t="shared" si="9"/>
        <v/>
      </c>
      <c r="CC20" s="255" t="str">
        <f t="shared" si="9"/>
        <v/>
      </c>
      <c r="CD20" s="255" t="str">
        <f t="shared" si="9"/>
        <v/>
      </c>
      <c r="CE20" s="255" t="str">
        <f t="shared" si="9"/>
        <v/>
      </c>
      <c r="CF20" s="255" t="str">
        <f t="shared" si="9"/>
        <v/>
      </c>
      <c r="CG20" s="255" t="str">
        <f t="shared" si="9"/>
        <v/>
      </c>
      <c r="CH20" s="255" t="str">
        <f t="shared" si="9"/>
        <v/>
      </c>
      <c r="CI20" s="255" t="str">
        <f t="shared" si="9"/>
        <v/>
      </c>
      <c r="CJ20" s="255" t="str">
        <f t="shared" si="9"/>
        <v/>
      </c>
      <c r="CK20" s="255" t="str">
        <f t="shared" si="9"/>
        <v/>
      </c>
      <c r="CL20" s="255" t="str">
        <f t="shared" si="9"/>
        <v/>
      </c>
      <c r="CM20" s="255" t="str">
        <f t="shared" si="9"/>
        <v/>
      </c>
      <c r="CN20" s="255" t="str">
        <f t="shared" si="9"/>
        <v/>
      </c>
      <c r="CO20" s="255" t="str">
        <f t="shared" si="9"/>
        <v/>
      </c>
      <c r="CP20" s="255" t="str">
        <f t="shared" si="9"/>
        <v/>
      </c>
      <c r="CQ20" s="255" t="str">
        <f t="shared" ref="CQ20:CT35" si="13">IF(OR(ISERROR(AX20/$L20)=TRUE,ISBLANK(AX20)=TRUE),"",AX20/$L20)</f>
        <v/>
      </c>
      <c r="CR20" s="255" t="str">
        <f t="shared" si="10"/>
        <v/>
      </c>
      <c r="CS20" s="255" t="str">
        <f t="shared" si="10"/>
        <v/>
      </c>
      <c r="CT20" s="255" t="str">
        <f t="shared" si="10"/>
        <v/>
      </c>
      <c r="CU20" s="255" t="str">
        <f t="shared" si="10"/>
        <v/>
      </c>
      <c r="CV20" s="255" t="str">
        <f t="shared" si="10"/>
        <v/>
      </c>
      <c r="CW20" s="255" t="str">
        <f t="shared" si="10"/>
        <v/>
      </c>
      <c r="CX20" s="255" t="str">
        <f t="shared" si="10"/>
        <v/>
      </c>
      <c r="CY20" s="255" t="str">
        <f t="shared" si="10"/>
        <v/>
      </c>
      <c r="CZ20" s="255" t="str">
        <f t="shared" si="10"/>
        <v/>
      </c>
      <c r="DA20" s="255" t="str">
        <f t="shared" si="10"/>
        <v/>
      </c>
      <c r="DB20" s="255" t="str">
        <f t="shared" si="10"/>
        <v/>
      </c>
      <c r="DC20" s="255" t="str">
        <f t="shared" si="10"/>
        <v/>
      </c>
      <c r="DD20" s="2"/>
    </row>
    <row r="21" spans="1:108">
      <c r="A21" s="35">
        <v>1057004</v>
      </c>
      <c r="B21" s="1">
        <v>42</v>
      </c>
      <c r="C21" s="25" t="str">
        <f t="shared" si="5"/>
        <v>1057004-42</v>
      </c>
      <c r="D21" s="24" t="s">
        <v>87</v>
      </c>
      <c r="E21" s="32" t="s">
        <v>94</v>
      </c>
      <c r="F21" s="27">
        <v>42798</v>
      </c>
      <c r="G21" s="33">
        <v>25.6</v>
      </c>
      <c r="H21" s="27">
        <v>42808</v>
      </c>
      <c r="I21" s="33">
        <v>27.4</v>
      </c>
      <c r="J21" s="33">
        <v>8.1999999999999993</v>
      </c>
      <c r="K21" s="33">
        <v>6.3</v>
      </c>
      <c r="L21" s="28">
        <f t="shared" si="6"/>
        <v>169.23815999999999</v>
      </c>
      <c r="M21" s="251" t="s">
        <v>89</v>
      </c>
      <c r="N21" s="252">
        <v>125</v>
      </c>
      <c r="O21" s="253">
        <f t="shared" si="11"/>
        <v>11.405109489051094</v>
      </c>
      <c r="P21" s="254">
        <f t="shared" si="7"/>
        <v>1.8465102669516142</v>
      </c>
      <c r="Q21" s="29"/>
      <c r="R21" s="111"/>
      <c r="S21" s="71">
        <f>8.2*6.3*6.3*0.52</f>
        <v>169.23815999999999</v>
      </c>
      <c r="T21" s="76">
        <v>192.53519999999997</v>
      </c>
      <c r="U21" s="76">
        <f>9.7*7.6*7.6*0.52</f>
        <v>291.34143999999992</v>
      </c>
      <c r="V21" s="76">
        <f>11*8*8*0.52</f>
        <v>366.08000000000004</v>
      </c>
      <c r="W21" s="76">
        <f>10.3*7.7*7.7*0.52</f>
        <v>317.55724000000004</v>
      </c>
      <c r="X21" s="76">
        <f>11.3*8.2*8.2*0.52</f>
        <v>395.10223999999994</v>
      </c>
      <c r="Y21" s="76">
        <f>11.7*8.4*8.4*0.52</f>
        <v>429.28704000000005</v>
      </c>
      <c r="Z21" s="76">
        <f>11.3*9.1*9.1*0.52</f>
        <v>486.59155999999996</v>
      </c>
      <c r="AA21" s="76">
        <f>11.3*8.8*8.8*0.52</f>
        <v>455.03744000000012</v>
      </c>
      <c r="AB21" s="76">
        <f>12.6*11.9*11.9*0.52</f>
        <v>927.82872000000009</v>
      </c>
      <c r="AC21" s="76">
        <f>13.1*13.1*13.1*0.52</f>
        <v>1169.0073199999999</v>
      </c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2"/>
      <c r="BL21" s="255">
        <f t="shared" ref="BL21:BZ35" si="14">IF(OR(ISERROR(S21/$L21)=TRUE,ISBLANK(S21)=TRUE),"",S21/$L21)</f>
        <v>1</v>
      </c>
      <c r="BM21" s="255">
        <f t="shared" si="14"/>
        <v>1.1376583153586637</v>
      </c>
      <c r="BN21" s="255">
        <f t="shared" si="14"/>
        <v>1.7214878724750962</v>
      </c>
      <c r="BO21" s="255">
        <f t="shared" si="14"/>
        <v>2.1631055312820706</v>
      </c>
      <c r="BP21" s="255">
        <f t="shared" si="14"/>
        <v>1.8763926528154173</v>
      </c>
      <c r="BQ21" s="255">
        <f t="shared" si="14"/>
        <v>2.3345930964978581</v>
      </c>
      <c r="BR21" s="255">
        <f t="shared" si="14"/>
        <v>2.536585365853659</v>
      </c>
      <c r="BS21" s="255">
        <f t="shared" si="14"/>
        <v>2.8751881963264077</v>
      </c>
      <c r="BT21" s="255">
        <f t="shared" si="14"/>
        <v>2.688740175383614</v>
      </c>
      <c r="BU21" s="255">
        <f t="shared" si="14"/>
        <v>5.4823848238482391</v>
      </c>
      <c r="BV21" s="255">
        <f t="shared" si="14"/>
        <v>6.9074688592690912</v>
      </c>
      <c r="BW21" s="255" t="str">
        <f t="shared" si="14"/>
        <v/>
      </c>
      <c r="BX21" s="255" t="str">
        <f t="shared" si="14"/>
        <v/>
      </c>
      <c r="BY21" s="255" t="str">
        <f t="shared" si="14"/>
        <v/>
      </c>
      <c r="BZ21" s="255" t="str">
        <f t="shared" si="14"/>
        <v/>
      </c>
      <c r="CA21" s="255" t="str">
        <f t="shared" si="12"/>
        <v/>
      </c>
      <c r="CB21" s="255" t="str">
        <f t="shared" si="12"/>
        <v/>
      </c>
      <c r="CC21" s="255" t="str">
        <f t="shared" si="12"/>
        <v/>
      </c>
      <c r="CD21" s="255" t="str">
        <f t="shared" si="12"/>
        <v/>
      </c>
      <c r="CE21" s="255" t="str">
        <f t="shared" si="12"/>
        <v/>
      </c>
      <c r="CF21" s="255" t="str">
        <f t="shared" si="12"/>
        <v/>
      </c>
      <c r="CG21" s="255" t="str">
        <f t="shared" si="12"/>
        <v/>
      </c>
      <c r="CH21" s="255" t="str">
        <f t="shared" si="12"/>
        <v/>
      </c>
      <c r="CI21" s="255" t="str">
        <f t="shared" si="12"/>
        <v/>
      </c>
      <c r="CJ21" s="255" t="str">
        <f t="shared" si="12"/>
        <v/>
      </c>
      <c r="CK21" s="255" t="str">
        <f t="shared" si="12"/>
        <v/>
      </c>
      <c r="CL21" s="255" t="str">
        <f t="shared" si="12"/>
        <v/>
      </c>
      <c r="CM21" s="255" t="str">
        <f t="shared" si="12"/>
        <v/>
      </c>
      <c r="CN21" s="255" t="str">
        <f t="shared" si="12"/>
        <v/>
      </c>
      <c r="CO21" s="255" t="str">
        <f t="shared" si="12"/>
        <v/>
      </c>
      <c r="CP21" s="255" t="str">
        <f t="shared" si="12"/>
        <v/>
      </c>
      <c r="CQ21" s="255" t="str">
        <f t="shared" si="13"/>
        <v/>
      </c>
      <c r="CR21" s="255" t="str">
        <f t="shared" si="10"/>
        <v/>
      </c>
      <c r="CS21" s="255" t="str">
        <f t="shared" si="10"/>
        <v/>
      </c>
      <c r="CT21" s="255" t="str">
        <f t="shared" si="10"/>
        <v/>
      </c>
      <c r="CU21" s="255" t="str">
        <f t="shared" si="10"/>
        <v/>
      </c>
      <c r="CV21" s="255" t="str">
        <f t="shared" si="10"/>
        <v/>
      </c>
      <c r="CW21" s="255" t="str">
        <f t="shared" si="10"/>
        <v/>
      </c>
      <c r="CX21" s="255" t="str">
        <f t="shared" si="10"/>
        <v/>
      </c>
      <c r="CY21" s="255" t="str">
        <f t="shared" si="10"/>
        <v/>
      </c>
      <c r="CZ21" s="255" t="str">
        <f t="shared" si="10"/>
        <v/>
      </c>
      <c r="DA21" s="255" t="str">
        <f t="shared" si="10"/>
        <v/>
      </c>
      <c r="DB21" s="255" t="str">
        <f t="shared" si="10"/>
        <v/>
      </c>
      <c r="DC21" s="255" t="str">
        <f t="shared" si="10"/>
        <v/>
      </c>
      <c r="DD21" s="2"/>
    </row>
    <row r="22" spans="1:108">
      <c r="A22" s="35">
        <v>1057004</v>
      </c>
      <c r="B22" s="1">
        <v>43</v>
      </c>
      <c r="C22" s="25" t="str">
        <f t="shared" si="5"/>
        <v>1057004-43</v>
      </c>
      <c r="D22" s="24" t="s">
        <v>87</v>
      </c>
      <c r="E22" s="32" t="s">
        <v>93</v>
      </c>
      <c r="F22" s="27">
        <v>42798</v>
      </c>
      <c r="G22" s="33">
        <v>25.8</v>
      </c>
      <c r="H22" s="27">
        <v>42808</v>
      </c>
      <c r="I22" s="33">
        <v>25.8</v>
      </c>
      <c r="J22" s="33">
        <v>10.9</v>
      </c>
      <c r="K22" s="33">
        <v>6.6</v>
      </c>
      <c r="L22" s="28">
        <f t="shared" si="6"/>
        <v>246.89807999999999</v>
      </c>
      <c r="M22" s="251" t="s">
        <v>89</v>
      </c>
      <c r="N22" s="252"/>
      <c r="O22" s="253">
        <f t="shared" si="11"/>
        <v>0</v>
      </c>
      <c r="P22" s="254">
        <f t="shared" si="7"/>
        <v>0</v>
      </c>
      <c r="Q22" s="29"/>
      <c r="R22" s="111"/>
      <c r="S22" s="71">
        <f>10.9*6.6*6.6*0.52</f>
        <v>246.89807999999999</v>
      </c>
      <c r="T22" s="76">
        <v>275.18400000000003</v>
      </c>
      <c r="U22" s="76">
        <f>11.7*7.5*7.5*0.52</f>
        <v>342.22500000000002</v>
      </c>
      <c r="V22" s="76">
        <f>13.3*9.1*9.1*0.52</f>
        <v>572.71396000000004</v>
      </c>
      <c r="W22" s="76">
        <f>14.9*9.9*9.9*0.52</f>
        <v>759.38148000000012</v>
      </c>
      <c r="X22" s="76">
        <f>15*10.2*10.2*0.52</f>
        <v>811.51199999999994</v>
      </c>
      <c r="Y22" s="76">
        <f>14.1*10.4*10.4*0.52</f>
        <v>793.02912000000015</v>
      </c>
      <c r="Z22" s="76">
        <f>17*11.2*11.2*0.52</f>
        <v>1108.8895999999997</v>
      </c>
      <c r="AA22" s="76">
        <f>16.7*11.7*11.7*0.52</f>
        <v>1188.7527599999999</v>
      </c>
      <c r="AB22" s="76">
        <f>18.4*12.7*12.7*0.52</f>
        <v>1543.2227199999998</v>
      </c>
      <c r="AC22" s="76">
        <f>17.9*13.3*13.3*0.52</f>
        <v>1646.4921200000001</v>
      </c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2"/>
      <c r="BL22" s="255">
        <f t="shared" si="14"/>
        <v>1</v>
      </c>
      <c r="BM22" s="255">
        <f t="shared" si="14"/>
        <v>1.1145651679429829</v>
      </c>
      <c r="BN22" s="255">
        <f t="shared" si="14"/>
        <v>1.3860982637046024</v>
      </c>
      <c r="BO22" s="255">
        <f t="shared" si="14"/>
        <v>2.3196371555420767</v>
      </c>
      <c r="BP22" s="255">
        <f t="shared" si="14"/>
        <v>3.0756880733944958</v>
      </c>
      <c r="BQ22" s="255">
        <f t="shared" si="14"/>
        <v>3.2868299340359388</v>
      </c>
      <c r="BR22" s="255">
        <f t="shared" si="14"/>
        <v>3.2119695706017648</v>
      </c>
      <c r="BS22" s="255">
        <f t="shared" si="14"/>
        <v>4.4912848248961668</v>
      </c>
      <c r="BT22" s="255">
        <f t="shared" si="14"/>
        <v>4.8147509288043064</v>
      </c>
      <c r="BU22" s="255">
        <f t="shared" si="14"/>
        <v>6.2504443938972702</v>
      </c>
      <c r="BV22" s="255">
        <f t="shared" si="14"/>
        <v>6.6687117210470008</v>
      </c>
      <c r="BW22" s="255" t="str">
        <f t="shared" si="14"/>
        <v/>
      </c>
      <c r="BX22" s="255" t="str">
        <f t="shared" si="14"/>
        <v/>
      </c>
      <c r="BY22" s="255" t="str">
        <f t="shared" si="14"/>
        <v/>
      </c>
      <c r="BZ22" s="255" t="str">
        <f t="shared" si="14"/>
        <v/>
      </c>
      <c r="CA22" s="255" t="str">
        <f t="shared" si="12"/>
        <v/>
      </c>
      <c r="CB22" s="255" t="str">
        <f t="shared" si="12"/>
        <v/>
      </c>
      <c r="CC22" s="255" t="str">
        <f t="shared" si="12"/>
        <v/>
      </c>
      <c r="CD22" s="255" t="str">
        <f t="shared" si="12"/>
        <v/>
      </c>
      <c r="CE22" s="255" t="str">
        <f t="shared" si="12"/>
        <v/>
      </c>
      <c r="CF22" s="255" t="str">
        <f t="shared" si="12"/>
        <v/>
      </c>
      <c r="CG22" s="255" t="str">
        <f t="shared" si="12"/>
        <v/>
      </c>
      <c r="CH22" s="255" t="str">
        <f t="shared" si="12"/>
        <v/>
      </c>
      <c r="CI22" s="255" t="str">
        <f t="shared" si="12"/>
        <v/>
      </c>
      <c r="CJ22" s="255" t="str">
        <f t="shared" si="12"/>
        <v/>
      </c>
      <c r="CK22" s="255" t="str">
        <f t="shared" si="12"/>
        <v/>
      </c>
      <c r="CL22" s="255" t="str">
        <f t="shared" si="12"/>
        <v/>
      </c>
      <c r="CM22" s="255" t="str">
        <f t="shared" si="12"/>
        <v/>
      </c>
      <c r="CN22" s="255" t="str">
        <f t="shared" si="12"/>
        <v/>
      </c>
      <c r="CO22" s="255" t="str">
        <f t="shared" si="12"/>
        <v/>
      </c>
      <c r="CP22" s="255" t="str">
        <f t="shared" si="12"/>
        <v/>
      </c>
      <c r="CQ22" s="255" t="str">
        <f t="shared" si="13"/>
        <v/>
      </c>
      <c r="CR22" s="255" t="str">
        <f t="shared" si="10"/>
        <v/>
      </c>
      <c r="CS22" s="255" t="str">
        <f t="shared" si="10"/>
        <v/>
      </c>
      <c r="CT22" s="255" t="str">
        <f t="shared" si="10"/>
        <v/>
      </c>
      <c r="CU22" s="255" t="str">
        <f t="shared" si="10"/>
        <v/>
      </c>
      <c r="CV22" s="255" t="str">
        <f t="shared" si="10"/>
        <v/>
      </c>
      <c r="CW22" s="255" t="str">
        <f t="shared" si="10"/>
        <v/>
      </c>
      <c r="CX22" s="255" t="str">
        <f t="shared" si="10"/>
        <v/>
      </c>
      <c r="CY22" s="255" t="str">
        <f t="shared" si="10"/>
        <v/>
      </c>
      <c r="CZ22" s="255" t="str">
        <f t="shared" si="10"/>
        <v/>
      </c>
      <c r="DA22" s="255" t="str">
        <f t="shared" si="10"/>
        <v/>
      </c>
      <c r="DB22" s="255" t="str">
        <f t="shared" si="10"/>
        <v/>
      </c>
      <c r="DC22" s="255" t="str">
        <f t="shared" si="10"/>
        <v/>
      </c>
      <c r="DD22" s="2"/>
    </row>
    <row r="23" spans="1:108">
      <c r="A23" s="35">
        <v>1057004</v>
      </c>
      <c r="B23" s="1">
        <v>44</v>
      </c>
      <c r="C23" s="25" t="str">
        <f t="shared" si="5"/>
        <v>1057004-44</v>
      </c>
      <c r="D23" s="24" t="s">
        <v>87</v>
      </c>
      <c r="E23" s="32" t="s">
        <v>88</v>
      </c>
      <c r="F23" s="27">
        <v>42798</v>
      </c>
      <c r="G23" s="33">
        <v>26.9</v>
      </c>
      <c r="H23" s="27">
        <v>42808</v>
      </c>
      <c r="I23" s="33">
        <v>28</v>
      </c>
      <c r="J23" s="33">
        <v>8.1999999999999993</v>
      </c>
      <c r="K23" s="33">
        <v>6.2</v>
      </c>
      <c r="L23" s="28">
        <f t="shared" si="6"/>
        <v>163.90816000000001</v>
      </c>
      <c r="M23" s="251"/>
      <c r="N23" s="252"/>
      <c r="O23" s="253">
        <f t="shared" si="11"/>
        <v>0</v>
      </c>
      <c r="P23" s="254">
        <f t="shared" si="7"/>
        <v>0</v>
      </c>
      <c r="Q23" s="29"/>
      <c r="R23" s="111"/>
      <c r="S23" s="71">
        <f>8.2*6.2*6.2*0.52</f>
        <v>163.90815999999998</v>
      </c>
      <c r="T23" s="76">
        <v>139.37924000000001</v>
      </c>
      <c r="U23" s="76">
        <f>11.2*8.2*8.2*0.52</f>
        <v>391.60575999999992</v>
      </c>
      <c r="V23" s="76">
        <f>12.1*9.7*9.7*0.52</f>
        <v>592.01427999999987</v>
      </c>
      <c r="W23" s="76">
        <f>12.6*10.5*10.5*0.52</f>
        <v>722.35799999999995</v>
      </c>
      <c r="X23" s="76">
        <f>13.5*12.3*12.3*0.52</f>
        <v>1062.0558000000001</v>
      </c>
      <c r="Y23" s="76">
        <f>15.8*15.6*15.6*0.52</f>
        <v>1999.4457600000001</v>
      </c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2"/>
      <c r="BL23" s="255">
        <f t="shared" si="14"/>
        <v>0.99999999999999978</v>
      </c>
      <c r="BM23" s="255">
        <f t="shared" si="14"/>
        <v>0.85034961041597934</v>
      </c>
      <c r="BN23" s="255">
        <f t="shared" si="14"/>
        <v>2.3891779396462014</v>
      </c>
      <c r="BO23" s="255">
        <f t="shared" si="14"/>
        <v>3.6118658155884358</v>
      </c>
      <c r="BP23" s="255">
        <f t="shared" si="14"/>
        <v>4.4070899215755936</v>
      </c>
      <c r="BQ23" s="255">
        <f t="shared" si="14"/>
        <v>6.4795785639958376</v>
      </c>
      <c r="BR23" s="255">
        <f t="shared" si="14"/>
        <v>12.198573640262937</v>
      </c>
      <c r="BS23" s="255" t="str">
        <f t="shared" si="14"/>
        <v/>
      </c>
      <c r="BT23" s="255" t="str">
        <f t="shared" si="14"/>
        <v/>
      </c>
      <c r="BU23" s="255" t="str">
        <f t="shared" si="14"/>
        <v/>
      </c>
      <c r="BV23" s="255" t="str">
        <f t="shared" si="14"/>
        <v/>
      </c>
      <c r="BW23" s="255" t="str">
        <f t="shared" si="14"/>
        <v/>
      </c>
      <c r="BX23" s="255" t="str">
        <f t="shared" si="14"/>
        <v/>
      </c>
      <c r="BY23" s="255" t="str">
        <f t="shared" si="14"/>
        <v/>
      </c>
      <c r="BZ23" s="255" t="str">
        <f t="shared" si="14"/>
        <v/>
      </c>
      <c r="CA23" s="255" t="str">
        <f t="shared" si="12"/>
        <v/>
      </c>
      <c r="CB23" s="255" t="str">
        <f t="shared" si="12"/>
        <v/>
      </c>
      <c r="CC23" s="255" t="str">
        <f t="shared" si="12"/>
        <v/>
      </c>
      <c r="CD23" s="255" t="str">
        <f t="shared" si="12"/>
        <v/>
      </c>
      <c r="CE23" s="255" t="str">
        <f t="shared" si="12"/>
        <v/>
      </c>
      <c r="CF23" s="255" t="str">
        <f t="shared" si="12"/>
        <v/>
      </c>
      <c r="CG23" s="255" t="str">
        <f t="shared" si="12"/>
        <v/>
      </c>
      <c r="CH23" s="255" t="str">
        <f t="shared" si="12"/>
        <v/>
      </c>
      <c r="CI23" s="255" t="str">
        <f t="shared" si="12"/>
        <v/>
      </c>
      <c r="CJ23" s="255" t="str">
        <f t="shared" si="12"/>
        <v/>
      </c>
      <c r="CK23" s="255" t="str">
        <f t="shared" si="12"/>
        <v/>
      </c>
      <c r="CL23" s="255" t="str">
        <f t="shared" si="12"/>
        <v/>
      </c>
      <c r="CM23" s="255" t="str">
        <f t="shared" si="12"/>
        <v/>
      </c>
      <c r="CN23" s="255" t="str">
        <f t="shared" si="12"/>
        <v/>
      </c>
      <c r="CO23" s="255" t="str">
        <f t="shared" si="12"/>
        <v/>
      </c>
      <c r="CP23" s="255" t="str">
        <f t="shared" si="12"/>
        <v/>
      </c>
      <c r="CQ23" s="255" t="str">
        <f t="shared" si="13"/>
        <v/>
      </c>
      <c r="CR23" s="255" t="str">
        <f t="shared" si="10"/>
        <v/>
      </c>
      <c r="CS23" s="255" t="str">
        <f t="shared" si="10"/>
        <v/>
      </c>
      <c r="CT23" s="255" t="str">
        <f t="shared" si="10"/>
        <v/>
      </c>
      <c r="CU23" s="255" t="str">
        <f t="shared" si="10"/>
        <v/>
      </c>
      <c r="CV23" s="255" t="str">
        <f t="shared" si="10"/>
        <v/>
      </c>
      <c r="CW23" s="255" t="str">
        <f t="shared" si="10"/>
        <v/>
      </c>
      <c r="CX23" s="255" t="str">
        <f t="shared" si="10"/>
        <v/>
      </c>
      <c r="CY23" s="255" t="str">
        <f t="shared" si="10"/>
        <v/>
      </c>
      <c r="CZ23" s="255" t="str">
        <f t="shared" si="10"/>
        <v/>
      </c>
      <c r="DA23" s="255" t="str">
        <f t="shared" si="10"/>
        <v/>
      </c>
      <c r="DB23" s="255" t="str">
        <f t="shared" si="10"/>
        <v/>
      </c>
      <c r="DC23" s="255" t="str">
        <f t="shared" si="10"/>
        <v/>
      </c>
      <c r="DD23" s="2"/>
    </row>
    <row r="24" spans="1:108">
      <c r="A24" s="35">
        <v>1057004</v>
      </c>
      <c r="B24" s="1">
        <v>45</v>
      </c>
      <c r="C24" s="25" t="str">
        <f t="shared" si="5"/>
        <v>1057004-45</v>
      </c>
      <c r="D24" s="24" t="s">
        <v>87</v>
      </c>
      <c r="E24" s="26" t="s">
        <v>88</v>
      </c>
      <c r="F24" s="27">
        <v>42798</v>
      </c>
      <c r="G24" s="33">
        <v>24.4</v>
      </c>
      <c r="H24" s="27">
        <v>42808</v>
      </c>
      <c r="I24" s="33">
        <v>25.8</v>
      </c>
      <c r="J24" s="33">
        <v>10.199999999999999</v>
      </c>
      <c r="K24" s="33">
        <v>7</v>
      </c>
      <c r="L24" s="28">
        <f t="shared" si="6"/>
        <v>259.89599999999996</v>
      </c>
      <c r="M24" s="251"/>
      <c r="N24" s="252"/>
      <c r="O24" s="253">
        <f t="shared" si="11"/>
        <v>0</v>
      </c>
      <c r="P24" s="254">
        <f t="shared" si="7"/>
        <v>0</v>
      </c>
      <c r="Q24" s="29"/>
      <c r="R24" s="111"/>
      <c r="S24" s="71">
        <f>10.2*7*7*0.52</f>
        <v>259.89599999999996</v>
      </c>
      <c r="T24" s="76">
        <v>321.37663999999995</v>
      </c>
      <c r="U24" s="76">
        <f>12*8.4*8.4*0.52</f>
        <v>440.29440000000011</v>
      </c>
      <c r="V24" s="76">
        <f>12.8*9.6*9.6*0.52</f>
        <v>613.41696000000002</v>
      </c>
      <c r="W24" s="76">
        <f>12.8*9.6*9.6*0.52</f>
        <v>613.41696000000002</v>
      </c>
      <c r="X24" s="76">
        <f>14.2*11.2*11.2*0.52</f>
        <v>926.2489599999999</v>
      </c>
      <c r="Y24" s="76">
        <f>15.9*11.9*11.9*0.52</f>
        <v>1170.8314800000001</v>
      </c>
      <c r="Z24" s="76">
        <f>16.8*12.4*12.4*0.52</f>
        <v>1343.2473600000001</v>
      </c>
      <c r="AA24" s="76">
        <f>18.4*14.2*14.2*0.52</f>
        <v>1929.2915199999998</v>
      </c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2"/>
      <c r="BL24" s="255">
        <f t="shared" si="14"/>
        <v>1</v>
      </c>
      <c r="BM24" s="255">
        <f t="shared" si="14"/>
        <v>1.2365586234493797</v>
      </c>
      <c r="BN24" s="255">
        <f t="shared" si="14"/>
        <v>1.6941176470588242</v>
      </c>
      <c r="BO24" s="255">
        <f t="shared" si="14"/>
        <v>2.360240096038416</v>
      </c>
      <c r="BP24" s="255">
        <f t="shared" si="14"/>
        <v>2.360240096038416</v>
      </c>
      <c r="BQ24" s="255">
        <f t="shared" si="14"/>
        <v>3.563921568627451</v>
      </c>
      <c r="BR24" s="255">
        <f t="shared" si="14"/>
        <v>4.5050000000000008</v>
      </c>
      <c r="BS24" s="255">
        <f t="shared" si="14"/>
        <v>5.1684033613445388</v>
      </c>
      <c r="BT24" s="255">
        <f t="shared" si="14"/>
        <v>7.4233213285314132</v>
      </c>
      <c r="BU24" s="255" t="str">
        <f t="shared" si="14"/>
        <v/>
      </c>
      <c r="BV24" s="255" t="str">
        <f t="shared" si="14"/>
        <v/>
      </c>
      <c r="BW24" s="255" t="str">
        <f t="shared" si="14"/>
        <v/>
      </c>
      <c r="BX24" s="255" t="str">
        <f t="shared" si="14"/>
        <v/>
      </c>
      <c r="BY24" s="255" t="str">
        <f t="shared" si="14"/>
        <v/>
      </c>
      <c r="BZ24" s="255" t="str">
        <f t="shared" si="14"/>
        <v/>
      </c>
      <c r="CA24" s="255" t="str">
        <f t="shared" si="12"/>
        <v/>
      </c>
      <c r="CB24" s="255" t="str">
        <f t="shared" si="12"/>
        <v/>
      </c>
      <c r="CC24" s="255" t="str">
        <f t="shared" si="12"/>
        <v/>
      </c>
      <c r="CD24" s="255" t="str">
        <f t="shared" si="12"/>
        <v/>
      </c>
      <c r="CE24" s="255" t="str">
        <f t="shared" si="12"/>
        <v/>
      </c>
      <c r="CF24" s="255" t="str">
        <f t="shared" si="12"/>
        <v/>
      </c>
      <c r="CG24" s="255" t="str">
        <f t="shared" si="12"/>
        <v/>
      </c>
      <c r="CH24" s="255" t="str">
        <f t="shared" si="12"/>
        <v/>
      </c>
      <c r="CI24" s="255" t="str">
        <f t="shared" si="12"/>
        <v/>
      </c>
      <c r="CJ24" s="255" t="str">
        <f t="shared" si="12"/>
        <v/>
      </c>
      <c r="CK24" s="255" t="str">
        <f t="shared" si="12"/>
        <v/>
      </c>
      <c r="CL24" s="255" t="str">
        <f t="shared" si="12"/>
        <v/>
      </c>
      <c r="CM24" s="255" t="str">
        <f t="shared" si="12"/>
        <v/>
      </c>
      <c r="CN24" s="255" t="str">
        <f t="shared" si="12"/>
        <v/>
      </c>
      <c r="CO24" s="255" t="str">
        <f t="shared" si="12"/>
        <v/>
      </c>
      <c r="CP24" s="255" t="str">
        <f t="shared" si="12"/>
        <v/>
      </c>
      <c r="CQ24" s="255" t="str">
        <f t="shared" si="13"/>
        <v/>
      </c>
      <c r="CR24" s="255" t="str">
        <f t="shared" si="10"/>
        <v/>
      </c>
      <c r="CS24" s="255" t="str">
        <f t="shared" si="10"/>
        <v/>
      </c>
      <c r="CT24" s="255" t="str">
        <f t="shared" si="10"/>
        <v/>
      </c>
      <c r="CU24" s="255" t="str">
        <f t="shared" si="10"/>
        <v/>
      </c>
      <c r="CV24" s="255" t="str">
        <f t="shared" si="10"/>
        <v/>
      </c>
      <c r="CW24" s="255" t="str">
        <f t="shared" si="10"/>
        <v/>
      </c>
      <c r="CX24" s="255" t="str">
        <f t="shared" si="10"/>
        <v/>
      </c>
      <c r="CY24" s="255" t="str">
        <f t="shared" si="10"/>
        <v/>
      </c>
      <c r="CZ24" s="255" t="str">
        <f t="shared" si="10"/>
        <v/>
      </c>
      <c r="DA24" s="255" t="str">
        <f t="shared" si="10"/>
        <v/>
      </c>
      <c r="DB24" s="255" t="str">
        <f t="shared" si="10"/>
        <v/>
      </c>
      <c r="DC24" s="255" t="str">
        <f t="shared" si="10"/>
        <v/>
      </c>
      <c r="DD24" s="2"/>
    </row>
    <row r="25" spans="1:108">
      <c r="A25" s="35">
        <v>1046865</v>
      </c>
      <c r="B25" s="1">
        <v>51</v>
      </c>
      <c r="C25" s="25" t="str">
        <f t="shared" si="5"/>
        <v>1046865-51</v>
      </c>
      <c r="D25" s="24" t="s">
        <v>87</v>
      </c>
      <c r="E25" s="26" t="s">
        <v>88</v>
      </c>
      <c r="F25" s="27">
        <v>42798</v>
      </c>
      <c r="G25" s="33">
        <v>26.9</v>
      </c>
      <c r="H25" s="27">
        <v>42808</v>
      </c>
      <c r="I25" s="33">
        <v>28.2</v>
      </c>
      <c r="J25" s="33">
        <v>6.8</v>
      </c>
      <c r="K25" s="33">
        <v>5</v>
      </c>
      <c r="L25" s="28">
        <f t="shared" si="6"/>
        <v>88.4</v>
      </c>
      <c r="M25" s="251"/>
      <c r="N25" s="252"/>
      <c r="O25" s="253">
        <f t="shared" si="11"/>
        <v>0</v>
      </c>
      <c r="P25" s="254">
        <f t="shared" si="7"/>
        <v>0</v>
      </c>
      <c r="Q25" s="29"/>
      <c r="R25" s="111"/>
      <c r="S25" s="71">
        <f>6.8*5*5*0.52</f>
        <v>88.4</v>
      </c>
      <c r="T25" s="76">
        <v>101.43899999999999</v>
      </c>
      <c r="U25" s="76">
        <f>7.7*6.1*6.1*0.52</f>
        <v>148.98884000000001</v>
      </c>
      <c r="V25" s="76">
        <f>9.4*6.3*6.3*0.52</f>
        <v>194.00471999999999</v>
      </c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2"/>
      <c r="BL25" s="255">
        <f t="shared" si="14"/>
        <v>1</v>
      </c>
      <c r="BM25" s="255">
        <f t="shared" si="14"/>
        <v>1.1474999999999997</v>
      </c>
      <c r="BN25" s="255">
        <f t="shared" si="14"/>
        <v>1.6853941176470588</v>
      </c>
      <c r="BO25" s="255">
        <f t="shared" si="14"/>
        <v>2.1946235294117646</v>
      </c>
      <c r="BP25" s="255" t="str">
        <f t="shared" si="14"/>
        <v/>
      </c>
      <c r="BQ25" s="255" t="str">
        <f t="shared" si="14"/>
        <v/>
      </c>
      <c r="BR25" s="255" t="str">
        <f t="shared" si="14"/>
        <v/>
      </c>
      <c r="BS25" s="255" t="str">
        <f t="shared" si="14"/>
        <v/>
      </c>
      <c r="BT25" s="255" t="str">
        <f t="shared" si="14"/>
        <v/>
      </c>
      <c r="BU25" s="255" t="str">
        <f t="shared" si="14"/>
        <v/>
      </c>
      <c r="BV25" s="255" t="str">
        <f t="shared" si="14"/>
        <v/>
      </c>
      <c r="BW25" s="255" t="str">
        <f t="shared" si="14"/>
        <v/>
      </c>
      <c r="BX25" s="255" t="str">
        <f t="shared" si="14"/>
        <v/>
      </c>
      <c r="BY25" s="255" t="str">
        <f t="shared" si="14"/>
        <v/>
      </c>
      <c r="BZ25" s="255" t="str">
        <f t="shared" si="14"/>
        <v/>
      </c>
      <c r="CA25" s="255" t="str">
        <f t="shared" si="12"/>
        <v/>
      </c>
      <c r="CB25" s="255" t="str">
        <f t="shared" si="12"/>
        <v/>
      </c>
      <c r="CC25" s="255" t="str">
        <f t="shared" si="12"/>
        <v/>
      </c>
      <c r="CD25" s="255" t="str">
        <f t="shared" si="12"/>
        <v/>
      </c>
      <c r="CE25" s="255" t="str">
        <f t="shared" si="12"/>
        <v/>
      </c>
      <c r="CF25" s="255" t="str">
        <f t="shared" si="12"/>
        <v/>
      </c>
      <c r="CG25" s="255" t="str">
        <f t="shared" si="12"/>
        <v/>
      </c>
      <c r="CH25" s="255" t="str">
        <f t="shared" si="12"/>
        <v/>
      </c>
      <c r="CI25" s="255" t="str">
        <f t="shared" si="12"/>
        <v/>
      </c>
      <c r="CJ25" s="255" t="str">
        <f t="shared" si="12"/>
        <v/>
      </c>
      <c r="CK25" s="255" t="str">
        <f t="shared" si="12"/>
        <v/>
      </c>
      <c r="CL25" s="255" t="str">
        <f t="shared" si="12"/>
        <v/>
      </c>
      <c r="CM25" s="255" t="str">
        <f t="shared" si="12"/>
        <v/>
      </c>
      <c r="CN25" s="255" t="str">
        <f t="shared" si="12"/>
        <v/>
      </c>
      <c r="CO25" s="255" t="str">
        <f t="shared" si="12"/>
        <v/>
      </c>
      <c r="CP25" s="255" t="str">
        <f t="shared" si="12"/>
        <v/>
      </c>
      <c r="CQ25" s="255" t="str">
        <f t="shared" si="13"/>
        <v/>
      </c>
      <c r="CR25" s="255" t="str">
        <f t="shared" si="10"/>
        <v/>
      </c>
      <c r="CS25" s="255" t="str">
        <f t="shared" si="10"/>
        <v/>
      </c>
      <c r="CT25" s="255" t="str">
        <f t="shared" si="10"/>
        <v/>
      </c>
      <c r="CU25" s="255" t="str">
        <f t="shared" si="10"/>
        <v/>
      </c>
      <c r="CV25" s="255" t="str">
        <f t="shared" si="10"/>
        <v/>
      </c>
      <c r="CW25" s="255" t="str">
        <f t="shared" si="10"/>
        <v/>
      </c>
      <c r="CX25" s="255" t="str">
        <f t="shared" si="10"/>
        <v/>
      </c>
      <c r="CY25" s="255" t="str">
        <f t="shared" si="10"/>
        <v/>
      </c>
      <c r="CZ25" s="255" t="str">
        <f t="shared" si="10"/>
        <v/>
      </c>
      <c r="DA25" s="255" t="str">
        <f t="shared" si="10"/>
        <v/>
      </c>
      <c r="DB25" s="255" t="str">
        <f t="shared" si="10"/>
        <v/>
      </c>
      <c r="DC25" s="255" t="str">
        <f t="shared" si="10"/>
        <v/>
      </c>
      <c r="DD25" s="2"/>
    </row>
    <row r="26" spans="1:108">
      <c r="A26" s="35">
        <v>1046865</v>
      </c>
      <c r="B26" s="1">
        <v>52</v>
      </c>
      <c r="C26" s="25" t="str">
        <f t="shared" si="5"/>
        <v>1046865-52</v>
      </c>
      <c r="D26" s="24" t="s">
        <v>87</v>
      </c>
      <c r="E26" s="32" t="s">
        <v>93</v>
      </c>
      <c r="F26" s="27">
        <v>42798</v>
      </c>
      <c r="G26" s="33">
        <v>24.7</v>
      </c>
      <c r="H26" s="27">
        <v>42808</v>
      </c>
      <c r="I26" s="33">
        <v>26.8</v>
      </c>
      <c r="J26" s="33">
        <v>6.4</v>
      </c>
      <c r="K26" s="33">
        <v>5.6</v>
      </c>
      <c r="L26" s="28">
        <f t="shared" si="6"/>
        <v>104.36608</v>
      </c>
      <c r="M26" s="251" t="s">
        <v>89</v>
      </c>
      <c r="N26" s="252"/>
      <c r="O26" s="253">
        <f t="shared" si="11"/>
        <v>0</v>
      </c>
      <c r="P26" s="254">
        <f t="shared" si="7"/>
        <v>0</v>
      </c>
      <c r="Q26" s="29"/>
      <c r="R26" s="111"/>
      <c r="S26" s="71">
        <f>6.4*5.6*5.6*0.52</f>
        <v>104.36608</v>
      </c>
      <c r="T26" s="76">
        <v>159.74400000000003</v>
      </c>
      <c r="U26" s="76">
        <f>8.6*6.9*6.9*0.52</f>
        <v>212.91192000000001</v>
      </c>
      <c r="V26" s="76">
        <f>9.9*7.5*7.5*0.52</f>
        <v>289.57499999999999</v>
      </c>
      <c r="W26" s="76">
        <f>11.4*8.1*8.1*0.52</f>
        <v>388.93608</v>
      </c>
      <c r="X26" s="76">
        <f>11.3*8.1*8.1*0.52</f>
        <v>385.52436</v>
      </c>
      <c r="Y26" s="76">
        <f>11.1*8.6*8.6*0.52</f>
        <v>426.89711999999997</v>
      </c>
      <c r="Z26" s="76">
        <f>11.8*8.7*8.7*0.52</f>
        <v>464.43383999999998</v>
      </c>
      <c r="AA26" s="76">
        <f>12.1*9*9*0.52</f>
        <v>509.65199999999999</v>
      </c>
      <c r="AB26" s="76">
        <f>12.1*11.2*11.2*0.52</f>
        <v>789.26847999999984</v>
      </c>
      <c r="AC26" s="76">
        <f>13.1*11.1*11.1*0.52</f>
        <v>839.30651999999998</v>
      </c>
      <c r="AD26" s="76">
        <f>14.1*11.4*11.4*0.52</f>
        <v>952.8667200000001</v>
      </c>
      <c r="AE26" s="76">
        <f>14.2*12.5*12.5*0.52</f>
        <v>1153.75</v>
      </c>
      <c r="AF26" s="76">
        <f>15.5*14.5*14.5*0.52</f>
        <v>1694.615</v>
      </c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2"/>
      <c r="BL26" s="255">
        <f t="shared" si="14"/>
        <v>1</v>
      </c>
      <c r="BM26" s="255">
        <f t="shared" si="14"/>
        <v>1.5306122448979596</v>
      </c>
      <c r="BN26" s="255">
        <f t="shared" si="14"/>
        <v>2.0400490274234695</v>
      </c>
      <c r="BO26" s="255">
        <f t="shared" si="14"/>
        <v>2.774608378507653</v>
      </c>
      <c r="BP26" s="255">
        <f t="shared" si="14"/>
        <v>3.7266521843112246</v>
      </c>
      <c r="BQ26" s="255">
        <f t="shared" si="14"/>
        <v>3.6939622528698979</v>
      </c>
      <c r="BR26" s="255">
        <f t="shared" si="14"/>
        <v>4.0903818558673466</v>
      </c>
      <c r="BS26" s="255">
        <f t="shared" si="14"/>
        <v>4.4500458386479593</v>
      </c>
      <c r="BT26" s="255">
        <f t="shared" si="14"/>
        <v>4.8833107461734695</v>
      </c>
      <c r="BU26" s="255">
        <f t="shared" si="14"/>
        <v>7.5624999999999991</v>
      </c>
      <c r="BV26" s="255">
        <f t="shared" si="14"/>
        <v>8.0419473453443882</v>
      </c>
      <c r="BW26" s="255">
        <f t="shared" si="14"/>
        <v>9.1300422512755119</v>
      </c>
      <c r="BX26" s="255">
        <f t="shared" si="14"/>
        <v>11.054836973852041</v>
      </c>
      <c r="BY26" s="255">
        <f t="shared" si="14"/>
        <v>16.237219985650512</v>
      </c>
      <c r="BZ26" s="255" t="str">
        <f t="shared" si="14"/>
        <v/>
      </c>
      <c r="CA26" s="255" t="str">
        <f t="shared" si="12"/>
        <v/>
      </c>
      <c r="CB26" s="255" t="str">
        <f t="shared" si="12"/>
        <v/>
      </c>
      <c r="CC26" s="255" t="str">
        <f t="shared" si="12"/>
        <v/>
      </c>
      <c r="CD26" s="255" t="str">
        <f t="shared" si="12"/>
        <v/>
      </c>
      <c r="CE26" s="255" t="str">
        <f t="shared" si="12"/>
        <v/>
      </c>
      <c r="CF26" s="255" t="str">
        <f t="shared" si="12"/>
        <v/>
      </c>
      <c r="CG26" s="255" t="str">
        <f t="shared" si="12"/>
        <v/>
      </c>
      <c r="CH26" s="255" t="str">
        <f t="shared" si="12"/>
        <v/>
      </c>
      <c r="CI26" s="255" t="str">
        <f t="shared" si="12"/>
        <v/>
      </c>
      <c r="CJ26" s="255" t="str">
        <f t="shared" si="12"/>
        <v/>
      </c>
      <c r="CK26" s="255" t="str">
        <f t="shared" si="12"/>
        <v/>
      </c>
      <c r="CL26" s="255" t="str">
        <f t="shared" si="12"/>
        <v/>
      </c>
      <c r="CM26" s="255" t="str">
        <f t="shared" si="12"/>
        <v/>
      </c>
      <c r="CN26" s="255" t="str">
        <f t="shared" si="12"/>
        <v/>
      </c>
      <c r="CO26" s="255" t="str">
        <f t="shared" si="12"/>
        <v/>
      </c>
      <c r="CP26" s="255" t="str">
        <f t="shared" si="12"/>
        <v/>
      </c>
      <c r="CQ26" s="255" t="str">
        <f t="shared" si="13"/>
        <v/>
      </c>
      <c r="CR26" s="255" t="str">
        <f t="shared" si="10"/>
        <v/>
      </c>
      <c r="CS26" s="255" t="str">
        <f t="shared" si="10"/>
        <v/>
      </c>
      <c r="CT26" s="255" t="str">
        <f t="shared" si="10"/>
        <v/>
      </c>
      <c r="CU26" s="255" t="str">
        <f t="shared" ref="CU26:DC35" si="15">IF(OR(ISERROR(BB26/$L26)=TRUE,ISBLANK(BB26)=TRUE),"",BB26/$L26)</f>
        <v/>
      </c>
      <c r="CV26" s="255" t="str">
        <f t="shared" si="15"/>
        <v/>
      </c>
      <c r="CW26" s="255" t="str">
        <f t="shared" si="15"/>
        <v/>
      </c>
      <c r="CX26" s="255" t="str">
        <f t="shared" si="15"/>
        <v/>
      </c>
      <c r="CY26" s="255" t="str">
        <f t="shared" si="15"/>
        <v/>
      </c>
      <c r="CZ26" s="255" t="str">
        <f t="shared" si="15"/>
        <v/>
      </c>
      <c r="DA26" s="255" t="str">
        <f t="shared" si="15"/>
        <v/>
      </c>
      <c r="DB26" s="255" t="str">
        <f t="shared" si="15"/>
        <v/>
      </c>
      <c r="DC26" s="255" t="str">
        <f t="shared" si="15"/>
        <v/>
      </c>
      <c r="DD26" s="2"/>
    </row>
    <row r="27" spans="1:108">
      <c r="A27" s="35">
        <v>1046865</v>
      </c>
      <c r="B27" s="1">
        <v>53</v>
      </c>
      <c r="C27" s="25" t="str">
        <f t="shared" si="5"/>
        <v>1046865-53</v>
      </c>
      <c r="D27" s="24" t="s">
        <v>87</v>
      </c>
      <c r="E27" s="32" t="s">
        <v>68</v>
      </c>
      <c r="F27" s="27">
        <v>42798</v>
      </c>
      <c r="G27" s="33">
        <v>26.8</v>
      </c>
      <c r="H27" s="27">
        <v>42808</v>
      </c>
      <c r="I27" s="33">
        <v>28.2</v>
      </c>
      <c r="J27" s="33">
        <v>8</v>
      </c>
      <c r="K27" s="33">
        <v>5.9</v>
      </c>
      <c r="L27" s="33">
        <f t="shared" si="6"/>
        <v>144.80960000000002</v>
      </c>
      <c r="M27" s="251"/>
      <c r="N27" s="252">
        <v>125</v>
      </c>
      <c r="O27" s="253">
        <f t="shared" si="11"/>
        <v>11.081560283687944</v>
      </c>
      <c r="P27" s="254">
        <f t="shared" si="7"/>
        <v>2.1580060990431571</v>
      </c>
      <c r="Q27" s="29"/>
      <c r="R27" s="111"/>
      <c r="S27" s="71">
        <f>8*5.9*5.9*0.52</f>
        <v>144.80960000000002</v>
      </c>
      <c r="T27" s="76">
        <v>186.745</v>
      </c>
      <c r="U27" s="76">
        <f>9.4*6.9*6.9*0.52</f>
        <v>232.71768</v>
      </c>
      <c r="V27" s="76">
        <f>12.8*8.9*8.9*0.52</f>
        <v>527.22176000000013</v>
      </c>
      <c r="W27" s="76">
        <f>15.3*9.4*9.4*0.52</f>
        <v>702.99216000000024</v>
      </c>
      <c r="X27" s="76">
        <f>16.4*10.3*10.3*0.52</f>
        <v>904.73552000000007</v>
      </c>
      <c r="Y27" s="76">
        <f>20*11.8*11.8*0.52</f>
        <v>1448.0960000000002</v>
      </c>
      <c r="Z27" s="76">
        <f>21.2*12.4*12.4*0.52</f>
        <v>1695.05024</v>
      </c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2"/>
      <c r="BL27" s="255">
        <f t="shared" si="14"/>
        <v>1</v>
      </c>
      <c r="BM27" s="255">
        <f t="shared" si="14"/>
        <v>1.289589916690606</v>
      </c>
      <c r="BN27" s="255">
        <f t="shared" si="14"/>
        <v>1.6070597529445561</v>
      </c>
      <c r="BO27" s="255">
        <f t="shared" si="14"/>
        <v>3.6407928756104573</v>
      </c>
      <c r="BP27" s="255">
        <f t="shared" si="14"/>
        <v>4.8545963803504755</v>
      </c>
      <c r="BQ27" s="255">
        <f t="shared" si="14"/>
        <v>6.2477592645791438</v>
      </c>
      <c r="BR27" s="255">
        <f t="shared" si="14"/>
        <v>10</v>
      </c>
      <c r="BS27" s="255">
        <f t="shared" si="14"/>
        <v>11.705372019534614</v>
      </c>
      <c r="BT27" s="255" t="str">
        <f t="shared" si="14"/>
        <v/>
      </c>
      <c r="BU27" s="255" t="str">
        <f t="shared" si="14"/>
        <v/>
      </c>
      <c r="BV27" s="255" t="str">
        <f t="shared" si="14"/>
        <v/>
      </c>
      <c r="BW27" s="255" t="str">
        <f t="shared" si="14"/>
        <v/>
      </c>
      <c r="BX27" s="255" t="str">
        <f t="shared" si="14"/>
        <v/>
      </c>
      <c r="BY27" s="255" t="str">
        <f t="shared" si="14"/>
        <v/>
      </c>
      <c r="BZ27" s="255" t="str">
        <f t="shared" si="14"/>
        <v/>
      </c>
      <c r="CA27" s="255" t="str">
        <f t="shared" si="12"/>
        <v/>
      </c>
      <c r="CB27" s="255" t="str">
        <f t="shared" si="12"/>
        <v/>
      </c>
      <c r="CC27" s="255" t="str">
        <f t="shared" si="12"/>
        <v/>
      </c>
      <c r="CD27" s="255" t="str">
        <f t="shared" si="12"/>
        <v/>
      </c>
      <c r="CE27" s="255" t="str">
        <f t="shared" si="12"/>
        <v/>
      </c>
      <c r="CF27" s="255" t="str">
        <f t="shared" si="12"/>
        <v/>
      </c>
      <c r="CG27" s="255" t="str">
        <f t="shared" si="12"/>
        <v/>
      </c>
      <c r="CH27" s="255" t="str">
        <f t="shared" si="12"/>
        <v/>
      </c>
      <c r="CI27" s="255" t="str">
        <f t="shared" si="12"/>
        <v/>
      </c>
      <c r="CJ27" s="255" t="str">
        <f t="shared" si="12"/>
        <v/>
      </c>
      <c r="CK27" s="255" t="str">
        <f t="shared" si="12"/>
        <v/>
      </c>
      <c r="CL27" s="255" t="str">
        <f t="shared" si="12"/>
        <v/>
      </c>
      <c r="CM27" s="255" t="str">
        <f t="shared" si="12"/>
        <v/>
      </c>
      <c r="CN27" s="255" t="str">
        <f t="shared" si="12"/>
        <v/>
      </c>
      <c r="CO27" s="255" t="str">
        <f t="shared" si="12"/>
        <v/>
      </c>
      <c r="CP27" s="255" t="str">
        <f t="shared" si="12"/>
        <v/>
      </c>
      <c r="CQ27" s="255" t="str">
        <f t="shared" si="13"/>
        <v/>
      </c>
      <c r="CR27" s="255" t="str">
        <f t="shared" si="13"/>
        <v/>
      </c>
      <c r="CS27" s="255" t="str">
        <f t="shared" si="13"/>
        <v/>
      </c>
      <c r="CT27" s="255" t="str">
        <f t="shared" si="13"/>
        <v/>
      </c>
      <c r="CU27" s="255" t="str">
        <f t="shared" si="15"/>
        <v/>
      </c>
      <c r="CV27" s="255" t="str">
        <f t="shared" si="15"/>
        <v/>
      </c>
      <c r="CW27" s="255" t="str">
        <f t="shared" si="15"/>
        <v/>
      </c>
      <c r="CX27" s="255" t="str">
        <f t="shared" si="15"/>
        <v/>
      </c>
      <c r="CY27" s="255" t="str">
        <f t="shared" si="15"/>
        <v/>
      </c>
      <c r="CZ27" s="255" t="str">
        <f t="shared" si="15"/>
        <v/>
      </c>
      <c r="DA27" s="255" t="str">
        <f t="shared" si="15"/>
        <v/>
      </c>
      <c r="DB27" s="255" t="str">
        <f t="shared" si="15"/>
        <v/>
      </c>
      <c r="DC27" s="255" t="str">
        <f t="shared" si="15"/>
        <v/>
      </c>
      <c r="DD27" s="2"/>
    </row>
    <row r="28" spans="1:108">
      <c r="A28" s="35">
        <v>1046865</v>
      </c>
      <c r="B28" s="1">
        <v>54</v>
      </c>
      <c r="C28" s="25" t="str">
        <f t="shared" si="5"/>
        <v>1046865-54</v>
      </c>
      <c r="D28" s="24" t="s">
        <v>87</v>
      </c>
      <c r="E28" s="32" t="s">
        <v>88</v>
      </c>
      <c r="F28" s="27">
        <v>42798</v>
      </c>
      <c r="G28" s="33">
        <v>27.3</v>
      </c>
      <c r="H28" s="27">
        <v>42808</v>
      </c>
      <c r="I28" s="33">
        <v>29.2</v>
      </c>
      <c r="J28" s="33">
        <v>7.9</v>
      </c>
      <c r="K28" s="33">
        <v>6.8</v>
      </c>
      <c r="L28" s="33">
        <f t="shared" si="6"/>
        <v>189.95392000000001</v>
      </c>
      <c r="M28" s="251"/>
      <c r="N28" s="252"/>
      <c r="O28" s="253">
        <f t="shared" si="11"/>
        <v>0</v>
      </c>
      <c r="P28" s="254">
        <f t="shared" si="7"/>
        <v>0</v>
      </c>
      <c r="Q28" s="29"/>
      <c r="R28" s="111"/>
      <c r="S28" s="71">
        <f>7.9*6.8*6.8*0.52</f>
        <v>189.95392000000001</v>
      </c>
      <c r="T28" s="76">
        <v>183.45600000000002</v>
      </c>
      <c r="U28" s="76">
        <f>9.8*7.5*7.5*0.52</f>
        <v>286.65000000000003</v>
      </c>
      <c r="V28" s="76">
        <f>11.8*9.5*9.5*0.52</f>
        <v>553.774</v>
      </c>
      <c r="W28" s="76">
        <f>12.8*10.8*10.8*0.52</f>
        <v>776.35584000000017</v>
      </c>
      <c r="X28" s="76">
        <f>13.9*11.3*11.3*0.52</f>
        <v>922.9433200000002</v>
      </c>
      <c r="Y28" s="76">
        <f>15.9*12.5*12.5*0.52</f>
        <v>1291.875</v>
      </c>
      <c r="Z28" s="76">
        <f>16.3*15.2*15.2*0.52</f>
        <v>1958.29504</v>
      </c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2"/>
      <c r="BL28" s="255">
        <f t="shared" si="14"/>
        <v>1</v>
      </c>
      <c r="BM28" s="255">
        <f t="shared" si="14"/>
        <v>0.96579212474267451</v>
      </c>
      <c r="BN28" s="255">
        <f t="shared" si="14"/>
        <v>1.5090501949104289</v>
      </c>
      <c r="BO28" s="255">
        <f t="shared" si="14"/>
        <v>2.9153070386754849</v>
      </c>
      <c r="BP28" s="255">
        <f t="shared" si="14"/>
        <v>4.087074591564102</v>
      </c>
      <c r="BQ28" s="255">
        <f t="shared" si="14"/>
        <v>4.8587748018045644</v>
      </c>
      <c r="BR28" s="255">
        <f t="shared" si="14"/>
        <v>6.8009915246813542</v>
      </c>
      <c r="BS28" s="255">
        <f t="shared" si="14"/>
        <v>10.309316280495816</v>
      </c>
      <c r="BT28" s="255" t="str">
        <f t="shared" si="14"/>
        <v/>
      </c>
      <c r="BU28" s="255" t="str">
        <f t="shared" si="14"/>
        <v/>
      </c>
      <c r="BV28" s="255" t="str">
        <f t="shared" si="14"/>
        <v/>
      </c>
      <c r="BW28" s="255" t="str">
        <f t="shared" si="14"/>
        <v/>
      </c>
      <c r="BX28" s="255" t="str">
        <f t="shared" si="14"/>
        <v/>
      </c>
      <c r="BY28" s="255" t="str">
        <f t="shared" si="14"/>
        <v/>
      </c>
      <c r="BZ28" s="255" t="str">
        <f t="shared" si="14"/>
        <v/>
      </c>
      <c r="CA28" s="255" t="str">
        <f t="shared" si="12"/>
        <v/>
      </c>
      <c r="CB28" s="255" t="str">
        <f t="shared" si="12"/>
        <v/>
      </c>
      <c r="CC28" s="255" t="str">
        <f t="shared" si="12"/>
        <v/>
      </c>
      <c r="CD28" s="255" t="str">
        <f t="shared" si="12"/>
        <v/>
      </c>
      <c r="CE28" s="255" t="str">
        <f t="shared" si="12"/>
        <v/>
      </c>
      <c r="CF28" s="255" t="str">
        <f t="shared" si="12"/>
        <v/>
      </c>
      <c r="CG28" s="255" t="str">
        <f t="shared" si="12"/>
        <v/>
      </c>
      <c r="CH28" s="255" t="str">
        <f t="shared" si="12"/>
        <v/>
      </c>
      <c r="CI28" s="255" t="str">
        <f t="shared" si="12"/>
        <v/>
      </c>
      <c r="CJ28" s="255" t="str">
        <f t="shared" si="12"/>
        <v/>
      </c>
      <c r="CK28" s="255" t="str">
        <f t="shared" si="12"/>
        <v/>
      </c>
      <c r="CL28" s="255" t="str">
        <f t="shared" si="12"/>
        <v/>
      </c>
      <c r="CM28" s="255" t="str">
        <f t="shared" si="12"/>
        <v/>
      </c>
      <c r="CN28" s="255" t="str">
        <f t="shared" si="12"/>
        <v/>
      </c>
      <c r="CO28" s="255" t="str">
        <f t="shared" si="12"/>
        <v/>
      </c>
      <c r="CP28" s="255" t="str">
        <f t="shared" si="12"/>
        <v/>
      </c>
      <c r="CQ28" s="255" t="str">
        <f t="shared" si="13"/>
        <v/>
      </c>
      <c r="CR28" s="255" t="str">
        <f t="shared" si="13"/>
        <v/>
      </c>
      <c r="CS28" s="255" t="str">
        <f t="shared" si="13"/>
        <v/>
      </c>
      <c r="CT28" s="255" t="str">
        <f t="shared" si="13"/>
        <v/>
      </c>
      <c r="CU28" s="255" t="str">
        <f t="shared" si="15"/>
        <v/>
      </c>
      <c r="CV28" s="255" t="str">
        <f t="shared" si="15"/>
        <v/>
      </c>
      <c r="CW28" s="255" t="str">
        <f t="shared" si="15"/>
        <v/>
      </c>
      <c r="CX28" s="255" t="str">
        <f t="shared" si="15"/>
        <v/>
      </c>
      <c r="CY28" s="255" t="str">
        <f t="shared" si="15"/>
        <v/>
      </c>
      <c r="CZ28" s="255" t="str">
        <f t="shared" si="15"/>
        <v/>
      </c>
      <c r="DA28" s="255" t="str">
        <f t="shared" si="15"/>
        <v/>
      </c>
      <c r="DB28" s="255" t="str">
        <f t="shared" si="15"/>
        <v/>
      </c>
      <c r="DC28" s="255" t="str">
        <f t="shared" si="15"/>
        <v/>
      </c>
      <c r="DD28" s="2"/>
    </row>
    <row r="29" spans="1:108">
      <c r="A29" s="35">
        <v>1046865</v>
      </c>
      <c r="B29" s="1">
        <v>55</v>
      </c>
      <c r="C29" s="25" t="str">
        <f t="shared" si="5"/>
        <v>1046865-55</v>
      </c>
      <c r="D29" s="24" t="s">
        <v>87</v>
      </c>
      <c r="E29" s="32" t="s">
        <v>68</v>
      </c>
      <c r="F29" s="27">
        <v>42798</v>
      </c>
      <c r="G29" s="33">
        <v>24.8</v>
      </c>
      <c r="H29" s="27">
        <v>42808</v>
      </c>
      <c r="I29" s="33">
        <v>26.5</v>
      </c>
      <c r="J29" s="33">
        <v>7.3</v>
      </c>
      <c r="K29" s="33">
        <v>6.6</v>
      </c>
      <c r="L29" s="33">
        <f t="shared" si="6"/>
        <v>165.35375999999997</v>
      </c>
      <c r="M29" s="251"/>
      <c r="N29" s="252">
        <v>125</v>
      </c>
      <c r="O29" s="253">
        <f t="shared" si="11"/>
        <v>11.79245283018868</v>
      </c>
      <c r="P29" s="254">
        <f t="shared" si="7"/>
        <v>1.8898874751925816</v>
      </c>
      <c r="Q29" s="29"/>
      <c r="R29" s="111"/>
      <c r="S29" s="71">
        <f>7.3*6.6*6.6*0.52</f>
        <v>165.35375999999999</v>
      </c>
      <c r="T29" s="76">
        <v>163.39960000000002</v>
      </c>
      <c r="U29" s="76">
        <f>9.3*7.1*7.1*0.52</f>
        <v>243.78276</v>
      </c>
      <c r="V29" s="76">
        <f>12.1*8.9*8.9*0.52</f>
        <v>498.38932000000005</v>
      </c>
      <c r="W29" s="76">
        <f>13.5*10.1*10.1*0.52</f>
        <v>716.11019999999996</v>
      </c>
      <c r="X29" s="76">
        <f>13.3*11.1*11.1*0.52</f>
        <v>852.12036000000001</v>
      </c>
      <c r="Y29" s="76">
        <f>16.6*11.6*11.6*0.52</f>
        <v>1161.5219199999999</v>
      </c>
      <c r="Z29" s="76">
        <f>17.9*13.2*13.2*0.52</f>
        <v>1621.8259199999998</v>
      </c>
      <c r="AA29" s="76">
        <f>18.5*13.9*13.9*0.52</f>
        <v>1858.6802000000005</v>
      </c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2"/>
      <c r="BL29" s="255">
        <f t="shared" si="14"/>
        <v>1.0000000000000002</v>
      </c>
      <c r="BM29" s="255">
        <f t="shared" si="14"/>
        <v>0.98818194397272885</v>
      </c>
      <c r="BN29" s="255">
        <f t="shared" si="14"/>
        <v>1.4743103513340128</v>
      </c>
      <c r="BO29" s="255">
        <f t="shared" si="14"/>
        <v>3.0140791476407927</v>
      </c>
      <c r="BP29" s="255">
        <f t="shared" si="14"/>
        <v>4.330776633080494</v>
      </c>
      <c r="BQ29" s="255">
        <f t="shared" si="14"/>
        <v>5.1533171063058996</v>
      </c>
      <c r="BR29" s="255">
        <f t="shared" si="14"/>
        <v>7.024466332062846</v>
      </c>
      <c r="BS29" s="255">
        <f t="shared" si="14"/>
        <v>9.8082191780821919</v>
      </c>
      <c r="BT29" s="255">
        <f t="shared" si="14"/>
        <v>11.240628577179018</v>
      </c>
      <c r="BU29" s="255" t="str">
        <f t="shared" si="14"/>
        <v/>
      </c>
      <c r="BV29" s="255" t="str">
        <f t="shared" si="14"/>
        <v/>
      </c>
      <c r="BW29" s="255" t="str">
        <f t="shared" si="14"/>
        <v/>
      </c>
      <c r="BX29" s="255" t="str">
        <f t="shared" si="14"/>
        <v/>
      </c>
      <c r="BY29" s="255" t="str">
        <f t="shared" si="14"/>
        <v/>
      </c>
      <c r="BZ29" s="255" t="str">
        <f t="shared" si="14"/>
        <v/>
      </c>
      <c r="CA29" s="255" t="str">
        <f t="shared" si="12"/>
        <v/>
      </c>
      <c r="CB29" s="255" t="str">
        <f t="shared" si="12"/>
        <v/>
      </c>
      <c r="CC29" s="255" t="str">
        <f t="shared" si="12"/>
        <v/>
      </c>
      <c r="CD29" s="255" t="str">
        <f t="shared" si="12"/>
        <v/>
      </c>
      <c r="CE29" s="255" t="str">
        <f t="shared" si="12"/>
        <v/>
      </c>
      <c r="CF29" s="255" t="str">
        <f t="shared" si="12"/>
        <v/>
      </c>
      <c r="CG29" s="255" t="str">
        <f t="shared" si="12"/>
        <v/>
      </c>
      <c r="CH29" s="255" t="str">
        <f t="shared" si="12"/>
        <v/>
      </c>
      <c r="CI29" s="255" t="str">
        <f t="shared" si="12"/>
        <v/>
      </c>
      <c r="CJ29" s="255" t="str">
        <f t="shared" si="12"/>
        <v/>
      </c>
      <c r="CK29" s="255" t="str">
        <f t="shared" si="12"/>
        <v/>
      </c>
      <c r="CL29" s="255" t="str">
        <f t="shared" si="12"/>
        <v/>
      </c>
      <c r="CM29" s="255" t="str">
        <f t="shared" si="12"/>
        <v/>
      </c>
      <c r="CN29" s="255" t="str">
        <f t="shared" si="12"/>
        <v/>
      </c>
      <c r="CO29" s="255" t="str">
        <f t="shared" si="12"/>
        <v/>
      </c>
      <c r="CP29" s="255" t="str">
        <f t="shared" si="12"/>
        <v/>
      </c>
      <c r="CQ29" s="255" t="str">
        <f t="shared" si="13"/>
        <v/>
      </c>
      <c r="CR29" s="255" t="str">
        <f t="shared" si="13"/>
        <v/>
      </c>
      <c r="CS29" s="255" t="str">
        <f t="shared" si="13"/>
        <v/>
      </c>
      <c r="CT29" s="255" t="str">
        <f t="shared" si="13"/>
        <v/>
      </c>
      <c r="CU29" s="255" t="str">
        <f t="shared" si="15"/>
        <v/>
      </c>
      <c r="CV29" s="255" t="str">
        <f t="shared" si="15"/>
        <v/>
      </c>
      <c r="CW29" s="255" t="str">
        <f t="shared" si="15"/>
        <v/>
      </c>
      <c r="CX29" s="255" t="str">
        <f t="shared" si="15"/>
        <v/>
      </c>
      <c r="CY29" s="255" t="str">
        <f t="shared" si="15"/>
        <v/>
      </c>
      <c r="CZ29" s="255" t="str">
        <f t="shared" si="15"/>
        <v/>
      </c>
      <c r="DA29" s="255" t="str">
        <f t="shared" si="15"/>
        <v/>
      </c>
      <c r="DB29" s="255" t="str">
        <f t="shared" si="15"/>
        <v/>
      </c>
      <c r="DC29" s="255" t="str">
        <f t="shared" si="15"/>
        <v/>
      </c>
      <c r="DD29" s="2"/>
    </row>
    <row r="30" spans="1:108">
      <c r="A30" s="35">
        <v>1057808</v>
      </c>
      <c r="B30" s="1">
        <v>61</v>
      </c>
      <c r="C30" s="25" t="str">
        <f t="shared" si="5"/>
        <v>1057808-61</v>
      </c>
      <c r="D30" s="24" t="s">
        <v>87</v>
      </c>
      <c r="E30" s="32" t="s">
        <v>94</v>
      </c>
      <c r="F30" s="27">
        <v>42798</v>
      </c>
      <c r="G30" s="33">
        <v>23.5</v>
      </c>
      <c r="H30" s="27">
        <v>42808</v>
      </c>
      <c r="I30" s="33">
        <v>26.5</v>
      </c>
      <c r="J30" s="33">
        <v>7.5</v>
      </c>
      <c r="K30" s="33">
        <v>5.5</v>
      </c>
      <c r="L30" s="33">
        <f t="shared" si="6"/>
        <v>117.97500000000001</v>
      </c>
      <c r="M30" s="251" t="s">
        <v>89</v>
      </c>
      <c r="N30" s="252">
        <v>125</v>
      </c>
      <c r="O30" s="253">
        <f t="shared" si="11"/>
        <v>11.79245283018868</v>
      </c>
      <c r="P30" s="254">
        <f t="shared" si="7"/>
        <v>2.6488662852299214</v>
      </c>
      <c r="Q30" s="29"/>
      <c r="R30" s="111"/>
      <c r="S30" s="71">
        <f>7.5*5.5*5.5*0.52</f>
        <v>117.97500000000001</v>
      </c>
      <c r="T30" s="76">
        <v>172.52352000000005</v>
      </c>
      <c r="U30" s="76">
        <f>8.9*6.9*6.9*0.52</f>
        <v>220.33908000000002</v>
      </c>
      <c r="V30" s="76">
        <f>10.5*7.8*7.8*0.52</f>
        <v>332.18639999999999</v>
      </c>
      <c r="W30" s="76">
        <f>12.4*8.5*8.5*0.52</f>
        <v>465.86800000000005</v>
      </c>
      <c r="X30" s="76">
        <f>11.7*8.4*8.4*0.52</f>
        <v>429.28704000000005</v>
      </c>
      <c r="Y30" s="76">
        <f>11.7*8.9*8.9*0.52</f>
        <v>481.91363999999999</v>
      </c>
      <c r="Z30" s="76">
        <f>12.7*9.3*9.3*0.52</f>
        <v>571.17996000000005</v>
      </c>
      <c r="AA30" s="76">
        <f>12.3*9.4*9.4*0.52</f>
        <v>565.15056000000004</v>
      </c>
      <c r="AB30" s="76">
        <f>13.1*12.6*12.6*0.52</f>
        <v>1081.4731199999999</v>
      </c>
      <c r="AC30" s="76">
        <f>14.2*12.1*12.1*0.52</f>
        <v>1081.0914399999999</v>
      </c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2"/>
      <c r="BL30" s="255">
        <f t="shared" si="14"/>
        <v>1</v>
      </c>
      <c r="BM30" s="255">
        <f t="shared" si="14"/>
        <v>1.4623735537190086</v>
      </c>
      <c r="BN30" s="255">
        <f t="shared" si="14"/>
        <v>1.8676760330578512</v>
      </c>
      <c r="BO30" s="255">
        <f t="shared" si="14"/>
        <v>2.8157355371900823</v>
      </c>
      <c r="BP30" s="255">
        <f t="shared" si="14"/>
        <v>3.948870523415978</v>
      </c>
      <c r="BQ30" s="255">
        <f t="shared" si="14"/>
        <v>3.6387966942148759</v>
      </c>
      <c r="BR30" s="255">
        <f t="shared" si="14"/>
        <v>4.0848793388429749</v>
      </c>
      <c r="BS30" s="255">
        <f t="shared" si="14"/>
        <v>4.8415338842975206</v>
      </c>
      <c r="BT30" s="255">
        <f t="shared" si="14"/>
        <v>4.7904264462809918</v>
      </c>
      <c r="BU30" s="255">
        <f t="shared" si="14"/>
        <v>9.16696859504132</v>
      </c>
      <c r="BV30" s="255">
        <f t="shared" si="14"/>
        <v>9.1637333333333313</v>
      </c>
      <c r="BW30" s="255" t="str">
        <f t="shared" si="14"/>
        <v/>
      </c>
      <c r="BX30" s="255" t="str">
        <f t="shared" si="14"/>
        <v/>
      </c>
      <c r="BY30" s="255" t="str">
        <f t="shared" si="14"/>
        <v/>
      </c>
      <c r="BZ30" s="255" t="str">
        <f t="shared" si="14"/>
        <v/>
      </c>
      <c r="CA30" s="255" t="str">
        <f t="shared" si="12"/>
        <v/>
      </c>
      <c r="CB30" s="255" t="str">
        <f t="shared" si="12"/>
        <v/>
      </c>
      <c r="CC30" s="255" t="str">
        <f t="shared" si="12"/>
        <v/>
      </c>
      <c r="CD30" s="255" t="str">
        <f t="shared" si="12"/>
        <v/>
      </c>
      <c r="CE30" s="255" t="str">
        <f t="shared" si="12"/>
        <v/>
      </c>
      <c r="CF30" s="255" t="str">
        <f t="shared" si="12"/>
        <v/>
      </c>
      <c r="CG30" s="255" t="str">
        <f t="shared" si="12"/>
        <v/>
      </c>
      <c r="CH30" s="255" t="str">
        <f t="shared" si="12"/>
        <v/>
      </c>
      <c r="CI30" s="255" t="str">
        <f t="shared" si="12"/>
        <v/>
      </c>
      <c r="CJ30" s="255" t="str">
        <f t="shared" si="12"/>
        <v/>
      </c>
      <c r="CK30" s="255" t="str">
        <f t="shared" si="12"/>
        <v/>
      </c>
      <c r="CL30" s="255" t="str">
        <f t="shared" si="12"/>
        <v/>
      </c>
      <c r="CM30" s="255" t="str">
        <f t="shared" si="12"/>
        <v/>
      </c>
      <c r="CN30" s="255" t="str">
        <f t="shared" si="12"/>
        <v/>
      </c>
      <c r="CO30" s="255" t="str">
        <f t="shared" si="12"/>
        <v/>
      </c>
      <c r="CP30" s="255" t="str">
        <f t="shared" si="12"/>
        <v/>
      </c>
      <c r="CQ30" s="255" t="str">
        <f t="shared" si="13"/>
        <v/>
      </c>
      <c r="CR30" s="255" t="str">
        <f t="shared" si="13"/>
        <v/>
      </c>
      <c r="CS30" s="255" t="str">
        <f t="shared" si="13"/>
        <v/>
      </c>
      <c r="CT30" s="255" t="str">
        <f t="shared" si="13"/>
        <v/>
      </c>
      <c r="CU30" s="255" t="str">
        <f t="shared" si="15"/>
        <v/>
      </c>
      <c r="CV30" s="255" t="str">
        <f t="shared" si="15"/>
        <v/>
      </c>
      <c r="CW30" s="255" t="str">
        <f t="shared" si="15"/>
        <v/>
      </c>
      <c r="CX30" s="255" t="str">
        <f t="shared" si="15"/>
        <v/>
      </c>
      <c r="CY30" s="255" t="str">
        <f t="shared" si="15"/>
        <v/>
      </c>
      <c r="CZ30" s="255" t="str">
        <f t="shared" si="15"/>
        <v/>
      </c>
      <c r="DA30" s="255" t="str">
        <f t="shared" si="15"/>
        <v/>
      </c>
      <c r="DB30" s="255" t="str">
        <f t="shared" si="15"/>
        <v/>
      </c>
      <c r="DC30" s="255" t="str">
        <f t="shared" si="15"/>
        <v/>
      </c>
      <c r="DD30" s="2"/>
    </row>
    <row r="31" spans="1:108">
      <c r="A31" s="35">
        <v>1057808</v>
      </c>
      <c r="B31" s="1">
        <v>62</v>
      </c>
      <c r="C31" s="25" t="str">
        <f t="shared" si="5"/>
        <v>1057808-62</v>
      </c>
      <c r="D31" s="24" t="s">
        <v>87</v>
      </c>
      <c r="E31" s="32" t="s">
        <v>94</v>
      </c>
      <c r="F31" s="27">
        <v>42798</v>
      </c>
      <c r="G31" s="33">
        <v>26.7</v>
      </c>
      <c r="H31" s="27">
        <v>42808</v>
      </c>
      <c r="I31" s="33">
        <v>30.9</v>
      </c>
      <c r="J31" s="33">
        <v>9.1</v>
      </c>
      <c r="K31" s="33">
        <v>7.6</v>
      </c>
      <c r="L31" s="33">
        <f t="shared" si="6"/>
        <v>273.32031999999998</v>
      </c>
      <c r="M31" s="251" t="s">
        <v>89</v>
      </c>
      <c r="N31" s="252">
        <v>125</v>
      </c>
      <c r="O31" s="253">
        <f t="shared" si="11"/>
        <v>10.113268608414241</v>
      </c>
      <c r="P31" s="254">
        <f t="shared" si="7"/>
        <v>1.1433471174042238</v>
      </c>
      <c r="Q31" s="29"/>
      <c r="R31" s="111"/>
      <c r="S31" s="71">
        <f>9.1*7.6*7.6*0.52</f>
        <v>273.32031999999998</v>
      </c>
      <c r="T31" s="76">
        <v>303.71328</v>
      </c>
      <c r="U31" s="76">
        <f>11.8*9.6*9.6*0.52</f>
        <v>565.49376000000007</v>
      </c>
      <c r="V31" s="76">
        <f>12*8.6*8.6*0.52</f>
        <v>461.51039999999995</v>
      </c>
      <c r="W31" s="76">
        <f>12.3*10.3*10.3*0.52</f>
        <v>678.55164000000013</v>
      </c>
      <c r="X31" s="76">
        <f>14.8*10.1*10.1*0.52</f>
        <v>785.06895999999995</v>
      </c>
      <c r="Y31" s="76">
        <f>13.2*10*10*0.52</f>
        <v>686.4</v>
      </c>
      <c r="Z31" s="76">
        <f>12.3*10.3*10.3*0.52</f>
        <v>678.55164000000013</v>
      </c>
      <c r="AA31" s="76">
        <f>15.4*10.8*10.8*0.52</f>
        <v>934.05312000000015</v>
      </c>
      <c r="AB31" s="76">
        <f>16.7*12*12*0.52</f>
        <v>1250.4959999999999</v>
      </c>
      <c r="AC31" s="76">
        <f>15.8*12.1*12.1*0.52</f>
        <v>1202.9045599999999</v>
      </c>
      <c r="AD31" s="76">
        <f>17.6*12.5*12.5*0.52</f>
        <v>1430.0000000000002</v>
      </c>
      <c r="AE31" s="76">
        <f>18*13*13*0.52</f>
        <v>1581.8400000000001</v>
      </c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2"/>
      <c r="BL31" s="255">
        <f t="shared" si="14"/>
        <v>1</v>
      </c>
      <c r="BM31" s="255">
        <f t="shared" si="14"/>
        <v>1.111199050257222</v>
      </c>
      <c r="BN31" s="255">
        <f t="shared" si="14"/>
        <v>2.0689781132994431</v>
      </c>
      <c r="BO31" s="255">
        <f t="shared" si="14"/>
        <v>1.6885330735746247</v>
      </c>
      <c r="BP31" s="255">
        <f t="shared" si="14"/>
        <v>2.482624197132508</v>
      </c>
      <c r="BQ31" s="255">
        <f t="shared" si="14"/>
        <v>2.8723402636145017</v>
      </c>
      <c r="BR31" s="255">
        <f t="shared" si="14"/>
        <v>2.5113390764360295</v>
      </c>
      <c r="BS31" s="255">
        <f t="shared" si="14"/>
        <v>2.482624197132508</v>
      </c>
      <c r="BT31" s="255">
        <f t="shared" si="14"/>
        <v>3.4174302152141496</v>
      </c>
      <c r="BU31" s="255">
        <f t="shared" si="14"/>
        <v>4.5752031901616386</v>
      </c>
      <c r="BV31" s="255">
        <f t="shared" si="14"/>
        <v>4.4010798758028677</v>
      </c>
      <c r="BW31" s="255">
        <f t="shared" si="14"/>
        <v>5.2319564092417288</v>
      </c>
      <c r="BX31" s="255">
        <f t="shared" si="14"/>
        <v>5.7874950534230321</v>
      </c>
      <c r="BY31" s="255" t="str">
        <f t="shared" si="14"/>
        <v/>
      </c>
      <c r="BZ31" s="255" t="str">
        <f t="shared" si="14"/>
        <v/>
      </c>
      <c r="CA31" s="255" t="str">
        <f t="shared" si="12"/>
        <v/>
      </c>
      <c r="CB31" s="255" t="str">
        <f t="shared" si="12"/>
        <v/>
      </c>
      <c r="CC31" s="255" t="str">
        <f t="shared" si="12"/>
        <v/>
      </c>
      <c r="CD31" s="255" t="str">
        <f t="shared" si="12"/>
        <v/>
      </c>
      <c r="CE31" s="255" t="str">
        <f t="shared" si="12"/>
        <v/>
      </c>
      <c r="CF31" s="255" t="str">
        <f t="shared" si="12"/>
        <v/>
      </c>
      <c r="CG31" s="255" t="str">
        <f t="shared" si="12"/>
        <v/>
      </c>
      <c r="CH31" s="255" t="str">
        <f t="shared" si="12"/>
        <v/>
      </c>
      <c r="CI31" s="255" t="str">
        <f t="shared" si="12"/>
        <v/>
      </c>
      <c r="CJ31" s="255" t="str">
        <f t="shared" si="12"/>
        <v/>
      </c>
      <c r="CK31" s="255" t="str">
        <f t="shared" si="12"/>
        <v/>
      </c>
      <c r="CL31" s="255" t="str">
        <f t="shared" si="12"/>
        <v/>
      </c>
      <c r="CM31" s="255" t="str">
        <f t="shared" si="12"/>
        <v/>
      </c>
      <c r="CN31" s="255" t="str">
        <f t="shared" si="12"/>
        <v/>
      </c>
      <c r="CO31" s="255" t="str">
        <f t="shared" si="12"/>
        <v/>
      </c>
      <c r="CP31" s="255" t="str">
        <f t="shared" si="12"/>
        <v/>
      </c>
      <c r="CQ31" s="255" t="str">
        <f t="shared" si="13"/>
        <v/>
      </c>
      <c r="CR31" s="255" t="str">
        <f t="shared" si="13"/>
        <v/>
      </c>
      <c r="CS31" s="255" t="str">
        <f t="shared" si="13"/>
        <v/>
      </c>
      <c r="CT31" s="255" t="str">
        <f t="shared" si="13"/>
        <v/>
      </c>
      <c r="CU31" s="255" t="str">
        <f t="shared" si="15"/>
        <v/>
      </c>
      <c r="CV31" s="255" t="str">
        <f t="shared" si="15"/>
        <v/>
      </c>
      <c r="CW31" s="255" t="str">
        <f t="shared" si="15"/>
        <v/>
      </c>
      <c r="CX31" s="255" t="str">
        <f t="shared" si="15"/>
        <v/>
      </c>
      <c r="CY31" s="255" t="str">
        <f t="shared" si="15"/>
        <v/>
      </c>
      <c r="CZ31" s="255" t="str">
        <f t="shared" si="15"/>
        <v/>
      </c>
      <c r="DA31" s="255" t="str">
        <f t="shared" si="15"/>
        <v/>
      </c>
      <c r="DB31" s="255" t="str">
        <f t="shared" si="15"/>
        <v/>
      </c>
      <c r="DC31" s="255" t="str">
        <f t="shared" si="15"/>
        <v/>
      </c>
      <c r="DD31" s="2"/>
    </row>
    <row r="32" spans="1:108">
      <c r="A32" s="35">
        <v>1057808</v>
      </c>
      <c r="B32" s="1">
        <v>63</v>
      </c>
      <c r="C32" s="25" t="str">
        <f t="shared" si="5"/>
        <v>1057808-63</v>
      </c>
      <c r="D32" s="24" t="s">
        <v>87</v>
      </c>
      <c r="E32" s="32" t="s">
        <v>68</v>
      </c>
      <c r="F32" s="27">
        <v>42798</v>
      </c>
      <c r="G32" s="33">
        <v>26.1</v>
      </c>
      <c r="H32" s="27">
        <v>42808</v>
      </c>
      <c r="I32" s="33">
        <v>30.4</v>
      </c>
      <c r="J32" s="33">
        <v>9.4</v>
      </c>
      <c r="K32" s="33">
        <v>6.5</v>
      </c>
      <c r="L32" s="33">
        <f t="shared" si="6"/>
        <v>206.51800000000003</v>
      </c>
      <c r="M32" s="251"/>
      <c r="N32" s="252">
        <v>125</v>
      </c>
      <c r="O32" s="253">
        <f t="shared" si="11"/>
        <v>10.279605263157896</v>
      </c>
      <c r="P32" s="254">
        <f t="shared" si="7"/>
        <v>1.5131852913547486</v>
      </c>
      <c r="Q32" s="29"/>
      <c r="R32" s="111"/>
      <c r="S32" s="71">
        <f>9.4*6.5*6.5*0.52</f>
        <v>206.51800000000003</v>
      </c>
      <c r="T32" s="76">
        <v>223.61663999999999</v>
      </c>
      <c r="U32" s="76">
        <f>11.2*8.1*8.1*0.52</f>
        <v>382.11263999999994</v>
      </c>
      <c r="V32" s="76">
        <f>13.2*10.2*10.2*0.52</f>
        <v>714.13055999999995</v>
      </c>
      <c r="W32" s="76">
        <f>14.9*10.8*10.8*0.52</f>
        <v>903.72672000000023</v>
      </c>
      <c r="X32" s="76">
        <f>16.4*11.1*11.1*0.52</f>
        <v>1050.73488</v>
      </c>
      <c r="Y32" s="76">
        <f>17.4*13.2*13.2*0.52</f>
        <v>1576.5235199999997</v>
      </c>
      <c r="Z32" s="76">
        <f>19.7*14.7*14.7*0.52</f>
        <v>2213.6259599999994</v>
      </c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2"/>
      <c r="BL32" s="255">
        <f t="shared" si="14"/>
        <v>1</v>
      </c>
      <c r="BM32" s="255">
        <f t="shared" si="14"/>
        <v>1.0827949137605437</v>
      </c>
      <c r="BN32" s="255">
        <f t="shared" si="14"/>
        <v>1.8502631247639425</v>
      </c>
      <c r="BO32" s="255">
        <f t="shared" si="14"/>
        <v>3.4579579503965747</v>
      </c>
      <c r="BP32" s="255">
        <f t="shared" si="14"/>
        <v>4.3760191363464687</v>
      </c>
      <c r="BQ32" s="255">
        <f t="shared" si="14"/>
        <v>5.0878610096940697</v>
      </c>
      <c r="BR32" s="255">
        <f t="shared" si="14"/>
        <v>7.6338310462042029</v>
      </c>
      <c r="BS32" s="255">
        <f t="shared" si="14"/>
        <v>10.71880397834571</v>
      </c>
      <c r="BT32" s="255" t="str">
        <f t="shared" si="14"/>
        <v/>
      </c>
      <c r="BU32" s="255" t="str">
        <f t="shared" si="14"/>
        <v/>
      </c>
      <c r="BV32" s="255" t="str">
        <f t="shared" si="14"/>
        <v/>
      </c>
      <c r="BW32" s="255" t="str">
        <f t="shared" si="14"/>
        <v/>
      </c>
      <c r="BX32" s="255" t="str">
        <f t="shared" si="14"/>
        <v/>
      </c>
      <c r="BY32" s="255" t="str">
        <f t="shared" si="14"/>
        <v/>
      </c>
      <c r="BZ32" s="255" t="str">
        <f t="shared" si="14"/>
        <v/>
      </c>
      <c r="CA32" s="255" t="str">
        <f t="shared" si="12"/>
        <v/>
      </c>
      <c r="CB32" s="255" t="str">
        <f t="shared" si="12"/>
        <v/>
      </c>
      <c r="CC32" s="255" t="str">
        <f t="shared" si="12"/>
        <v/>
      </c>
      <c r="CD32" s="255" t="str">
        <f t="shared" si="12"/>
        <v/>
      </c>
      <c r="CE32" s="255" t="str">
        <f t="shared" si="12"/>
        <v/>
      </c>
      <c r="CF32" s="255" t="str">
        <f t="shared" si="12"/>
        <v/>
      </c>
      <c r="CG32" s="255" t="str">
        <f t="shared" si="12"/>
        <v/>
      </c>
      <c r="CH32" s="255" t="str">
        <f t="shared" si="12"/>
        <v/>
      </c>
      <c r="CI32" s="255" t="str">
        <f t="shared" si="12"/>
        <v/>
      </c>
      <c r="CJ32" s="255" t="str">
        <f t="shared" si="12"/>
        <v/>
      </c>
      <c r="CK32" s="255" t="str">
        <f t="shared" si="12"/>
        <v/>
      </c>
      <c r="CL32" s="255" t="str">
        <f t="shared" si="12"/>
        <v/>
      </c>
      <c r="CM32" s="255" t="str">
        <f t="shared" si="12"/>
        <v/>
      </c>
      <c r="CN32" s="255" t="str">
        <f t="shared" si="12"/>
        <v/>
      </c>
      <c r="CO32" s="255" t="str">
        <f t="shared" si="12"/>
        <v/>
      </c>
      <c r="CP32" s="255" t="str">
        <f t="shared" si="12"/>
        <v/>
      </c>
      <c r="CQ32" s="255" t="str">
        <f t="shared" si="13"/>
        <v/>
      </c>
      <c r="CR32" s="255" t="str">
        <f t="shared" si="13"/>
        <v/>
      </c>
      <c r="CS32" s="255" t="str">
        <f t="shared" si="13"/>
        <v/>
      </c>
      <c r="CT32" s="255" t="str">
        <f t="shared" si="13"/>
        <v/>
      </c>
      <c r="CU32" s="255" t="str">
        <f t="shared" si="15"/>
        <v/>
      </c>
      <c r="CV32" s="255" t="str">
        <f t="shared" si="15"/>
        <v/>
      </c>
      <c r="CW32" s="255" t="str">
        <f t="shared" si="15"/>
        <v/>
      </c>
      <c r="CX32" s="255" t="str">
        <f t="shared" si="15"/>
        <v/>
      </c>
      <c r="CY32" s="255" t="str">
        <f t="shared" si="15"/>
        <v/>
      </c>
      <c r="CZ32" s="255" t="str">
        <f t="shared" si="15"/>
        <v/>
      </c>
      <c r="DA32" s="255" t="str">
        <f t="shared" si="15"/>
        <v/>
      </c>
      <c r="DB32" s="255" t="str">
        <f t="shared" si="15"/>
        <v/>
      </c>
      <c r="DC32" s="255" t="str">
        <f t="shared" si="15"/>
        <v/>
      </c>
      <c r="DD32" s="2"/>
    </row>
    <row r="33" spans="1:119">
      <c r="A33" s="35">
        <v>1057808</v>
      </c>
      <c r="B33" s="1">
        <v>64</v>
      </c>
      <c r="C33" s="25" t="str">
        <f t="shared" si="5"/>
        <v>1057808-64</v>
      </c>
      <c r="D33" s="24" t="s">
        <v>87</v>
      </c>
      <c r="E33" s="32" t="s">
        <v>68</v>
      </c>
      <c r="F33" s="27">
        <v>42798</v>
      </c>
      <c r="G33" s="33">
        <v>24.1</v>
      </c>
      <c r="H33" s="27">
        <v>42808</v>
      </c>
      <c r="I33" s="33">
        <v>27.6</v>
      </c>
      <c r="J33" s="33">
        <v>7.4</v>
      </c>
      <c r="K33" s="33">
        <v>6.3</v>
      </c>
      <c r="L33" s="33">
        <f t="shared" si="6"/>
        <v>152.72712000000001</v>
      </c>
      <c r="M33" s="251"/>
      <c r="N33" s="252">
        <v>125</v>
      </c>
      <c r="O33" s="253">
        <f t="shared" si="11"/>
        <v>11.322463768115941</v>
      </c>
      <c r="P33" s="254">
        <f t="shared" si="7"/>
        <v>2.0461329985139507</v>
      </c>
      <c r="Q33" s="29"/>
      <c r="R33" s="111"/>
      <c r="S33" s="71">
        <f>7.4*6.3*6.3*0.52</f>
        <v>152.72711999999999</v>
      </c>
      <c r="T33" s="76">
        <v>139.37924000000001</v>
      </c>
      <c r="U33" s="76">
        <f>9.5*7.2*7.2*0.52</f>
        <v>256.08960000000008</v>
      </c>
      <c r="V33" s="76">
        <f>11.2*8.8*8.8*0.52</f>
        <v>451.01056000000005</v>
      </c>
      <c r="W33" s="76">
        <f>12.3*10.2*10.2*0.52</f>
        <v>665.43983999999989</v>
      </c>
      <c r="X33" s="76">
        <f>14.1*12.4*12.4*0.52</f>
        <v>1127.36832</v>
      </c>
      <c r="Y33" s="76">
        <f>15.5*14.8*14.8*0.52</f>
        <v>1765.4624000000003</v>
      </c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2"/>
      <c r="BL33" s="255">
        <f t="shared" si="14"/>
        <v>0.99999999999999978</v>
      </c>
      <c r="BM33" s="255">
        <f t="shared" si="14"/>
        <v>0.91260307926974593</v>
      </c>
      <c r="BN33" s="255">
        <f t="shared" si="14"/>
        <v>1.6767788196359628</v>
      </c>
      <c r="BO33" s="255">
        <f t="shared" si="14"/>
        <v>2.9530482863816196</v>
      </c>
      <c r="BP33" s="255">
        <f t="shared" si="14"/>
        <v>4.3570509284794987</v>
      </c>
      <c r="BQ33" s="255">
        <f t="shared" si="14"/>
        <v>7.3815856672999525</v>
      </c>
      <c r="BR33" s="255">
        <f t="shared" si="14"/>
        <v>11.559586797682037</v>
      </c>
      <c r="BS33" s="255" t="str">
        <f t="shared" si="14"/>
        <v/>
      </c>
      <c r="BT33" s="255" t="str">
        <f t="shared" si="14"/>
        <v/>
      </c>
      <c r="BU33" s="255" t="str">
        <f t="shared" si="14"/>
        <v/>
      </c>
      <c r="BV33" s="255" t="str">
        <f t="shared" si="14"/>
        <v/>
      </c>
      <c r="BW33" s="255" t="str">
        <f t="shared" si="14"/>
        <v/>
      </c>
      <c r="BX33" s="255" t="str">
        <f t="shared" si="14"/>
        <v/>
      </c>
      <c r="BY33" s="255" t="str">
        <f t="shared" si="14"/>
        <v/>
      </c>
      <c r="BZ33" s="255" t="str">
        <f t="shared" si="14"/>
        <v/>
      </c>
      <c r="CA33" s="255" t="str">
        <f t="shared" si="12"/>
        <v/>
      </c>
      <c r="CB33" s="255" t="str">
        <f t="shared" si="12"/>
        <v/>
      </c>
      <c r="CC33" s="255" t="str">
        <f t="shared" si="12"/>
        <v/>
      </c>
      <c r="CD33" s="255" t="str">
        <f t="shared" si="12"/>
        <v/>
      </c>
      <c r="CE33" s="255" t="str">
        <f t="shared" si="12"/>
        <v/>
      </c>
      <c r="CF33" s="255" t="str">
        <f t="shared" si="12"/>
        <v/>
      </c>
      <c r="CG33" s="255" t="str">
        <f t="shared" si="12"/>
        <v/>
      </c>
      <c r="CH33" s="255" t="str">
        <f t="shared" si="12"/>
        <v/>
      </c>
      <c r="CI33" s="255" t="str">
        <f t="shared" si="12"/>
        <v/>
      </c>
      <c r="CJ33" s="255" t="str">
        <f t="shared" si="12"/>
        <v/>
      </c>
      <c r="CK33" s="255" t="str">
        <f t="shared" si="12"/>
        <v/>
      </c>
      <c r="CL33" s="255" t="str">
        <f t="shared" si="12"/>
        <v/>
      </c>
      <c r="CM33" s="255" t="str">
        <f t="shared" si="12"/>
        <v/>
      </c>
      <c r="CN33" s="255" t="str">
        <f t="shared" si="12"/>
        <v/>
      </c>
      <c r="CO33" s="255" t="str">
        <f t="shared" si="12"/>
        <v/>
      </c>
      <c r="CP33" s="255" t="str">
        <f t="shared" si="12"/>
        <v/>
      </c>
      <c r="CQ33" s="255" t="str">
        <f t="shared" si="13"/>
        <v/>
      </c>
      <c r="CR33" s="255" t="str">
        <f t="shared" si="13"/>
        <v/>
      </c>
      <c r="CS33" s="255" t="str">
        <f t="shared" si="13"/>
        <v/>
      </c>
      <c r="CT33" s="255" t="str">
        <f t="shared" si="13"/>
        <v/>
      </c>
      <c r="CU33" s="255" t="str">
        <f t="shared" si="15"/>
        <v/>
      </c>
      <c r="CV33" s="255" t="str">
        <f t="shared" si="15"/>
        <v/>
      </c>
      <c r="CW33" s="255" t="str">
        <f t="shared" si="15"/>
        <v/>
      </c>
      <c r="CX33" s="255" t="str">
        <f t="shared" si="15"/>
        <v/>
      </c>
      <c r="CY33" s="255" t="str">
        <f t="shared" si="15"/>
        <v/>
      </c>
      <c r="CZ33" s="255" t="str">
        <f t="shared" si="15"/>
        <v/>
      </c>
      <c r="DA33" s="255" t="str">
        <f t="shared" si="15"/>
        <v/>
      </c>
      <c r="DB33" s="255" t="str">
        <f t="shared" si="15"/>
        <v/>
      </c>
      <c r="DC33" s="255" t="str">
        <f t="shared" si="15"/>
        <v/>
      </c>
      <c r="DD33" s="2"/>
    </row>
    <row r="34" spans="1:119">
      <c r="A34" s="35">
        <v>1057808</v>
      </c>
      <c r="B34" s="1">
        <v>65</v>
      </c>
      <c r="C34" s="25" t="str">
        <f t="shared" si="5"/>
        <v>1057808-65</v>
      </c>
      <c r="D34" s="24" t="s">
        <v>87</v>
      </c>
      <c r="E34" s="32" t="s">
        <v>94</v>
      </c>
      <c r="F34" s="27">
        <v>42798</v>
      </c>
      <c r="G34" s="33">
        <v>23.7</v>
      </c>
      <c r="H34" s="27">
        <v>42808</v>
      </c>
      <c r="I34" s="33">
        <v>28</v>
      </c>
      <c r="J34" s="33">
        <v>8.6</v>
      </c>
      <c r="K34" s="33">
        <v>7</v>
      </c>
      <c r="L34" s="33">
        <f t="shared" si="6"/>
        <v>219.12799999999999</v>
      </c>
      <c r="M34" s="251" t="s">
        <v>89</v>
      </c>
      <c r="N34" s="252">
        <v>125</v>
      </c>
      <c r="O34" s="253">
        <f t="shared" si="11"/>
        <v>11.160714285714286</v>
      </c>
      <c r="P34" s="254">
        <f t="shared" si="7"/>
        <v>1.4261071154758862</v>
      </c>
      <c r="Q34" s="29"/>
      <c r="R34" s="111"/>
      <c r="S34" s="71">
        <f>8.6*7*7*0.52</f>
        <v>219.12799999999999</v>
      </c>
      <c r="T34" s="76">
        <v>300.5496</v>
      </c>
      <c r="U34" s="76">
        <f>12*9.7*9.7*0.52</f>
        <v>587.12159999999994</v>
      </c>
      <c r="V34" s="76">
        <f>12.9*10.4*10.4*0.52</f>
        <v>725.53728000000012</v>
      </c>
      <c r="W34" s="76">
        <f>14.3*10.4*10.4*0.52</f>
        <v>804.27776000000006</v>
      </c>
      <c r="X34" s="76">
        <f>12.8*12.5*12.5*0.52</f>
        <v>1040</v>
      </c>
      <c r="Y34" s="76">
        <f>15.2*11.6*11.6*0.52</f>
        <v>1063.56224</v>
      </c>
      <c r="Z34" s="76">
        <f>15.9*12.4*12.4*0.52</f>
        <v>1271.2876800000001</v>
      </c>
      <c r="AA34" s="76">
        <f>16.1*12*12*0.52</f>
        <v>1205.568</v>
      </c>
      <c r="AB34" s="76">
        <f>17.5*11.6*11.6*0.52</f>
        <v>1224.4959999999999</v>
      </c>
      <c r="AC34" s="76">
        <f>17.7*13.4*13.4*0.52</f>
        <v>1652.6702400000001</v>
      </c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2"/>
      <c r="BL34" s="255">
        <f t="shared" si="14"/>
        <v>1</v>
      </c>
      <c r="BM34" s="255">
        <f t="shared" si="14"/>
        <v>1.3715709539629806</v>
      </c>
      <c r="BN34" s="255">
        <f t="shared" si="14"/>
        <v>2.6793545325106787</v>
      </c>
      <c r="BO34" s="255">
        <f t="shared" si="14"/>
        <v>3.3110204081632659</v>
      </c>
      <c r="BP34" s="255">
        <f t="shared" si="14"/>
        <v>3.6703559563360231</v>
      </c>
      <c r="BQ34" s="255">
        <f t="shared" si="14"/>
        <v>4.7460844803037494</v>
      </c>
      <c r="BR34" s="255">
        <f t="shared" si="14"/>
        <v>4.8536117702895112</v>
      </c>
      <c r="BS34" s="255">
        <f t="shared" si="14"/>
        <v>5.8015757000474615</v>
      </c>
      <c r="BT34" s="255">
        <f t="shared" si="14"/>
        <v>5.5016611295681068</v>
      </c>
      <c r="BU34" s="255">
        <f t="shared" si="14"/>
        <v>5.5880398671096341</v>
      </c>
      <c r="BV34" s="255">
        <f t="shared" si="14"/>
        <v>7.5420313241575716</v>
      </c>
      <c r="BW34" s="255" t="str">
        <f t="shared" si="14"/>
        <v/>
      </c>
      <c r="BX34" s="255" t="str">
        <f t="shared" si="14"/>
        <v/>
      </c>
      <c r="BY34" s="255" t="str">
        <f t="shared" si="14"/>
        <v/>
      </c>
      <c r="BZ34" s="255" t="str">
        <f t="shared" si="14"/>
        <v/>
      </c>
      <c r="CA34" s="255" t="str">
        <f t="shared" si="12"/>
        <v/>
      </c>
      <c r="CB34" s="255" t="str">
        <f t="shared" si="12"/>
        <v/>
      </c>
      <c r="CC34" s="255" t="str">
        <f t="shared" si="12"/>
        <v/>
      </c>
      <c r="CD34" s="255" t="str">
        <f t="shared" si="12"/>
        <v/>
      </c>
      <c r="CE34" s="255" t="str">
        <f t="shared" si="12"/>
        <v/>
      </c>
      <c r="CF34" s="255" t="str">
        <f t="shared" si="12"/>
        <v/>
      </c>
      <c r="CG34" s="255" t="str">
        <f t="shared" si="12"/>
        <v/>
      </c>
      <c r="CH34" s="255" t="str">
        <f t="shared" si="12"/>
        <v/>
      </c>
      <c r="CI34" s="255" t="str">
        <f t="shared" si="12"/>
        <v/>
      </c>
      <c r="CJ34" s="255" t="str">
        <f t="shared" si="12"/>
        <v/>
      </c>
      <c r="CK34" s="255" t="str">
        <f t="shared" si="12"/>
        <v/>
      </c>
      <c r="CL34" s="255" t="str">
        <f t="shared" si="12"/>
        <v/>
      </c>
      <c r="CM34" s="255" t="str">
        <f t="shared" si="12"/>
        <v/>
      </c>
      <c r="CN34" s="255" t="str">
        <f t="shared" si="12"/>
        <v/>
      </c>
      <c r="CO34" s="255" t="str">
        <f t="shared" si="12"/>
        <v/>
      </c>
      <c r="CP34" s="255" t="str">
        <f t="shared" si="12"/>
        <v/>
      </c>
      <c r="CQ34" s="255" t="str">
        <f t="shared" si="13"/>
        <v/>
      </c>
      <c r="CR34" s="255" t="str">
        <f t="shared" si="13"/>
        <v/>
      </c>
      <c r="CS34" s="255" t="str">
        <f t="shared" si="13"/>
        <v/>
      </c>
      <c r="CT34" s="255" t="str">
        <f t="shared" si="13"/>
        <v/>
      </c>
      <c r="CU34" s="255" t="str">
        <f t="shared" si="15"/>
        <v/>
      </c>
      <c r="CV34" s="255" t="str">
        <f t="shared" si="15"/>
        <v/>
      </c>
      <c r="CW34" s="255" t="str">
        <f t="shared" si="15"/>
        <v/>
      </c>
      <c r="CX34" s="255" t="str">
        <f t="shared" si="15"/>
        <v/>
      </c>
      <c r="CY34" s="255" t="str">
        <f t="shared" si="15"/>
        <v/>
      </c>
      <c r="CZ34" s="255" t="str">
        <f t="shared" si="15"/>
        <v/>
      </c>
      <c r="DA34" s="255" t="str">
        <f t="shared" si="15"/>
        <v/>
      </c>
      <c r="DB34" s="255" t="str">
        <f t="shared" si="15"/>
        <v/>
      </c>
      <c r="DC34" s="255" t="str">
        <f t="shared" si="15"/>
        <v/>
      </c>
      <c r="DD34" s="2"/>
    </row>
    <row r="35" spans="1:119">
      <c r="A35" s="35"/>
      <c r="B35" s="256"/>
      <c r="C35" s="257" t="str">
        <f t="shared" si="5"/>
        <v>-</v>
      </c>
      <c r="D35" s="24" t="s">
        <v>87</v>
      </c>
      <c r="E35" s="32"/>
      <c r="F35" s="27"/>
      <c r="G35" s="258"/>
      <c r="H35" s="27"/>
      <c r="I35" s="258"/>
      <c r="J35" s="258"/>
      <c r="K35" s="258"/>
      <c r="L35" s="33">
        <f t="shared" si="6"/>
        <v>0</v>
      </c>
      <c r="M35" s="259"/>
      <c r="O35" s="253" t="e">
        <f t="shared" si="11"/>
        <v>#DIV/0!</v>
      </c>
      <c r="P35" s="254" t="e">
        <f t="shared" si="7"/>
        <v>#DIV/0!</v>
      </c>
      <c r="Q35" s="261"/>
      <c r="R35" s="111"/>
      <c r="S35" s="262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4"/>
      <c r="BL35" s="255" t="str">
        <f t="shared" si="14"/>
        <v/>
      </c>
      <c r="BM35" s="255" t="str">
        <f t="shared" si="14"/>
        <v/>
      </c>
      <c r="BN35" s="255" t="str">
        <f t="shared" si="14"/>
        <v/>
      </c>
      <c r="BO35" s="255" t="str">
        <f t="shared" si="14"/>
        <v/>
      </c>
      <c r="BP35" s="255" t="str">
        <f t="shared" si="14"/>
        <v/>
      </c>
      <c r="BQ35" s="255" t="str">
        <f t="shared" si="14"/>
        <v/>
      </c>
      <c r="BR35" s="255" t="str">
        <f t="shared" si="14"/>
        <v/>
      </c>
      <c r="BS35" s="255" t="str">
        <f t="shared" si="14"/>
        <v/>
      </c>
      <c r="BT35" s="255" t="str">
        <f t="shared" si="14"/>
        <v/>
      </c>
      <c r="BU35" s="255" t="str">
        <f t="shared" si="14"/>
        <v/>
      </c>
      <c r="BV35" s="255" t="str">
        <f t="shared" si="14"/>
        <v/>
      </c>
      <c r="BW35" s="255" t="str">
        <f t="shared" si="14"/>
        <v/>
      </c>
      <c r="BX35" s="255" t="str">
        <f t="shared" si="14"/>
        <v/>
      </c>
      <c r="BY35" s="255" t="str">
        <f t="shared" si="14"/>
        <v/>
      </c>
      <c r="BZ35" s="255" t="str">
        <f t="shared" si="14"/>
        <v/>
      </c>
      <c r="CA35" s="255" t="str">
        <f t="shared" si="12"/>
        <v/>
      </c>
      <c r="CB35" s="255" t="str">
        <f t="shared" si="12"/>
        <v/>
      </c>
      <c r="CC35" s="255" t="str">
        <f t="shared" si="12"/>
        <v/>
      </c>
      <c r="CD35" s="255" t="str">
        <f t="shared" si="12"/>
        <v/>
      </c>
      <c r="CE35" s="255" t="str">
        <f t="shared" si="12"/>
        <v/>
      </c>
      <c r="CF35" s="255" t="str">
        <f t="shared" si="12"/>
        <v/>
      </c>
      <c r="CG35" s="255" t="str">
        <f t="shared" si="12"/>
        <v/>
      </c>
      <c r="CH35" s="255" t="str">
        <f t="shared" si="12"/>
        <v/>
      </c>
      <c r="CI35" s="255" t="str">
        <f t="shared" si="12"/>
        <v/>
      </c>
      <c r="CJ35" s="255" t="str">
        <f t="shared" si="12"/>
        <v/>
      </c>
      <c r="CK35" s="255" t="str">
        <f t="shared" si="12"/>
        <v/>
      </c>
      <c r="CL35" s="255" t="str">
        <f t="shared" si="12"/>
        <v/>
      </c>
      <c r="CM35" s="255" t="str">
        <f t="shared" si="12"/>
        <v/>
      </c>
      <c r="CN35" s="255" t="str">
        <f t="shared" si="12"/>
        <v/>
      </c>
      <c r="CO35" s="255" t="str">
        <f t="shared" si="12"/>
        <v/>
      </c>
      <c r="CP35" s="255" t="str">
        <f t="shared" si="12"/>
        <v/>
      </c>
      <c r="CQ35" s="255" t="str">
        <f t="shared" si="13"/>
        <v/>
      </c>
      <c r="CR35" s="255" t="str">
        <f t="shared" si="13"/>
        <v/>
      </c>
      <c r="CS35" s="255" t="str">
        <f t="shared" si="13"/>
        <v/>
      </c>
      <c r="CT35" s="255" t="str">
        <f t="shared" si="13"/>
        <v/>
      </c>
      <c r="CU35" s="255" t="str">
        <f t="shared" si="15"/>
        <v/>
      </c>
      <c r="CV35" s="255" t="str">
        <f t="shared" si="15"/>
        <v/>
      </c>
      <c r="CW35" s="255" t="str">
        <f t="shared" si="15"/>
        <v/>
      </c>
      <c r="CX35" s="255" t="str">
        <f t="shared" si="15"/>
        <v/>
      </c>
      <c r="CY35" s="255" t="str">
        <f t="shared" si="15"/>
        <v/>
      </c>
      <c r="CZ35" s="255" t="str">
        <f t="shared" si="15"/>
        <v/>
      </c>
      <c r="DA35" s="255" t="str">
        <f t="shared" si="15"/>
        <v/>
      </c>
      <c r="DB35" s="255" t="str">
        <f t="shared" si="15"/>
        <v/>
      </c>
      <c r="DC35" s="255" t="str">
        <f t="shared" si="15"/>
        <v/>
      </c>
      <c r="DD35" s="264"/>
    </row>
    <row r="36" spans="1:119">
      <c r="A36" s="265"/>
      <c r="B36" s="266"/>
      <c r="C36" s="267"/>
      <c r="D36" s="266"/>
      <c r="E36" s="268"/>
      <c r="F36" s="269"/>
      <c r="G36" s="270"/>
      <c r="H36" s="269"/>
      <c r="I36" s="270"/>
      <c r="J36" s="271"/>
      <c r="K36" s="271"/>
      <c r="L36" s="270"/>
      <c r="M36" s="270"/>
      <c r="N36" s="272"/>
      <c r="O36" s="272"/>
      <c r="P36" s="272"/>
      <c r="Q36" s="273"/>
      <c r="R36" s="266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74"/>
      <c r="BD36" s="274"/>
      <c r="BE36" s="274"/>
      <c r="BF36" s="274"/>
      <c r="BG36" s="274"/>
      <c r="BH36" s="274"/>
      <c r="BI36" s="274"/>
      <c r="BJ36" s="274"/>
      <c r="BK36" s="266"/>
      <c r="BL36" s="266"/>
      <c r="BM36" s="266"/>
      <c r="BN36" s="266"/>
      <c r="BO36" s="266"/>
      <c r="BP36" s="266"/>
      <c r="BQ36" s="266"/>
      <c r="BR36" s="266"/>
      <c r="BS36" s="266"/>
      <c r="BT36" s="266"/>
      <c r="BU36" s="266"/>
      <c r="BV36" s="266"/>
      <c r="BW36" s="266"/>
      <c r="BX36" s="266"/>
      <c r="BY36" s="266"/>
      <c r="BZ36" s="266"/>
      <c r="CA36" s="266"/>
      <c r="CB36" s="266"/>
      <c r="CC36" s="266"/>
      <c r="CD36" s="266"/>
      <c r="CE36" s="266"/>
      <c r="CF36" s="266"/>
      <c r="CG36" s="266"/>
      <c r="CH36" s="266"/>
      <c r="CI36" s="266"/>
      <c r="CJ36" s="266"/>
      <c r="CK36" s="266"/>
      <c r="CL36" s="266"/>
      <c r="CM36" s="266"/>
      <c r="CN36" s="266"/>
      <c r="CO36" s="266"/>
      <c r="CP36" s="266"/>
      <c r="CQ36" s="266"/>
      <c r="CR36" s="266"/>
      <c r="CS36" s="266"/>
      <c r="CT36" s="266"/>
      <c r="CU36" s="266"/>
      <c r="CV36" s="266"/>
      <c r="CW36" s="266"/>
      <c r="CX36" s="266"/>
      <c r="CY36" s="266"/>
      <c r="CZ36" s="266"/>
      <c r="DA36" s="266"/>
      <c r="DB36" s="266"/>
      <c r="DC36" s="266"/>
      <c r="DD36" s="266"/>
    </row>
    <row r="37" spans="1:119" ht="14.25" customHeight="1">
      <c r="A37" s="46"/>
      <c r="B37" s="46"/>
      <c r="C37" s="46"/>
      <c r="E37" s="83" t="s">
        <v>16</v>
      </c>
      <c r="H37" s="364" t="str">
        <f>E37</f>
        <v>Total</v>
      </c>
      <c r="I37" s="50">
        <f>AVERAGE(I5:I35)</f>
        <v>28.116666666666671</v>
      </c>
      <c r="J37" s="50"/>
      <c r="K37" s="50"/>
      <c r="L37" s="50">
        <f>AVERAGE(L5:L35)</f>
        <v>190.94158451612898</v>
      </c>
      <c r="N37" s="275">
        <f>AVERAGE(N5:N35)</f>
        <v>125</v>
      </c>
      <c r="O37" s="275" t="e">
        <f>AVERAGE(O5:O35)</f>
        <v>#DIV/0!</v>
      </c>
      <c r="P37" s="275" t="e">
        <f>AVERAGE(P5:P35)</f>
        <v>#DIV/0!</v>
      </c>
      <c r="Q37" s="50" t="e">
        <f>AVERAGE(Q5:Q35)</f>
        <v>#DIV/0!</v>
      </c>
      <c r="R37" s="65" t="s">
        <v>9</v>
      </c>
      <c r="S37" s="71">
        <f t="shared" ref="S37:BJ37" si="16">AVERAGE(S5:S35)</f>
        <v>204.10996965517236</v>
      </c>
      <c r="T37" s="71">
        <f t="shared" si="16"/>
        <v>252.25468666666669</v>
      </c>
      <c r="U37" s="71">
        <f t="shared" si="16"/>
        <v>379.981472</v>
      </c>
      <c r="V37" s="71">
        <f t="shared" si="16"/>
        <v>653.5418586666666</v>
      </c>
      <c r="W37" s="71">
        <f t="shared" si="16"/>
        <v>833.59359571428547</v>
      </c>
      <c r="X37" s="71">
        <f t="shared" si="16"/>
        <v>1093.0993914285716</v>
      </c>
      <c r="Y37" s="71">
        <f t="shared" si="16"/>
        <v>1245.58629</v>
      </c>
      <c r="Z37" s="71">
        <f t="shared" si="16"/>
        <v>1228.9772155555559</v>
      </c>
      <c r="AA37" s="71">
        <f t="shared" si="16"/>
        <v>1165.7422771428571</v>
      </c>
      <c r="AB37" s="71">
        <f t="shared" si="16"/>
        <v>1308.3799418181816</v>
      </c>
      <c r="AC37" s="71">
        <f t="shared" si="16"/>
        <v>1372.8866088888888</v>
      </c>
      <c r="AD37" s="71">
        <f t="shared" si="16"/>
        <v>1362.0540266666667</v>
      </c>
      <c r="AE37" s="71">
        <f t="shared" si="16"/>
        <v>1367.7950000000001</v>
      </c>
      <c r="AF37" s="71">
        <f t="shared" si="16"/>
        <v>1694.615</v>
      </c>
      <c r="AG37" s="71" t="e">
        <f t="shared" si="16"/>
        <v>#DIV/0!</v>
      </c>
      <c r="AH37" s="71" t="e">
        <f t="shared" si="16"/>
        <v>#DIV/0!</v>
      </c>
      <c r="AI37" s="71" t="e">
        <f t="shared" si="16"/>
        <v>#DIV/0!</v>
      </c>
      <c r="AJ37" s="71" t="e">
        <f t="shared" si="16"/>
        <v>#DIV/0!</v>
      </c>
      <c r="AK37" s="71" t="e">
        <f t="shared" si="16"/>
        <v>#DIV/0!</v>
      </c>
      <c r="AL37" s="71" t="e">
        <f t="shared" si="16"/>
        <v>#DIV/0!</v>
      </c>
      <c r="AM37" s="71" t="e">
        <f t="shared" si="16"/>
        <v>#DIV/0!</v>
      </c>
      <c r="AN37" s="71" t="e">
        <f t="shared" si="16"/>
        <v>#DIV/0!</v>
      </c>
      <c r="AO37" s="71" t="e">
        <f t="shared" si="16"/>
        <v>#DIV/0!</v>
      </c>
      <c r="AP37" s="71" t="e">
        <f t="shared" si="16"/>
        <v>#DIV/0!</v>
      </c>
      <c r="AQ37" s="71" t="e">
        <f t="shared" si="16"/>
        <v>#DIV/0!</v>
      </c>
      <c r="AR37" s="71" t="e">
        <f t="shared" si="16"/>
        <v>#DIV/0!</v>
      </c>
      <c r="AS37" s="71" t="e">
        <f t="shared" si="16"/>
        <v>#DIV/0!</v>
      </c>
      <c r="AT37" s="71" t="e">
        <f t="shared" si="16"/>
        <v>#DIV/0!</v>
      </c>
      <c r="AU37" s="71" t="e">
        <f t="shared" si="16"/>
        <v>#DIV/0!</v>
      </c>
      <c r="AV37" s="71" t="e">
        <f t="shared" si="16"/>
        <v>#DIV/0!</v>
      </c>
      <c r="AW37" s="71" t="e">
        <f t="shared" si="16"/>
        <v>#DIV/0!</v>
      </c>
      <c r="AX37" s="71" t="e">
        <f t="shared" si="16"/>
        <v>#DIV/0!</v>
      </c>
      <c r="AY37" s="71" t="e">
        <f t="shared" si="16"/>
        <v>#DIV/0!</v>
      </c>
      <c r="AZ37" s="71" t="e">
        <f t="shared" si="16"/>
        <v>#DIV/0!</v>
      </c>
      <c r="BA37" s="71" t="e">
        <f t="shared" si="16"/>
        <v>#DIV/0!</v>
      </c>
      <c r="BB37" s="71" t="e">
        <f t="shared" si="16"/>
        <v>#DIV/0!</v>
      </c>
      <c r="BC37" s="71" t="e">
        <f t="shared" si="16"/>
        <v>#DIV/0!</v>
      </c>
      <c r="BD37" s="71" t="e">
        <f t="shared" si="16"/>
        <v>#DIV/0!</v>
      </c>
      <c r="BE37" s="71" t="e">
        <f t="shared" si="16"/>
        <v>#DIV/0!</v>
      </c>
      <c r="BF37" s="71" t="e">
        <f t="shared" si="16"/>
        <v>#DIV/0!</v>
      </c>
      <c r="BG37" s="71" t="e">
        <f t="shared" si="16"/>
        <v>#DIV/0!</v>
      </c>
      <c r="BH37" s="71" t="e">
        <f t="shared" si="16"/>
        <v>#DIV/0!</v>
      </c>
      <c r="BI37" s="71" t="e">
        <f t="shared" si="16"/>
        <v>#DIV/0!</v>
      </c>
      <c r="BJ37" s="71" t="e">
        <f t="shared" si="16"/>
        <v>#DIV/0!</v>
      </c>
      <c r="BK37" s="91" t="s">
        <v>9</v>
      </c>
      <c r="BL37" s="66">
        <f t="shared" ref="BL37:DC37" si="17">AVERAGE(BL5:BL35)</f>
        <v>1</v>
      </c>
      <c r="BM37" s="66">
        <f t="shared" si="17"/>
        <v>1.2919431719952359</v>
      </c>
      <c r="BN37" s="66">
        <f t="shared" si="17"/>
        <v>1.9567493275838548</v>
      </c>
      <c r="BO37" s="66">
        <f t="shared" si="17"/>
        <v>3.3128580845371411</v>
      </c>
      <c r="BP37" s="66">
        <f t="shared" si="17"/>
        <v>4.2628884033435899</v>
      </c>
      <c r="BQ37" s="66">
        <f t="shared" si="17"/>
        <v>5.6012133321809925</v>
      </c>
      <c r="BR37" s="66">
        <f t="shared" si="17"/>
        <v>5.9771809677744407</v>
      </c>
      <c r="BS37" s="66">
        <f t="shared" si="17"/>
        <v>6.2096398965343891</v>
      </c>
      <c r="BT37" s="66">
        <f t="shared" si="17"/>
        <v>5.9061470058060985</v>
      </c>
      <c r="BU37" s="66">
        <f t="shared" si="17"/>
        <v>6.9784957232670282</v>
      </c>
      <c r="BV37" s="66">
        <f t="shared" si="17"/>
        <v>7.521530249875827</v>
      </c>
      <c r="BW37" s="66">
        <f t="shared" si="17"/>
        <v>6.647486114170583</v>
      </c>
      <c r="BX37" s="66">
        <f t="shared" si="17"/>
        <v>8.4211660136375368</v>
      </c>
      <c r="BY37" s="66">
        <f t="shared" si="17"/>
        <v>16.237219985650512</v>
      </c>
      <c r="BZ37" s="66" t="e">
        <f t="shared" si="17"/>
        <v>#DIV/0!</v>
      </c>
      <c r="CA37" s="66" t="e">
        <f t="shared" si="17"/>
        <v>#DIV/0!</v>
      </c>
      <c r="CB37" s="66" t="e">
        <f t="shared" si="17"/>
        <v>#DIV/0!</v>
      </c>
      <c r="CC37" s="66" t="e">
        <f t="shared" si="17"/>
        <v>#DIV/0!</v>
      </c>
      <c r="CD37" s="66" t="e">
        <f t="shared" si="17"/>
        <v>#DIV/0!</v>
      </c>
      <c r="CE37" s="66" t="e">
        <f t="shared" si="17"/>
        <v>#DIV/0!</v>
      </c>
      <c r="CF37" s="66" t="e">
        <f t="shared" si="17"/>
        <v>#DIV/0!</v>
      </c>
      <c r="CG37" s="66" t="e">
        <f t="shared" si="17"/>
        <v>#DIV/0!</v>
      </c>
      <c r="CH37" s="66" t="e">
        <f t="shared" si="17"/>
        <v>#DIV/0!</v>
      </c>
      <c r="CI37" s="66" t="e">
        <f t="shared" si="17"/>
        <v>#DIV/0!</v>
      </c>
      <c r="CJ37" s="66" t="e">
        <f t="shared" si="17"/>
        <v>#DIV/0!</v>
      </c>
      <c r="CK37" s="66" t="e">
        <f t="shared" si="17"/>
        <v>#DIV/0!</v>
      </c>
      <c r="CL37" s="66" t="e">
        <f t="shared" si="17"/>
        <v>#DIV/0!</v>
      </c>
      <c r="CM37" s="66" t="e">
        <f t="shared" si="17"/>
        <v>#DIV/0!</v>
      </c>
      <c r="CN37" s="66" t="e">
        <f t="shared" si="17"/>
        <v>#DIV/0!</v>
      </c>
      <c r="CO37" s="66" t="e">
        <f t="shared" si="17"/>
        <v>#DIV/0!</v>
      </c>
      <c r="CP37" s="66" t="e">
        <f t="shared" si="17"/>
        <v>#DIV/0!</v>
      </c>
      <c r="CQ37" s="66" t="e">
        <f t="shared" si="17"/>
        <v>#DIV/0!</v>
      </c>
      <c r="CR37" s="66" t="e">
        <f t="shared" si="17"/>
        <v>#DIV/0!</v>
      </c>
      <c r="CS37" s="66" t="e">
        <f t="shared" si="17"/>
        <v>#DIV/0!</v>
      </c>
      <c r="CT37" s="66" t="e">
        <f t="shared" si="17"/>
        <v>#DIV/0!</v>
      </c>
      <c r="CU37" s="66" t="e">
        <f t="shared" si="17"/>
        <v>#DIV/0!</v>
      </c>
      <c r="CV37" s="66" t="e">
        <f t="shared" si="17"/>
        <v>#DIV/0!</v>
      </c>
      <c r="CW37" s="66" t="e">
        <f t="shared" si="17"/>
        <v>#DIV/0!</v>
      </c>
      <c r="CX37" s="66" t="e">
        <f t="shared" si="17"/>
        <v>#DIV/0!</v>
      </c>
      <c r="CY37" s="66" t="e">
        <f t="shared" si="17"/>
        <v>#DIV/0!</v>
      </c>
      <c r="CZ37" s="66" t="e">
        <f t="shared" si="17"/>
        <v>#DIV/0!</v>
      </c>
      <c r="DA37" s="66" t="e">
        <f t="shared" si="17"/>
        <v>#DIV/0!</v>
      </c>
      <c r="DB37" s="66" t="e">
        <f t="shared" si="17"/>
        <v>#DIV/0!</v>
      </c>
      <c r="DC37" s="66" t="e">
        <f t="shared" si="17"/>
        <v>#DIV/0!</v>
      </c>
      <c r="DD37" s="91" t="s">
        <v>9</v>
      </c>
    </row>
    <row r="38" spans="1:119" ht="14.25" customHeight="1">
      <c r="E38" s="276"/>
      <c r="H38" s="364"/>
      <c r="I38" s="50">
        <f>_xlfn.STDEV.P(I5:I35)</f>
        <v>1.9854610435754099</v>
      </c>
      <c r="J38" s="50"/>
      <c r="K38" s="50"/>
      <c r="L38" s="50">
        <f>_xlfn.STDEV.P(L5:L35)</f>
        <v>82.470756587300357</v>
      </c>
      <c r="N38" s="275">
        <f>_xlfn.STDEV.P(N5:N35)</f>
        <v>0</v>
      </c>
      <c r="O38" s="275" t="e">
        <f>_xlfn.STDEV.P(O5:O35)</f>
        <v>#DIV/0!</v>
      </c>
      <c r="P38" s="275" t="e">
        <f>_xlfn.STDEV.P(P5:P35)</f>
        <v>#DIV/0!</v>
      </c>
      <c r="Q38" s="50" t="e">
        <f>_xlfn.STDEV.P(Q5:Q35)</f>
        <v>#DIV/0!</v>
      </c>
      <c r="R38" s="65" t="s">
        <v>11</v>
      </c>
      <c r="S38" s="74">
        <f t="shared" ref="S38:BJ38" si="18">STDEVA(S5:S35)</f>
        <v>68.893819547479538</v>
      </c>
      <c r="T38" s="74">
        <f t="shared" si="18"/>
        <v>84.089496466094474</v>
      </c>
      <c r="U38" s="74">
        <f t="shared" si="18"/>
        <v>136.08629199730521</v>
      </c>
      <c r="V38" s="74">
        <f t="shared" si="18"/>
        <v>215.46454422891443</v>
      </c>
      <c r="W38" s="74">
        <f t="shared" si="18"/>
        <v>298.60590739436566</v>
      </c>
      <c r="X38" s="74">
        <f t="shared" si="18"/>
        <v>464.59824733858392</v>
      </c>
      <c r="Y38" s="74">
        <f t="shared" si="18"/>
        <v>548.95786645432474</v>
      </c>
      <c r="Z38" s="74">
        <f t="shared" si="18"/>
        <v>511.55824805812546</v>
      </c>
      <c r="AA38" s="74">
        <f t="shared" si="18"/>
        <v>470.69320256663497</v>
      </c>
      <c r="AB38" s="74">
        <f t="shared" si="18"/>
        <v>333.86425392842</v>
      </c>
      <c r="AC38" s="74">
        <f t="shared" si="18"/>
        <v>321.64317818342317</v>
      </c>
      <c r="AD38" s="74">
        <f t="shared" si="18"/>
        <v>379.80031253571076</v>
      </c>
      <c r="AE38" s="74">
        <f t="shared" si="18"/>
        <v>302.70534195814935</v>
      </c>
      <c r="AF38" s="74" t="e">
        <f t="shared" si="18"/>
        <v>#DIV/0!</v>
      </c>
      <c r="AG38" s="74" t="e">
        <f t="shared" si="18"/>
        <v>#DIV/0!</v>
      </c>
      <c r="AH38" s="74" t="e">
        <f t="shared" si="18"/>
        <v>#DIV/0!</v>
      </c>
      <c r="AI38" s="74" t="e">
        <f t="shared" si="18"/>
        <v>#DIV/0!</v>
      </c>
      <c r="AJ38" s="74" t="e">
        <f t="shared" si="18"/>
        <v>#DIV/0!</v>
      </c>
      <c r="AK38" s="74" t="e">
        <f t="shared" si="18"/>
        <v>#DIV/0!</v>
      </c>
      <c r="AL38" s="74" t="e">
        <f t="shared" si="18"/>
        <v>#DIV/0!</v>
      </c>
      <c r="AM38" s="74" t="e">
        <f t="shared" si="18"/>
        <v>#DIV/0!</v>
      </c>
      <c r="AN38" s="74" t="e">
        <f t="shared" si="18"/>
        <v>#DIV/0!</v>
      </c>
      <c r="AO38" s="74" t="e">
        <f t="shared" si="18"/>
        <v>#DIV/0!</v>
      </c>
      <c r="AP38" s="74" t="e">
        <f t="shared" si="18"/>
        <v>#DIV/0!</v>
      </c>
      <c r="AQ38" s="74" t="e">
        <f t="shared" si="18"/>
        <v>#DIV/0!</v>
      </c>
      <c r="AR38" s="74" t="e">
        <f t="shared" si="18"/>
        <v>#DIV/0!</v>
      </c>
      <c r="AS38" s="74" t="e">
        <f t="shared" si="18"/>
        <v>#DIV/0!</v>
      </c>
      <c r="AT38" s="74" t="e">
        <f t="shared" si="18"/>
        <v>#DIV/0!</v>
      </c>
      <c r="AU38" s="74" t="e">
        <f t="shared" si="18"/>
        <v>#DIV/0!</v>
      </c>
      <c r="AV38" s="74" t="e">
        <f t="shared" si="18"/>
        <v>#DIV/0!</v>
      </c>
      <c r="AW38" s="74" t="e">
        <f t="shared" si="18"/>
        <v>#DIV/0!</v>
      </c>
      <c r="AX38" s="74" t="e">
        <f t="shared" si="18"/>
        <v>#DIV/0!</v>
      </c>
      <c r="AY38" s="74" t="e">
        <f t="shared" si="18"/>
        <v>#DIV/0!</v>
      </c>
      <c r="AZ38" s="74" t="e">
        <f t="shared" si="18"/>
        <v>#DIV/0!</v>
      </c>
      <c r="BA38" s="74" t="e">
        <f t="shared" si="18"/>
        <v>#DIV/0!</v>
      </c>
      <c r="BB38" s="74" t="e">
        <f t="shared" si="18"/>
        <v>#DIV/0!</v>
      </c>
      <c r="BC38" s="74" t="e">
        <f t="shared" si="18"/>
        <v>#DIV/0!</v>
      </c>
      <c r="BD38" s="74" t="e">
        <f t="shared" si="18"/>
        <v>#DIV/0!</v>
      </c>
      <c r="BE38" s="74" t="e">
        <f t="shared" si="18"/>
        <v>#DIV/0!</v>
      </c>
      <c r="BF38" s="74" t="e">
        <f t="shared" si="18"/>
        <v>#DIV/0!</v>
      </c>
      <c r="BG38" s="74" t="e">
        <f t="shared" si="18"/>
        <v>#DIV/0!</v>
      </c>
      <c r="BH38" s="74" t="e">
        <f t="shared" si="18"/>
        <v>#DIV/0!</v>
      </c>
      <c r="BI38" s="74" t="e">
        <f t="shared" si="18"/>
        <v>#DIV/0!</v>
      </c>
      <c r="BJ38" s="74" t="e">
        <f t="shared" si="18"/>
        <v>#DIV/0!</v>
      </c>
      <c r="BK38" s="92" t="s">
        <v>11</v>
      </c>
      <c r="BL38" s="67">
        <f t="shared" ref="BL38:DC38" si="19">STDEVA(BL5:BL35)</f>
        <v>0.24973103811470745</v>
      </c>
      <c r="BM38" s="67">
        <f t="shared" si="19"/>
        <v>0.45422075305892073</v>
      </c>
      <c r="BN38" s="67">
        <f t="shared" si="19"/>
        <v>0.71351958120879411</v>
      </c>
      <c r="BO38" s="67">
        <f t="shared" si="19"/>
        <v>1.4151386932840329</v>
      </c>
      <c r="BP38" s="67">
        <f t="shared" si="19"/>
        <v>2.1870617349576396</v>
      </c>
      <c r="BQ38" s="67">
        <f t="shared" si="19"/>
        <v>3.379758499972787</v>
      </c>
      <c r="BR38" s="67">
        <f t="shared" si="19"/>
        <v>3.5906019670657678</v>
      </c>
      <c r="BS38" s="67">
        <f t="shared" si="19"/>
        <v>3.7739283761527882</v>
      </c>
      <c r="BT38" s="67">
        <f t="shared" si="19"/>
        <v>3.3639806365688703</v>
      </c>
      <c r="BU38" s="67">
        <f t="shared" si="19"/>
        <v>3.6362773890305404</v>
      </c>
      <c r="BV38" s="67">
        <f t="shared" si="19"/>
        <v>3.6558006067381492</v>
      </c>
      <c r="BW38" s="67">
        <f t="shared" si="19"/>
        <v>2.0739936059557778</v>
      </c>
      <c r="BX38" s="67">
        <f t="shared" si="19"/>
        <v>2.2102342494327911</v>
      </c>
      <c r="BY38" s="67">
        <f t="shared" si="19"/>
        <v>2.9162907995979457</v>
      </c>
      <c r="BZ38" s="67">
        <f t="shared" si="19"/>
        <v>0</v>
      </c>
      <c r="CA38" s="67">
        <f t="shared" si="19"/>
        <v>0</v>
      </c>
      <c r="CB38" s="67">
        <f t="shared" si="19"/>
        <v>0</v>
      </c>
      <c r="CC38" s="67">
        <f t="shared" si="19"/>
        <v>0</v>
      </c>
      <c r="CD38" s="67">
        <f t="shared" si="19"/>
        <v>0</v>
      </c>
      <c r="CE38" s="67">
        <f t="shared" si="19"/>
        <v>0</v>
      </c>
      <c r="CF38" s="67">
        <f t="shared" si="19"/>
        <v>0</v>
      </c>
      <c r="CG38" s="67">
        <f t="shared" si="19"/>
        <v>0</v>
      </c>
      <c r="CH38" s="67">
        <f t="shared" si="19"/>
        <v>0</v>
      </c>
      <c r="CI38" s="67">
        <f t="shared" si="19"/>
        <v>0</v>
      </c>
      <c r="CJ38" s="67">
        <f t="shared" si="19"/>
        <v>0</v>
      </c>
      <c r="CK38" s="67">
        <f t="shared" si="19"/>
        <v>0</v>
      </c>
      <c r="CL38" s="67">
        <f t="shared" si="19"/>
        <v>0</v>
      </c>
      <c r="CM38" s="67">
        <f t="shared" si="19"/>
        <v>0</v>
      </c>
      <c r="CN38" s="67">
        <f t="shared" si="19"/>
        <v>0</v>
      </c>
      <c r="CO38" s="67">
        <f t="shared" si="19"/>
        <v>0</v>
      </c>
      <c r="CP38" s="67">
        <f t="shared" si="19"/>
        <v>0</v>
      </c>
      <c r="CQ38" s="67">
        <f t="shared" si="19"/>
        <v>0</v>
      </c>
      <c r="CR38" s="67">
        <f t="shared" si="19"/>
        <v>0</v>
      </c>
      <c r="CS38" s="67">
        <f t="shared" si="19"/>
        <v>0</v>
      </c>
      <c r="CT38" s="67">
        <f t="shared" si="19"/>
        <v>0</v>
      </c>
      <c r="CU38" s="67">
        <f t="shared" si="19"/>
        <v>0</v>
      </c>
      <c r="CV38" s="67">
        <f t="shared" si="19"/>
        <v>0</v>
      </c>
      <c r="CW38" s="67">
        <f t="shared" si="19"/>
        <v>0</v>
      </c>
      <c r="CX38" s="67">
        <f t="shared" si="19"/>
        <v>0</v>
      </c>
      <c r="CY38" s="67">
        <f t="shared" si="19"/>
        <v>0</v>
      </c>
      <c r="CZ38" s="67">
        <f t="shared" si="19"/>
        <v>0</v>
      </c>
      <c r="DA38" s="67">
        <f t="shared" si="19"/>
        <v>0</v>
      </c>
      <c r="DB38" s="67">
        <f t="shared" si="19"/>
        <v>0</v>
      </c>
      <c r="DC38" s="67">
        <f t="shared" si="19"/>
        <v>0</v>
      </c>
      <c r="DD38" s="92" t="s">
        <v>11</v>
      </c>
    </row>
    <row r="39" spans="1:119" ht="12.75" customHeight="1">
      <c r="A39" s="103"/>
      <c r="E39" s="83"/>
      <c r="J39" s="50"/>
      <c r="K39" s="50"/>
      <c r="N39" s="275"/>
      <c r="O39" s="275"/>
      <c r="P39" s="275"/>
      <c r="Q39" s="50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</row>
    <row r="40" spans="1:119" ht="14.25" customHeight="1">
      <c r="A40" s="103"/>
      <c r="E40" s="108" t="str">
        <f>'5GY EBRT Groups'!C6</f>
        <v>Untreated Control</v>
      </c>
      <c r="H40" s="108" t="str">
        <f>E40</f>
        <v>Untreated Control</v>
      </c>
      <c r="I40" s="277">
        <f>AVERAGEIF($E$5:$E$35,$E40,I$5:I$35)</f>
        <v>28.233333333333331</v>
      </c>
      <c r="J40" s="277"/>
      <c r="K40" s="277"/>
      <c r="L40" s="277">
        <f>AVERAGEIF($E$5:$E$35,$E40,L$5:L$35)</f>
        <v>180.04063999999997</v>
      </c>
      <c r="M40" s="277"/>
      <c r="N40" s="278" t="e">
        <f>AVERAGEIF($E$5:$E$35,$E40,N$5:N$35)</f>
        <v>#DIV/0!</v>
      </c>
      <c r="O40" s="278">
        <f>AVERAGEIF($E$5:$E$35,$E40,O$5:O$35)</f>
        <v>0</v>
      </c>
      <c r="P40" s="278">
        <f>AVERAGEIF($E$5:$E$35,$E40,P$5:P$35)</f>
        <v>0</v>
      </c>
      <c r="Q40" s="277" t="e">
        <f>AVERAGEIF($E$5:$E$35,$E40,Q$5:Q$35)</f>
        <v>#DIV/0!</v>
      </c>
      <c r="R40" s="65" t="s">
        <v>9</v>
      </c>
      <c r="S40" s="71">
        <f t="shared" ref="S40:BJ40" si="20">AVERAGEIF($E$5:$E$35,$E40,S$5:S$35)</f>
        <v>180.04063999999997</v>
      </c>
      <c r="T40" s="71">
        <f t="shared" si="20"/>
        <v>243.88251333333338</v>
      </c>
      <c r="U40" s="71">
        <f t="shared" si="20"/>
        <v>346.52089333333333</v>
      </c>
      <c r="V40" s="71">
        <f t="shared" si="20"/>
        <v>602.56213333333324</v>
      </c>
      <c r="W40" s="71">
        <f t="shared" si="20"/>
        <v>857.79480799999988</v>
      </c>
      <c r="X40" s="71">
        <f t="shared" si="20"/>
        <v>1384.9662320000002</v>
      </c>
      <c r="Y40" s="71">
        <f t="shared" si="20"/>
        <v>1487.38408</v>
      </c>
      <c r="Z40" s="71">
        <f t="shared" si="20"/>
        <v>1650.7712000000001</v>
      </c>
      <c r="AA40" s="71">
        <f t="shared" si="20"/>
        <v>1929.2915199999998</v>
      </c>
      <c r="AB40" s="71" t="e">
        <f t="shared" si="20"/>
        <v>#DIV/0!</v>
      </c>
      <c r="AC40" s="71" t="e">
        <f t="shared" si="20"/>
        <v>#DIV/0!</v>
      </c>
      <c r="AD40" s="71" t="e">
        <f t="shared" si="20"/>
        <v>#DIV/0!</v>
      </c>
      <c r="AE40" s="71" t="e">
        <f t="shared" si="20"/>
        <v>#DIV/0!</v>
      </c>
      <c r="AF40" s="71" t="e">
        <f t="shared" si="20"/>
        <v>#DIV/0!</v>
      </c>
      <c r="AG40" s="71" t="e">
        <f t="shared" si="20"/>
        <v>#DIV/0!</v>
      </c>
      <c r="AH40" s="71" t="e">
        <f t="shared" si="20"/>
        <v>#DIV/0!</v>
      </c>
      <c r="AI40" s="71" t="e">
        <f t="shared" si="20"/>
        <v>#DIV/0!</v>
      </c>
      <c r="AJ40" s="71" t="e">
        <f t="shared" si="20"/>
        <v>#DIV/0!</v>
      </c>
      <c r="AK40" s="71" t="e">
        <f t="shared" si="20"/>
        <v>#DIV/0!</v>
      </c>
      <c r="AL40" s="71" t="e">
        <f t="shared" si="20"/>
        <v>#DIV/0!</v>
      </c>
      <c r="AM40" s="71" t="e">
        <f t="shared" si="20"/>
        <v>#DIV/0!</v>
      </c>
      <c r="AN40" s="71" t="e">
        <f t="shared" si="20"/>
        <v>#DIV/0!</v>
      </c>
      <c r="AO40" s="71" t="e">
        <f t="shared" si="20"/>
        <v>#DIV/0!</v>
      </c>
      <c r="AP40" s="71" t="e">
        <f t="shared" si="20"/>
        <v>#DIV/0!</v>
      </c>
      <c r="AQ40" s="71" t="e">
        <f t="shared" si="20"/>
        <v>#DIV/0!</v>
      </c>
      <c r="AR40" s="71" t="e">
        <f t="shared" si="20"/>
        <v>#DIV/0!</v>
      </c>
      <c r="AS40" s="71" t="e">
        <f t="shared" si="20"/>
        <v>#DIV/0!</v>
      </c>
      <c r="AT40" s="71" t="e">
        <f t="shared" si="20"/>
        <v>#DIV/0!</v>
      </c>
      <c r="AU40" s="71" t="e">
        <f t="shared" si="20"/>
        <v>#DIV/0!</v>
      </c>
      <c r="AV40" s="71" t="e">
        <f t="shared" si="20"/>
        <v>#DIV/0!</v>
      </c>
      <c r="AW40" s="71" t="e">
        <f t="shared" si="20"/>
        <v>#DIV/0!</v>
      </c>
      <c r="AX40" s="71" t="e">
        <f t="shared" si="20"/>
        <v>#DIV/0!</v>
      </c>
      <c r="AY40" s="71" t="e">
        <f t="shared" si="20"/>
        <v>#DIV/0!</v>
      </c>
      <c r="AZ40" s="71" t="e">
        <f t="shared" si="20"/>
        <v>#DIV/0!</v>
      </c>
      <c r="BA40" s="71" t="e">
        <f t="shared" si="20"/>
        <v>#DIV/0!</v>
      </c>
      <c r="BB40" s="71" t="e">
        <f t="shared" si="20"/>
        <v>#DIV/0!</v>
      </c>
      <c r="BC40" s="71" t="e">
        <f t="shared" si="20"/>
        <v>#DIV/0!</v>
      </c>
      <c r="BD40" s="71" t="e">
        <f t="shared" si="20"/>
        <v>#DIV/0!</v>
      </c>
      <c r="BE40" s="71" t="e">
        <f t="shared" si="20"/>
        <v>#DIV/0!</v>
      </c>
      <c r="BF40" s="71" t="e">
        <f t="shared" si="20"/>
        <v>#DIV/0!</v>
      </c>
      <c r="BG40" s="71" t="e">
        <f t="shared" si="20"/>
        <v>#DIV/0!</v>
      </c>
      <c r="BH40" s="71" t="e">
        <f t="shared" si="20"/>
        <v>#DIV/0!</v>
      </c>
      <c r="BI40" s="71" t="e">
        <f t="shared" si="20"/>
        <v>#DIV/0!</v>
      </c>
      <c r="BJ40" s="71" t="e">
        <f t="shared" si="20"/>
        <v>#DIV/0!</v>
      </c>
      <c r="BK40" s="93" t="s">
        <v>9</v>
      </c>
      <c r="BL40" s="66">
        <f t="shared" ref="BL40:DC40" si="21">AVERAGEIF($E$5:$E$35,$E40,BL$5:BL$35)</f>
        <v>1</v>
      </c>
      <c r="BM40" s="66">
        <f t="shared" si="21"/>
        <v>1.3561277074320552</v>
      </c>
      <c r="BN40" s="66">
        <f t="shared" si="21"/>
        <v>1.9473884757388531</v>
      </c>
      <c r="BO40" s="66">
        <f t="shared" si="21"/>
        <v>3.3462113303683072</v>
      </c>
      <c r="BP40" s="66">
        <f t="shared" si="21"/>
        <v>4.5722504313008443</v>
      </c>
      <c r="BQ40" s="66">
        <f t="shared" si="21"/>
        <v>7.4537536924769112</v>
      </c>
      <c r="BR40" s="66">
        <f t="shared" si="21"/>
        <v>7.8348550549814311</v>
      </c>
      <c r="BS40" s="66">
        <f t="shared" si="21"/>
        <v>7.7388598209201778</v>
      </c>
      <c r="BT40" s="66">
        <f t="shared" si="21"/>
        <v>7.4233213285314132</v>
      </c>
      <c r="BU40" s="66" t="e">
        <f t="shared" si="21"/>
        <v>#DIV/0!</v>
      </c>
      <c r="BV40" s="66" t="e">
        <f t="shared" si="21"/>
        <v>#DIV/0!</v>
      </c>
      <c r="BW40" s="66" t="e">
        <f t="shared" si="21"/>
        <v>#DIV/0!</v>
      </c>
      <c r="BX40" s="66" t="e">
        <f t="shared" si="21"/>
        <v>#DIV/0!</v>
      </c>
      <c r="BY40" s="66" t="e">
        <f t="shared" si="21"/>
        <v>#DIV/0!</v>
      </c>
      <c r="BZ40" s="66" t="e">
        <f t="shared" si="21"/>
        <v>#DIV/0!</v>
      </c>
      <c r="CA40" s="66" t="e">
        <f t="shared" si="21"/>
        <v>#DIV/0!</v>
      </c>
      <c r="CB40" s="66" t="e">
        <f t="shared" si="21"/>
        <v>#DIV/0!</v>
      </c>
      <c r="CC40" s="66" t="e">
        <f t="shared" si="21"/>
        <v>#DIV/0!</v>
      </c>
      <c r="CD40" s="66" t="e">
        <f t="shared" si="21"/>
        <v>#DIV/0!</v>
      </c>
      <c r="CE40" s="66" t="e">
        <f t="shared" si="21"/>
        <v>#DIV/0!</v>
      </c>
      <c r="CF40" s="66" t="e">
        <f t="shared" si="21"/>
        <v>#DIV/0!</v>
      </c>
      <c r="CG40" s="66" t="e">
        <f t="shared" si="21"/>
        <v>#DIV/0!</v>
      </c>
      <c r="CH40" s="66" t="e">
        <f t="shared" si="21"/>
        <v>#DIV/0!</v>
      </c>
      <c r="CI40" s="66" t="e">
        <f t="shared" si="21"/>
        <v>#DIV/0!</v>
      </c>
      <c r="CJ40" s="66" t="e">
        <f t="shared" si="21"/>
        <v>#DIV/0!</v>
      </c>
      <c r="CK40" s="66" t="e">
        <f t="shared" si="21"/>
        <v>#DIV/0!</v>
      </c>
      <c r="CL40" s="66" t="e">
        <f t="shared" si="21"/>
        <v>#DIV/0!</v>
      </c>
      <c r="CM40" s="66" t="e">
        <f t="shared" si="21"/>
        <v>#DIV/0!</v>
      </c>
      <c r="CN40" s="66" t="e">
        <f t="shared" si="21"/>
        <v>#DIV/0!</v>
      </c>
      <c r="CO40" s="66" t="e">
        <f t="shared" si="21"/>
        <v>#DIV/0!</v>
      </c>
      <c r="CP40" s="66" t="e">
        <f t="shared" si="21"/>
        <v>#DIV/0!</v>
      </c>
      <c r="CQ40" s="66" t="e">
        <f t="shared" si="21"/>
        <v>#DIV/0!</v>
      </c>
      <c r="CR40" s="66" t="e">
        <f t="shared" si="21"/>
        <v>#DIV/0!</v>
      </c>
      <c r="CS40" s="66" t="e">
        <f t="shared" si="21"/>
        <v>#DIV/0!</v>
      </c>
      <c r="CT40" s="66" t="e">
        <f t="shared" si="21"/>
        <v>#DIV/0!</v>
      </c>
      <c r="CU40" s="66" t="e">
        <f t="shared" si="21"/>
        <v>#DIV/0!</v>
      </c>
      <c r="CV40" s="66" t="e">
        <f t="shared" si="21"/>
        <v>#DIV/0!</v>
      </c>
      <c r="CW40" s="66" t="e">
        <f t="shared" si="21"/>
        <v>#DIV/0!</v>
      </c>
      <c r="CX40" s="66" t="e">
        <f t="shared" si="21"/>
        <v>#DIV/0!</v>
      </c>
      <c r="CY40" s="66" t="e">
        <f t="shared" si="21"/>
        <v>#DIV/0!</v>
      </c>
      <c r="CZ40" s="66" t="e">
        <f t="shared" si="21"/>
        <v>#DIV/0!</v>
      </c>
      <c r="DA40" s="66" t="e">
        <f t="shared" si="21"/>
        <v>#DIV/0!</v>
      </c>
      <c r="DB40" s="66" t="e">
        <f t="shared" si="21"/>
        <v>#DIV/0!</v>
      </c>
      <c r="DC40" s="66" t="e">
        <f t="shared" si="21"/>
        <v>#DIV/0!</v>
      </c>
      <c r="DD40" s="93" t="s">
        <v>9</v>
      </c>
    </row>
    <row r="41" spans="1:119" ht="14.25" customHeight="1">
      <c r="A41" s="103"/>
      <c r="E41" s="83"/>
      <c r="H41" s="83"/>
      <c r="I41" s="277">
        <f t="array" ref="I41">_xlfn.STDEV.P(IF($E$5:$E$35=$E40,I$5:I$35))</f>
        <v>2.2924998485399199</v>
      </c>
      <c r="J41" s="277"/>
      <c r="K41" s="277"/>
      <c r="L41" s="277">
        <f t="array" ref="L41">_xlfn.STDEV.P(IF($E$5:$E$35=$E40,L$5:L$35))</f>
        <v>53.44984697687854</v>
      </c>
      <c r="M41" s="277"/>
      <c r="N41" s="278">
        <f t="array" ref="N41">_xlfn.STDEV.P(IF($E$5:$E$35=$E40,N$5:N$35))</f>
        <v>0</v>
      </c>
      <c r="O41" s="278">
        <f t="array" ref="O41">_xlfn.STDEV.P(IF($E$5:$E$35=$E40,O$5:O$35))</f>
        <v>0</v>
      </c>
      <c r="P41" s="278">
        <f t="array" ref="P41">_xlfn.STDEV.P(IF($E$5:$E$35=$E40,P$5:P$35))</f>
        <v>0</v>
      </c>
      <c r="Q41" s="277">
        <f t="array" ref="Q41">_xlfn.STDEV.P(IF($E$5:$E$35=$E40,Q$5:Q$35))</f>
        <v>0</v>
      </c>
      <c r="R41" s="65" t="s">
        <v>11</v>
      </c>
      <c r="S41" s="74">
        <f t="array" ref="S41">_xlfn.STDEV.P(IF($E$5:$E$35=$E40,S$5:S$35))</f>
        <v>53.449846976878604</v>
      </c>
      <c r="T41" s="74">
        <f t="array" ref="T41">_xlfn.STDEV.P(IF($E$5:$E$35=$E40,T$5:T$35))</f>
        <v>106.71349890586696</v>
      </c>
      <c r="U41" s="74">
        <f t="array" ref="U41">_xlfn.STDEV.P(IF($E$5:$E$35=$E40,U$5:U$35))</f>
        <v>100.37931464817173</v>
      </c>
      <c r="V41" s="74">
        <f t="array" ref="V41">_xlfn.STDEV.P(IF($E$5:$E$35=$E40,V$5:V$35))</f>
        <v>213.92224239751144</v>
      </c>
      <c r="W41" s="74">
        <f t="array" ref="W41">_xlfn.STDEV.P(IF($E$5:$E$35=$E40,W$5:W$35))</f>
        <v>371.27982748284921</v>
      </c>
      <c r="X41" s="74">
        <f t="array" ref="X41">_xlfn.STDEV.P(IF($E$5:$E$35=$E40,X$5:X$35))</f>
        <v>720.55801581308788</v>
      </c>
      <c r="Y41" s="74">
        <f t="array" ref="Y41">_xlfn.STDEV.P(IF($E$5:$E$35=$E40,Y$5:Y$35))</f>
        <v>787.30591420042447</v>
      </c>
      <c r="Z41" s="74">
        <f t="array" ref="Z41">_xlfn.STDEV.P(IF($E$5:$E$35=$E40,Z$5:Z$35))</f>
        <v>798.17874954339482</v>
      </c>
      <c r="AA41" s="74">
        <f t="array" ref="AA41">_xlfn.STDEV.P(IF($E$5:$E$35=$E40,AA$5:AA$35))</f>
        <v>719.00449785564911</v>
      </c>
      <c r="AB41" s="74">
        <f t="array" ref="AB41">_xlfn.STDEV.P(IF($E$5:$E$35=$E40,AB$5:AB$35))</f>
        <v>0</v>
      </c>
      <c r="AC41" s="74">
        <f t="array" ref="AC41">_xlfn.STDEV.P(IF($E$5:$E$35=$E40,AC$5:AC$35))</f>
        <v>0</v>
      </c>
      <c r="AD41" s="74">
        <f t="array" ref="AD41">_xlfn.STDEV.P(IF($E$5:$E$35=$E40,AD$5:AD$35))</f>
        <v>0</v>
      </c>
      <c r="AE41" s="74">
        <f t="array" ref="AE41">_xlfn.STDEV.P(IF($E$5:$E$35=$E40,AE$5:AE$35))</f>
        <v>0</v>
      </c>
      <c r="AF41" s="74">
        <f t="array" ref="AF41">_xlfn.STDEV.P(IF($E$5:$E$35=$E40,AF$5:AF$35))</f>
        <v>0</v>
      </c>
      <c r="AG41" s="74">
        <f t="array" ref="AG41">_xlfn.STDEV.P(IF($E$5:$E$35=$E40,AG$5:AG$35))</f>
        <v>0</v>
      </c>
      <c r="AH41" s="74">
        <f t="array" ref="AH41">_xlfn.STDEV.P(IF($E$5:$E$35=$E40,AH$5:AH$35))</f>
        <v>0</v>
      </c>
      <c r="AI41" s="74">
        <f t="array" ref="AI41">_xlfn.STDEV.P(IF($E$5:$E$35=$E40,AI$5:AI$35))</f>
        <v>0</v>
      </c>
      <c r="AJ41" s="74">
        <f t="array" ref="AJ41">_xlfn.STDEV.P(IF($E$5:$E$35=$E40,AJ$5:AJ$35))</f>
        <v>0</v>
      </c>
      <c r="AK41" s="74">
        <f t="array" ref="AK41">_xlfn.STDEV.P(IF($E$5:$E$35=$E40,AK$5:AK$35))</f>
        <v>0</v>
      </c>
      <c r="AL41" s="74">
        <f t="array" ref="AL41">_xlfn.STDEV.P(IF($E$5:$E$35=$E40,AL$5:AL$35))</f>
        <v>0</v>
      </c>
      <c r="AM41" s="74">
        <f t="array" ref="AM41">_xlfn.STDEV.P(IF($E$5:$E$35=$E40,AM$5:AM$35))</f>
        <v>0</v>
      </c>
      <c r="AN41" s="74">
        <f t="array" ref="AN41">_xlfn.STDEV.P(IF($E$5:$E$35=$E40,AN$5:AN$35))</f>
        <v>0</v>
      </c>
      <c r="AO41" s="74">
        <f t="array" ref="AO41">_xlfn.STDEV.P(IF($E$5:$E$35=$E40,AO$5:AO$35))</f>
        <v>0</v>
      </c>
      <c r="AP41" s="74">
        <f t="array" ref="AP41">_xlfn.STDEV.P(IF($E$5:$E$35=$E40,AP$5:AP$35))</f>
        <v>0</v>
      </c>
      <c r="AQ41" s="74">
        <f t="array" ref="AQ41">_xlfn.STDEV.P(IF($E$5:$E$35=$E40,AQ$5:AQ$35))</f>
        <v>0</v>
      </c>
      <c r="AR41" s="74">
        <f t="array" ref="AR41">_xlfn.STDEV.P(IF($E$5:$E$35=$E40,AR$5:AR$35))</f>
        <v>0</v>
      </c>
      <c r="AS41" s="74">
        <f t="array" ref="AS41">_xlfn.STDEV.P(IF($E$5:$E$35=$E40,AS$5:AS$35))</f>
        <v>0</v>
      </c>
      <c r="AT41" s="74">
        <f t="array" ref="AT41">_xlfn.STDEV.P(IF($E$5:$E$35=$E40,AT$5:AT$35))</f>
        <v>0</v>
      </c>
      <c r="AU41" s="74">
        <f t="array" ref="AU41">_xlfn.STDEV.P(IF($E$5:$E$35=$E40,AU$5:AU$35))</f>
        <v>0</v>
      </c>
      <c r="AV41" s="74">
        <f t="array" ref="AV41">_xlfn.STDEV.P(IF($E$5:$E$35=$E40,AV$5:AV$35))</f>
        <v>0</v>
      </c>
      <c r="AW41" s="74">
        <f t="array" ref="AW41">_xlfn.STDEV.P(IF($E$5:$E$35=$E40,AW$5:AW$35))</f>
        <v>0</v>
      </c>
      <c r="AX41" s="74">
        <f t="array" ref="AX41">_xlfn.STDEV.P(IF($E$5:$E$35=$E40,AX$5:AX$35))</f>
        <v>0</v>
      </c>
      <c r="AY41" s="74">
        <f t="array" ref="AY41">_xlfn.STDEV.P(IF($E$5:$E$35=$E40,AY$5:AY$35))</f>
        <v>0</v>
      </c>
      <c r="AZ41" s="74">
        <f t="array" ref="AZ41">_xlfn.STDEV.P(IF($E$5:$E$35=$E40,AZ$5:AZ$35))</f>
        <v>0</v>
      </c>
      <c r="BA41" s="74">
        <f t="array" ref="BA41">_xlfn.STDEV.P(IF($E$5:$E$35=$E40,BA$5:BA$35))</f>
        <v>0</v>
      </c>
      <c r="BB41" s="74">
        <f t="array" ref="BB41">_xlfn.STDEV.P(IF($E$5:$E$35=$E40,BB$5:BB$35))</f>
        <v>0</v>
      </c>
      <c r="BC41" s="74">
        <f t="array" ref="BC41">_xlfn.STDEV.P(IF($E$5:$E$35=$E40,BC$5:BC$35))</f>
        <v>0</v>
      </c>
      <c r="BD41" s="74">
        <f t="array" ref="BD41">_xlfn.STDEV.P(IF($E$5:$E$35=$E40,BD$5:BD$35))</f>
        <v>0</v>
      </c>
      <c r="BE41" s="74">
        <f t="array" ref="BE41">_xlfn.STDEV.P(IF($E$5:$E$35=$E40,BE$5:BE$35))</f>
        <v>0</v>
      </c>
      <c r="BF41" s="74">
        <f t="array" ref="BF41">_xlfn.STDEV.P(IF($E$5:$E$35=$E40,BF$5:BF$35))</f>
        <v>0</v>
      </c>
      <c r="BG41" s="74">
        <f t="array" ref="BG41">_xlfn.STDEV.P(IF($E$5:$E$35=$E40,BG$5:BG$35))</f>
        <v>0</v>
      </c>
      <c r="BH41" s="74">
        <f t="array" ref="BH41">_xlfn.STDEV.P(IF($E$5:$E$35=$E40,BH$5:BH$35))</f>
        <v>0</v>
      </c>
      <c r="BI41" s="74">
        <f t="array" ref="BI41">_xlfn.STDEV.P(IF($E$5:$E$35=$E40,BI$5:BI$35))</f>
        <v>0</v>
      </c>
      <c r="BJ41" s="74">
        <f t="array" ref="BJ41">_xlfn.STDEV.P(IF($E$5:$E$35=$E40,BJ$5:BJ$35))</f>
        <v>0</v>
      </c>
      <c r="BK41" s="94" t="s">
        <v>11</v>
      </c>
      <c r="BL41" s="67">
        <f t="array" ref="BL41">_xlfn.STDEV.P(IF($E$5:$E$35=$E40,BL$5:BL$35))</f>
        <v>1.5700924586837752E-16</v>
      </c>
      <c r="BM41" s="67">
        <f t="array" ref="BM41">_xlfn.STDEV.P(IF($E$5:$E$35=$E40,BM$5:BM$35))</f>
        <v>0.51590362173885107</v>
      </c>
      <c r="BN41" s="67">
        <f t="array" ref="BN41">_xlfn.STDEV.P(IF($E$5:$E$35=$E40,BN$5:BN$35))</f>
        <v>0.38736495066422971</v>
      </c>
      <c r="BO41" s="67">
        <f t="array" ref="BO41">_xlfn.STDEV.P(IF($E$5:$E$35=$E40,BO$5:BO$35))</f>
        <v>1.0001346156437816</v>
      </c>
      <c r="BP41" s="67">
        <f t="array" ref="BP41">_xlfn.STDEV.P(IF($E$5:$E$35=$E40,BP$5:BP$35))</f>
        <v>1.6693982380192574</v>
      </c>
      <c r="BQ41" s="67">
        <f t="array" ref="BQ41">_xlfn.STDEV.P(IF($E$5:$E$35=$E40,BQ$5:BQ$35))</f>
        <v>3.8882384159095209</v>
      </c>
      <c r="BR41" s="67">
        <f t="array" ref="BR41">_xlfn.STDEV.P(IF($E$5:$E$35=$E40,BR$5:BR$35))</f>
        <v>3.2248435816331287</v>
      </c>
      <c r="BS41" s="67">
        <f t="array" ref="BS41">_xlfn.STDEV.P(IF($E$5:$E$35=$E40,BS$5:BS$35))</f>
        <v>2.5704564595756376</v>
      </c>
      <c r="BT41" s="67">
        <f t="array" ref="BT41">_xlfn.STDEV.P(IF($E$5:$E$35=$E40,BT$5:BT$35))</f>
        <v>0</v>
      </c>
      <c r="BU41" s="67" t="e">
        <f t="array" ref="BU41">_xlfn.STDEV.P(IF($E$5:$E$35=$E40,BU$5:BU$35))</f>
        <v>#DIV/0!</v>
      </c>
      <c r="BV41" s="67" t="e">
        <f t="array" ref="BV41">_xlfn.STDEV.P(IF($E$5:$E$35=$E40,BV$5:BV$35))</f>
        <v>#DIV/0!</v>
      </c>
      <c r="BW41" s="67" t="e">
        <f t="array" ref="BW41">_xlfn.STDEV.P(IF($E$5:$E$35=$E40,BW$5:BW$35))</f>
        <v>#DIV/0!</v>
      </c>
      <c r="BX41" s="67" t="e">
        <f t="array" ref="BX41">_xlfn.STDEV.P(IF($E$5:$E$35=$E40,BX$5:BX$35))</f>
        <v>#DIV/0!</v>
      </c>
      <c r="BY41" s="67" t="e">
        <f t="array" ref="BY41">_xlfn.STDEV.P(IF($E$5:$E$35=$E40,BY$5:BY$35))</f>
        <v>#DIV/0!</v>
      </c>
      <c r="BZ41" s="67" t="e">
        <f t="array" ref="BZ41">_xlfn.STDEV.P(IF($E$5:$E$35=$E40,BZ$5:BZ$35))</f>
        <v>#DIV/0!</v>
      </c>
      <c r="CA41" s="67" t="e">
        <f t="array" ref="CA41">_xlfn.STDEV.P(IF($E$5:$E$35=$E40,CA$5:CA$35))</f>
        <v>#DIV/0!</v>
      </c>
      <c r="CB41" s="67" t="e">
        <f t="array" ref="CB41">_xlfn.STDEV.P(IF($E$5:$E$35=$E40,CB$5:CB$35))</f>
        <v>#DIV/0!</v>
      </c>
      <c r="CC41" s="67" t="e">
        <f t="array" ref="CC41">_xlfn.STDEV.P(IF($E$5:$E$35=$E40,CC$5:CC$35))</f>
        <v>#DIV/0!</v>
      </c>
      <c r="CD41" s="67" t="e">
        <f t="array" ref="CD41">_xlfn.STDEV.P(IF($E$5:$E$35=$E40,CD$5:CD$35))</f>
        <v>#DIV/0!</v>
      </c>
      <c r="CE41" s="67" t="e">
        <f t="array" ref="CE41">_xlfn.STDEV.P(IF($E$5:$E$35=$E40,CE$5:CE$35))</f>
        <v>#DIV/0!</v>
      </c>
      <c r="CF41" s="67" t="e">
        <f t="array" ref="CF41">_xlfn.STDEV.P(IF($E$5:$E$35=$E40,CF$5:CF$35))</f>
        <v>#DIV/0!</v>
      </c>
      <c r="CG41" s="67" t="e">
        <f t="array" ref="CG41">_xlfn.STDEV.P(IF($E$5:$E$35=$E40,CG$5:CG$35))</f>
        <v>#DIV/0!</v>
      </c>
      <c r="CH41" s="67" t="e">
        <f t="array" ref="CH41">_xlfn.STDEV.P(IF($E$5:$E$35=$E40,CH$5:CH$35))</f>
        <v>#DIV/0!</v>
      </c>
      <c r="CI41" s="67" t="e">
        <f t="array" ref="CI41">_xlfn.STDEV.P(IF($E$5:$E$35=$E40,CI$5:CI$35))</f>
        <v>#DIV/0!</v>
      </c>
      <c r="CJ41" s="67" t="e">
        <f t="array" ref="CJ41">_xlfn.STDEV.P(IF($E$5:$E$35=$E40,CJ$5:CJ$35))</f>
        <v>#DIV/0!</v>
      </c>
      <c r="CK41" s="67" t="e">
        <f t="array" ref="CK41">_xlfn.STDEV.P(IF($E$5:$E$35=$E40,CK$5:CK$35))</f>
        <v>#DIV/0!</v>
      </c>
      <c r="CL41" s="67" t="e">
        <f t="array" ref="CL41">_xlfn.STDEV.P(IF($E$5:$E$35=$E40,CL$5:CL$35))</f>
        <v>#DIV/0!</v>
      </c>
      <c r="CM41" s="67" t="e">
        <f t="array" ref="CM41">_xlfn.STDEV.P(IF($E$5:$E$35=$E40,CM$5:CM$35))</f>
        <v>#DIV/0!</v>
      </c>
      <c r="CN41" s="67" t="e">
        <f t="array" ref="CN41">_xlfn.STDEV.P(IF($E$5:$E$35=$E40,CN$5:CN$35))</f>
        <v>#DIV/0!</v>
      </c>
      <c r="CO41" s="67" t="e">
        <f t="array" ref="CO41">_xlfn.STDEV.P(IF($E$5:$E$35=$E40,CO$5:CO$35))</f>
        <v>#DIV/0!</v>
      </c>
      <c r="CP41" s="67" t="e">
        <f t="array" ref="CP41">_xlfn.STDEV.P(IF($E$5:$E$35=$E40,CP$5:CP$35))</f>
        <v>#DIV/0!</v>
      </c>
      <c r="CQ41" s="67" t="e">
        <f t="array" ref="CQ41">_xlfn.STDEV.P(IF($E$5:$E$35=$E40,CQ$5:CQ$35))</f>
        <v>#DIV/0!</v>
      </c>
      <c r="CR41" s="67" t="e">
        <f t="array" ref="CR41">_xlfn.STDEV.P(IF($E$5:$E$35=$E40,CR$5:CR$35))</f>
        <v>#DIV/0!</v>
      </c>
      <c r="CS41" s="67" t="e">
        <f t="array" ref="CS41">_xlfn.STDEV.P(IF($E$5:$E$35=$E40,CS$5:CS$35))</f>
        <v>#DIV/0!</v>
      </c>
      <c r="CT41" s="67" t="e">
        <f t="array" ref="CT41">_xlfn.STDEV.P(IF($E$5:$E$35=$E40,CT$5:CT$35))</f>
        <v>#DIV/0!</v>
      </c>
      <c r="CU41" s="67" t="e">
        <f t="array" ref="CU41">_xlfn.STDEV.P(IF($E$5:$E$35=$E40,CU$5:CU$35))</f>
        <v>#DIV/0!</v>
      </c>
      <c r="CV41" s="67" t="e">
        <f t="array" ref="CV41">_xlfn.STDEV.P(IF($E$5:$E$35=$E40,CV$5:CV$35))</f>
        <v>#DIV/0!</v>
      </c>
      <c r="CW41" s="67" t="e">
        <f t="array" ref="CW41">_xlfn.STDEV.P(IF($E$5:$E$35=$E40,CW$5:CW$35))</f>
        <v>#DIV/0!</v>
      </c>
      <c r="CX41" s="67" t="e">
        <f t="array" ref="CX41">_xlfn.STDEV.P(IF($E$5:$E$35=$E40,CX$5:CX$35))</f>
        <v>#DIV/0!</v>
      </c>
      <c r="CY41" s="67" t="e">
        <f t="array" ref="CY41">_xlfn.STDEV.P(IF($E$5:$E$35=$E40,CY$5:CY$35))</f>
        <v>#DIV/0!</v>
      </c>
      <c r="CZ41" s="67" t="e">
        <f t="array" ref="CZ41">_xlfn.STDEV.P(IF($E$5:$E$35=$E40,CZ$5:CZ$35))</f>
        <v>#DIV/0!</v>
      </c>
      <c r="DA41" s="67" t="e">
        <f t="array" ref="DA41">_xlfn.STDEV.P(IF($E$5:$E$35=$E40,DA$5:DA$35))</f>
        <v>#DIV/0!</v>
      </c>
      <c r="DB41" s="67" t="e">
        <f t="array" ref="DB41">_xlfn.STDEV.P(IF($E$5:$E$35=$E40,DB$5:DB$35))</f>
        <v>#DIV/0!</v>
      </c>
      <c r="DC41" s="67" t="e">
        <f t="array" ref="DC41">_xlfn.STDEV.P(IF($E$5:$E$35=$E40,DC$5:DC$35))</f>
        <v>#DIV/0!</v>
      </c>
      <c r="DD41" s="94" t="s">
        <v>11</v>
      </c>
    </row>
    <row r="42" spans="1:119" ht="15">
      <c r="A42" s="103"/>
      <c r="E42" s="45"/>
      <c r="H42" s="45"/>
      <c r="J42" s="50"/>
      <c r="K42" s="50"/>
      <c r="N42" s="275"/>
      <c r="O42" s="275"/>
      <c r="P42" s="275"/>
      <c r="Q42" s="50"/>
      <c r="DE42" s="164"/>
      <c r="DF42" s="164"/>
      <c r="DG42" s="164"/>
      <c r="DH42" s="164"/>
      <c r="DI42" s="164"/>
      <c r="DJ42" s="164"/>
      <c r="DK42" s="164"/>
      <c r="DL42" s="164"/>
      <c r="DM42" s="164"/>
      <c r="DN42" s="164"/>
      <c r="DO42" s="164"/>
    </row>
    <row r="43" spans="1:119" ht="14.25" customHeight="1">
      <c r="A43" s="103"/>
      <c r="E43" s="108" t="str">
        <f>'5GY EBRT Groups'!C7</f>
        <v>CP-PTX</v>
      </c>
      <c r="H43" s="108" t="str">
        <f>E43</f>
        <v>CP-PTX</v>
      </c>
      <c r="I43" s="277">
        <f>AVERAGEIF($E$5:$E$35,$E43,I$5:I$35)</f>
        <v>28</v>
      </c>
      <c r="J43" s="277"/>
      <c r="K43" s="277"/>
      <c r="L43" s="277">
        <f>AVERAGEIF($E$5:$E$35,$E43,L$5:L$35)</f>
        <v>183.12216000000001</v>
      </c>
      <c r="M43" s="277"/>
      <c r="N43" s="278">
        <f>AVERAGEIF($E$5:$E$35,$E43,N$5:N$35)</f>
        <v>125</v>
      </c>
      <c r="O43" s="278">
        <f>AVERAGEIF($E$5:$E$35,$E43,O$5:O$35)</f>
        <v>11.18209317434661</v>
      </c>
      <c r="P43" s="278">
        <f>AVERAGEIF($E$5:$E$35,$E43,P$5:P$35)</f>
        <v>1.7717763932001314</v>
      </c>
      <c r="Q43" s="277" t="e">
        <f>AVERAGEIF($E$5:$E$35,$E43,Q$5:Q$35)</f>
        <v>#DIV/0!</v>
      </c>
      <c r="R43" s="65" t="s">
        <v>9</v>
      </c>
      <c r="S43" s="71">
        <f t="shared" ref="S43:BJ43" si="22">AVERAGEIF($E$5:$E$35,$E43,S$5:S$35)</f>
        <v>183.12216000000001</v>
      </c>
      <c r="T43" s="71">
        <f t="shared" si="22"/>
        <v>210.46774666666667</v>
      </c>
      <c r="U43" s="71">
        <f t="shared" si="22"/>
        <v>314.45812666666671</v>
      </c>
      <c r="V43" s="71">
        <f t="shared" si="22"/>
        <v>612.65827999999999</v>
      </c>
      <c r="W43" s="71">
        <f t="shared" si="22"/>
        <v>897.45612666666682</v>
      </c>
      <c r="X43" s="71">
        <f t="shared" si="22"/>
        <v>1234.5189133333333</v>
      </c>
      <c r="Y43" s="71">
        <f t="shared" si="22"/>
        <v>1630.615168</v>
      </c>
      <c r="Z43" s="71">
        <f t="shared" si="22"/>
        <v>1843.5007066666665</v>
      </c>
      <c r="AA43" s="71">
        <f t="shared" si="22"/>
        <v>1858.6802000000005</v>
      </c>
      <c r="AB43" s="71" t="e">
        <f t="shared" si="22"/>
        <v>#DIV/0!</v>
      </c>
      <c r="AC43" s="71" t="e">
        <f t="shared" si="22"/>
        <v>#DIV/0!</v>
      </c>
      <c r="AD43" s="71" t="e">
        <f t="shared" si="22"/>
        <v>#DIV/0!</v>
      </c>
      <c r="AE43" s="71" t="e">
        <f t="shared" si="22"/>
        <v>#DIV/0!</v>
      </c>
      <c r="AF43" s="71" t="e">
        <f t="shared" si="22"/>
        <v>#DIV/0!</v>
      </c>
      <c r="AG43" s="71" t="e">
        <f t="shared" si="22"/>
        <v>#DIV/0!</v>
      </c>
      <c r="AH43" s="71" t="e">
        <f t="shared" si="22"/>
        <v>#DIV/0!</v>
      </c>
      <c r="AI43" s="71" t="e">
        <f t="shared" si="22"/>
        <v>#DIV/0!</v>
      </c>
      <c r="AJ43" s="71" t="e">
        <f t="shared" si="22"/>
        <v>#DIV/0!</v>
      </c>
      <c r="AK43" s="71" t="e">
        <f t="shared" si="22"/>
        <v>#DIV/0!</v>
      </c>
      <c r="AL43" s="71" t="e">
        <f t="shared" si="22"/>
        <v>#DIV/0!</v>
      </c>
      <c r="AM43" s="71" t="e">
        <f t="shared" si="22"/>
        <v>#DIV/0!</v>
      </c>
      <c r="AN43" s="71" t="e">
        <f t="shared" si="22"/>
        <v>#DIV/0!</v>
      </c>
      <c r="AO43" s="71" t="e">
        <f t="shared" si="22"/>
        <v>#DIV/0!</v>
      </c>
      <c r="AP43" s="71" t="e">
        <f t="shared" si="22"/>
        <v>#DIV/0!</v>
      </c>
      <c r="AQ43" s="71" t="e">
        <f t="shared" si="22"/>
        <v>#DIV/0!</v>
      </c>
      <c r="AR43" s="71" t="e">
        <f t="shared" si="22"/>
        <v>#DIV/0!</v>
      </c>
      <c r="AS43" s="71" t="e">
        <f t="shared" si="22"/>
        <v>#DIV/0!</v>
      </c>
      <c r="AT43" s="71" t="e">
        <f t="shared" si="22"/>
        <v>#DIV/0!</v>
      </c>
      <c r="AU43" s="71" t="e">
        <f t="shared" si="22"/>
        <v>#DIV/0!</v>
      </c>
      <c r="AV43" s="71" t="e">
        <f t="shared" si="22"/>
        <v>#DIV/0!</v>
      </c>
      <c r="AW43" s="71" t="e">
        <f t="shared" si="22"/>
        <v>#DIV/0!</v>
      </c>
      <c r="AX43" s="71" t="e">
        <f t="shared" si="22"/>
        <v>#DIV/0!</v>
      </c>
      <c r="AY43" s="71" t="e">
        <f t="shared" si="22"/>
        <v>#DIV/0!</v>
      </c>
      <c r="AZ43" s="71" t="e">
        <f t="shared" si="22"/>
        <v>#DIV/0!</v>
      </c>
      <c r="BA43" s="71" t="e">
        <f t="shared" si="22"/>
        <v>#DIV/0!</v>
      </c>
      <c r="BB43" s="71" t="e">
        <f t="shared" si="22"/>
        <v>#DIV/0!</v>
      </c>
      <c r="BC43" s="71" t="e">
        <f t="shared" si="22"/>
        <v>#DIV/0!</v>
      </c>
      <c r="BD43" s="71" t="e">
        <f t="shared" si="22"/>
        <v>#DIV/0!</v>
      </c>
      <c r="BE43" s="71" t="e">
        <f t="shared" si="22"/>
        <v>#DIV/0!</v>
      </c>
      <c r="BF43" s="71" t="e">
        <f t="shared" si="22"/>
        <v>#DIV/0!</v>
      </c>
      <c r="BG43" s="71" t="e">
        <f t="shared" si="22"/>
        <v>#DIV/0!</v>
      </c>
      <c r="BH43" s="71" t="e">
        <f t="shared" si="22"/>
        <v>#DIV/0!</v>
      </c>
      <c r="BI43" s="71" t="e">
        <f t="shared" si="22"/>
        <v>#DIV/0!</v>
      </c>
      <c r="BJ43" s="71" t="e">
        <f t="shared" si="22"/>
        <v>#DIV/0!</v>
      </c>
      <c r="BK43" s="93" t="s">
        <v>9</v>
      </c>
      <c r="BL43" s="66">
        <f t="shared" ref="BL43:DC43" si="23">AVERAGEIF($E$5:$E$35,$E43,BL$5:BL$35)</f>
        <v>1</v>
      </c>
      <c r="BM43" s="66">
        <f t="shared" si="23"/>
        <v>1.1481418719105172</v>
      </c>
      <c r="BN43" s="66">
        <f t="shared" si="23"/>
        <v>1.7224903642510465</v>
      </c>
      <c r="BO43" s="66">
        <f t="shared" si="23"/>
        <v>3.3885354770157723</v>
      </c>
      <c r="BP43" s="66">
        <f t="shared" si="23"/>
        <v>4.9722941059140462</v>
      </c>
      <c r="BQ43" s="66">
        <f t="shared" si="23"/>
        <v>6.9191866114065057</v>
      </c>
      <c r="BR43" s="66">
        <f t="shared" si="23"/>
        <v>8.9637552890770404</v>
      </c>
      <c r="BS43" s="66">
        <f t="shared" si="23"/>
        <v>10.744131725320839</v>
      </c>
      <c r="BT43" s="66">
        <f t="shared" si="23"/>
        <v>11.240628577179018</v>
      </c>
      <c r="BU43" s="66" t="e">
        <f t="shared" si="23"/>
        <v>#DIV/0!</v>
      </c>
      <c r="BV43" s="66" t="e">
        <f t="shared" si="23"/>
        <v>#DIV/0!</v>
      </c>
      <c r="BW43" s="66" t="e">
        <f t="shared" si="23"/>
        <v>#DIV/0!</v>
      </c>
      <c r="BX43" s="66" t="e">
        <f t="shared" si="23"/>
        <v>#DIV/0!</v>
      </c>
      <c r="BY43" s="66" t="e">
        <f t="shared" si="23"/>
        <v>#DIV/0!</v>
      </c>
      <c r="BZ43" s="66" t="e">
        <f t="shared" si="23"/>
        <v>#DIV/0!</v>
      </c>
      <c r="CA43" s="66" t="e">
        <f t="shared" si="23"/>
        <v>#DIV/0!</v>
      </c>
      <c r="CB43" s="66" t="e">
        <f t="shared" si="23"/>
        <v>#DIV/0!</v>
      </c>
      <c r="CC43" s="66" t="e">
        <f t="shared" si="23"/>
        <v>#DIV/0!</v>
      </c>
      <c r="CD43" s="66" t="e">
        <f t="shared" si="23"/>
        <v>#DIV/0!</v>
      </c>
      <c r="CE43" s="66" t="e">
        <f t="shared" si="23"/>
        <v>#DIV/0!</v>
      </c>
      <c r="CF43" s="66" t="e">
        <f t="shared" si="23"/>
        <v>#DIV/0!</v>
      </c>
      <c r="CG43" s="66" t="e">
        <f t="shared" si="23"/>
        <v>#DIV/0!</v>
      </c>
      <c r="CH43" s="66" t="e">
        <f t="shared" si="23"/>
        <v>#DIV/0!</v>
      </c>
      <c r="CI43" s="66" t="e">
        <f t="shared" si="23"/>
        <v>#DIV/0!</v>
      </c>
      <c r="CJ43" s="66" t="e">
        <f t="shared" si="23"/>
        <v>#DIV/0!</v>
      </c>
      <c r="CK43" s="66" t="e">
        <f t="shared" si="23"/>
        <v>#DIV/0!</v>
      </c>
      <c r="CL43" s="66" t="e">
        <f t="shared" si="23"/>
        <v>#DIV/0!</v>
      </c>
      <c r="CM43" s="66" t="e">
        <f t="shared" si="23"/>
        <v>#DIV/0!</v>
      </c>
      <c r="CN43" s="66" t="e">
        <f t="shared" si="23"/>
        <v>#DIV/0!</v>
      </c>
      <c r="CO43" s="66" t="e">
        <f t="shared" si="23"/>
        <v>#DIV/0!</v>
      </c>
      <c r="CP43" s="66" t="e">
        <f t="shared" si="23"/>
        <v>#DIV/0!</v>
      </c>
      <c r="CQ43" s="66" t="e">
        <f t="shared" si="23"/>
        <v>#DIV/0!</v>
      </c>
      <c r="CR43" s="66" t="e">
        <f t="shared" si="23"/>
        <v>#DIV/0!</v>
      </c>
      <c r="CS43" s="66" t="e">
        <f t="shared" si="23"/>
        <v>#DIV/0!</v>
      </c>
      <c r="CT43" s="66" t="e">
        <f t="shared" si="23"/>
        <v>#DIV/0!</v>
      </c>
      <c r="CU43" s="66" t="e">
        <f t="shared" si="23"/>
        <v>#DIV/0!</v>
      </c>
      <c r="CV43" s="66" t="e">
        <f t="shared" si="23"/>
        <v>#DIV/0!</v>
      </c>
      <c r="CW43" s="66" t="e">
        <f t="shared" si="23"/>
        <v>#DIV/0!</v>
      </c>
      <c r="CX43" s="66" t="e">
        <f t="shared" si="23"/>
        <v>#DIV/0!</v>
      </c>
      <c r="CY43" s="66" t="e">
        <f t="shared" si="23"/>
        <v>#DIV/0!</v>
      </c>
      <c r="CZ43" s="66" t="e">
        <f t="shared" si="23"/>
        <v>#DIV/0!</v>
      </c>
      <c r="DA43" s="66" t="e">
        <f t="shared" si="23"/>
        <v>#DIV/0!</v>
      </c>
      <c r="DB43" s="66" t="e">
        <f t="shared" si="23"/>
        <v>#DIV/0!</v>
      </c>
      <c r="DC43" s="66" t="e">
        <f t="shared" si="23"/>
        <v>#DIV/0!</v>
      </c>
      <c r="DD43" s="93" t="s">
        <v>9</v>
      </c>
      <c r="DE43" s="165"/>
      <c r="DF43" s="165"/>
      <c r="DG43" s="165"/>
      <c r="DH43" s="165"/>
      <c r="DI43" s="165"/>
      <c r="DJ43" s="165"/>
      <c r="DK43" s="165"/>
      <c r="DL43" s="165"/>
      <c r="DM43" s="165"/>
      <c r="DN43" s="165"/>
      <c r="DO43" s="150"/>
    </row>
    <row r="44" spans="1:119" ht="14.25" customHeight="1">
      <c r="A44" s="103"/>
      <c r="E44" s="83"/>
      <c r="H44" s="83"/>
      <c r="I44" s="277">
        <f t="array" ref="I44">_xlfn.STDEV.P(IF($E$5:$E$35=$E43,I$5:I$35))</f>
        <v>1.2449899597988727</v>
      </c>
      <c r="J44" s="277"/>
      <c r="K44" s="277"/>
      <c r="L44" s="277">
        <f t="array" ref="L44">_xlfn.STDEV.P(IF($E$5:$E$35=$E43,L$5:L$35))</f>
        <v>37.980515755051712</v>
      </c>
      <c r="M44" s="277"/>
      <c r="N44" s="278">
        <f t="array" ref="N44">_xlfn.STDEV.P(IF($E$5:$E$35=$E43,N$5:N$35))</f>
        <v>0</v>
      </c>
      <c r="O44" s="278">
        <f t="array" ref="O44">_xlfn.STDEV.P(IF($E$5:$E$35=$E43,O$5:O$35))</f>
        <v>0.48131703411130239</v>
      </c>
      <c r="P44" s="278">
        <f t="array" ref="P44">_xlfn.STDEV.P(IF($E$5:$E$35=$E43,P$5:P$35))</f>
        <v>0.31876721804946956</v>
      </c>
      <c r="Q44" s="277">
        <f t="array" ref="Q44">_xlfn.STDEV.P(IF($E$5:$E$35=$E43,Q$5:Q$35))</f>
        <v>0</v>
      </c>
      <c r="R44" s="65" t="s">
        <v>11</v>
      </c>
      <c r="S44" s="74">
        <f t="array" ref="S44">_xlfn.STDEV.P(IF($E$5:$E$35=$E43,S$5:S$35))</f>
        <v>37.980515755051712</v>
      </c>
      <c r="T44" s="74">
        <f t="array" ref="T44">_xlfn.STDEV.P(IF($E$5:$E$35=$E43,T$5:T$35))</f>
        <v>53.812353240004413</v>
      </c>
      <c r="U44" s="74">
        <f t="array" ref="U44">_xlfn.STDEV.P(IF($E$5:$E$35=$E43,U$5:U$35))</f>
        <v>70.643388980549915</v>
      </c>
      <c r="V44" s="74">
        <f t="array" ref="V44">_xlfn.STDEV.P(IF($E$5:$E$35=$E43,V$5:V$35))</f>
        <v>125.37242008064547</v>
      </c>
      <c r="W44" s="74">
        <f t="array" ref="W44">_xlfn.STDEV.P(IF($E$5:$E$35=$E43,W$5:W$35))</f>
        <v>246.81491293400597</v>
      </c>
      <c r="X44" s="74">
        <f t="array" ref="X44">_xlfn.STDEV.P(IF($E$5:$E$35=$E43,X$5:X$35))</f>
        <v>450.65053672991888</v>
      </c>
      <c r="Y44" s="74">
        <f t="array" ref="Y44">_xlfn.STDEV.P(IF($E$5:$E$35=$E43,Y$5:Y$35))</f>
        <v>685.09169484847723</v>
      </c>
      <c r="Z44" s="74">
        <f t="array" ref="Z44">_xlfn.STDEV.P(IF($E$5:$E$35=$E43,Z$5:Z$35))</f>
        <v>940.38221293906827</v>
      </c>
      <c r="AA44" s="74">
        <f t="array" ref="AA44">_xlfn.STDEV.P(IF($E$5:$E$35=$E43,AA$5:AA$35))</f>
        <v>692.68921260548427</v>
      </c>
      <c r="AB44" s="74">
        <f t="array" ref="AB44">_xlfn.STDEV.P(IF($E$5:$E$35=$E43,AB$5:AB$35))</f>
        <v>0</v>
      </c>
      <c r="AC44" s="74">
        <f t="array" ref="AC44">_xlfn.STDEV.P(IF($E$5:$E$35=$E43,AC$5:AC$35))</f>
        <v>0</v>
      </c>
      <c r="AD44" s="74">
        <f t="array" ref="AD44">_xlfn.STDEV.P(IF($E$5:$E$35=$E43,AD$5:AD$35))</f>
        <v>0</v>
      </c>
      <c r="AE44" s="74">
        <f t="array" ref="AE44">_xlfn.STDEV.P(IF($E$5:$E$35=$E43,AE$5:AE$35))</f>
        <v>0</v>
      </c>
      <c r="AF44" s="74">
        <f t="array" ref="AF44">_xlfn.STDEV.P(IF($E$5:$E$35=$E43,AF$5:AF$35))</f>
        <v>0</v>
      </c>
      <c r="AG44" s="74">
        <f t="array" ref="AG44">_xlfn.STDEV.P(IF($E$5:$E$35=$E43,AG$5:AG$35))</f>
        <v>0</v>
      </c>
      <c r="AH44" s="74">
        <f t="array" ref="AH44">_xlfn.STDEV.P(IF($E$5:$E$35=$E43,AH$5:AH$35))</f>
        <v>0</v>
      </c>
      <c r="AI44" s="74">
        <f t="array" ref="AI44">_xlfn.STDEV.P(IF($E$5:$E$35=$E43,AI$5:AI$35))</f>
        <v>0</v>
      </c>
      <c r="AJ44" s="74">
        <f t="array" ref="AJ44">_xlfn.STDEV.P(IF($E$5:$E$35=$E43,AJ$5:AJ$35))</f>
        <v>0</v>
      </c>
      <c r="AK44" s="74">
        <f t="array" ref="AK44">_xlfn.STDEV.P(IF($E$5:$E$35=$E43,AK$5:AK$35))</f>
        <v>0</v>
      </c>
      <c r="AL44" s="74">
        <f t="array" ref="AL44">_xlfn.STDEV.P(IF($E$5:$E$35=$E43,AL$5:AL$35))</f>
        <v>0</v>
      </c>
      <c r="AM44" s="74">
        <f t="array" ref="AM44">_xlfn.STDEV.P(IF($E$5:$E$35=$E43,AM$5:AM$35))</f>
        <v>0</v>
      </c>
      <c r="AN44" s="74">
        <f t="array" ref="AN44">_xlfn.STDEV.P(IF($E$5:$E$35=$E43,AN$5:AN$35))</f>
        <v>0</v>
      </c>
      <c r="AO44" s="74">
        <f t="array" ref="AO44">_xlfn.STDEV.P(IF($E$5:$E$35=$E43,AO$5:AO$35))</f>
        <v>0</v>
      </c>
      <c r="AP44" s="74">
        <f t="array" ref="AP44">_xlfn.STDEV.P(IF($E$5:$E$35=$E43,AP$5:AP$35))</f>
        <v>0</v>
      </c>
      <c r="AQ44" s="74">
        <f t="array" ref="AQ44">_xlfn.STDEV.P(IF($E$5:$E$35=$E43,AQ$5:AQ$35))</f>
        <v>0</v>
      </c>
      <c r="AR44" s="74">
        <f t="array" ref="AR44">_xlfn.STDEV.P(IF($E$5:$E$35=$E43,AR$5:AR$35))</f>
        <v>0</v>
      </c>
      <c r="AS44" s="74">
        <f t="array" ref="AS44">_xlfn.STDEV.P(IF($E$5:$E$35=$E43,AS$5:AS$35))</f>
        <v>0</v>
      </c>
      <c r="AT44" s="74">
        <f t="array" ref="AT44">_xlfn.STDEV.P(IF($E$5:$E$35=$E43,AT$5:AT$35))</f>
        <v>0</v>
      </c>
      <c r="AU44" s="74">
        <f t="array" ref="AU44">_xlfn.STDEV.P(IF($E$5:$E$35=$E43,AU$5:AU$35))</f>
        <v>0</v>
      </c>
      <c r="AV44" s="74">
        <f t="array" ref="AV44">_xlfn.STDEV.P(IF($E$5:$E$35=$E43,AV$5:AV$35))</f>
        <v>0</v>
      </c>
      <c r="AW44" s="74">
        <f t="array" ref="AW44">_xlfn.STDEV.P(IF($E$5:$E$35=$E43,AW$5:AW$35))</f>
        <v>0</v>
      </c>
      <c r="AX44" s="74">
        <f t="array" ref="AX44">_xlfn.STDEV.P(IF($E$5:$E$35=$E43,AX$5:AX$35))</f>
        <v>0</v>
      </c>
      <c r="AY44" s="74">
        <f t="array" ref="AY44">_xlfn.STDEV.P(IF($E$5:$E$35=$E43,AY$5:AY$35))</f>
        <v>0</v>
      </c>
      <c r="AZ44" s="74">
        <f t="array" ref="AZ44">_xlfn.STDEV.P(IF($E$5:$E$35=$E43,AZ$5:AZ$35))</f>
        <v>0</v>
      </c>
      <c r="BA44" s="74">
        <f t="array" ref="BA44">_xlfn.STDEV.P(IF($E$5:$E$35=$E43,BA$5:BA$35))</f>
        <v>0</v>
      </c>
      <c r="BB44" s="74">
        <f t="array" ref="BB44">_xlfn.STDEV.P(IF($E$5:$E$35=$E43,BB$5:BB$35))</f>
        <v>0</v>
      </c>
      <c r="BC44" s="74">
        <f t="array" ref="BC44">_xlfn.STDEV.P(IF($E$5:$E$35=$E43,BC$5:BC$35))</f>
        <v>0</v>
      </c>
      <c r="BD44" s="74">
        <f t="array" ref="BD44">_xlfn.STDEV.P(IF($E$5:$E$35=$E43,BD$5:BD$35))</f>
        <v>0</v>
      </c>
      <c r="BE44" s="74">
        <f t="array" ref="BE44">_xlfn.STDEV.P(IF($E$5:$E$35=$E43,BE$5:BE$35))</f>
        <v>0</v>
      </c>
      <c r="BF44" s="74">
        <f t="array" ref="BF44">_xlfn.STDEV.P(IF($E$5:$E$35=$E43,BF$5:BF$35))</f>
        <v>0</v>
      </c>
      <c r="BG44" s="74">
        <f t="array" ref="BG44">_xlfn.STDEV.P(IF($E$5:$E$35=$E43,BG$5:BG$35))</f>
        <v>0</v>
      </c>
      <c r="BH44" s="74">
        <f t="array" ref="BH44">_xlfn.STDEV.P(IF($E$5:$E$35=$E43,BH$5:BH$35))</f>
        <v>0</v>
      </c>
      <c r="BI44" s="74">
        <f t="array" ref="BI44">_xlfn.STDEV.P(IF($E$5:$E$35=$E43,BI$5:BI$35))</f>
        <v>0</v>
      </c>
      <c r="BJ44" s="74">
        <f t="array" ref="BJ44">_xlfn.STDEV.P(IF($E$5:$E$35=$E43,BJ$5:BJ$35))</f>
        <v>0</v>
      </c>
      <c r="BK44" s="94" t="s">
        <v>11</v>
      </c>
      <c r="BL44" s="67">
        <f t="array" ref="BL44">_xlfn.STDEV.P(IF($E$5:$E$35=$E43,BL$5:BL$35))</f>
        <v>1.2819751242557092E-16</v>
      </c>
      <c r="BM44" s="67">
        <f t="array" ref="BM44">_xlfn.STDEV.P(IF($E$5:$E$35=$E43,BM$5:BM$35))</f>
        <v>0.1813500440830258</v>
      </c>
      <c r="BN44" s="67">
        <f t="array" ref="BN44">_xlfn.STDEV.P(IF($E$5:$E$35=$E43,BN$5:BN$35))</f>
        <v>0.24534886864281272</v>
      </c>
      <c r="BO44" s="67">
        <f t="array" ref="BO44">_xlfn.STDEV.P(IF($E$5:$E$35=$E43,BO$5:BO$35))</f>
        <v>0.59724791556006029</v>
      </c>
      <c r="BP44" s="67">
        <f t="array" ref="BP44">_xlfn.STDEV.P(IF($E$5:$E$35=$E43,BP$5:BP$35))</f>
        <v>1.3372622725052064</v>
      </c>
      <c r="BQ44" s="67">
        <f t="array" ref="BQ44">_xlfn.STDEV.P(IF($E$5:$E$35=$E43,BQ$5:BQ$35))</f>
        <v>2.6944281777521941</v>
      </c>
      <c r="BR44" s="67">
        <f t="array" ref="BR44">_xlfn.STDEV.P(IF($E$5:$E$35=$E43,BR$5:BR$35))</f>
        <v>1.6415452502799446</v>
      </c>
      <c r="BS44" s="67">
        <f t="array" ref="BS44">_xlfn.STDEV.P(IF($E$5:$E$35=$E43,BS$5:BS$35))</f>
        <v>0.7747164414729979</v>
      </c>
      <c r="BT44" s="67">
        <f t="array" ref="BT44">_xlfn.STDEV.P(IF($E$5:$E$35=$E43,BT$5:BT$35))</f>
        <v>0</v>
      </c>
      <c r="BU44" s="67" t="e">
        <f t="array" ref="BU44">_xlfn.STDEV.P(IF($E$5:$E$35=$E43,BU$5:BU$35))</f>
        <v>#DIV/0!</v>
      </c>
      <c r="BV44" s="67" t="e">
        <f t="array" ref="BV44">_xlfn.STDEV.P(IF($E$5:$E$35=$E43,BV$5:BV$35))</f>
        <v>#DIV/0!</v>
      </c>
      <c r="BW44" s="67" t="e">
        <f t="array" ref="BW44">_xlfn.STDEV.P(IF($E$5:$E$35=$E43,BW$5:BW$35))</f>
        <v>#DIV/0!</v>
      </c>
      <c r="BX44" s="67" t="e">
        <f t="array" ref="BX44">_xlfn.STDEV.P(IF($E$5:$E$35=$E43,BX$5:BX$35))</f>
        <v>#DIV/0!</v>
      </c>
      <c r="BY44" s="67" t="e">
        <f t="array" ref="BY44">_xlfn.STDEV.P(IF($E$5:$E$35=$E43,BY$5:BY$35))</f>
        <v>#DIV/0!</v>
      </c>
      <c r="BZ44" s="67" t="e">
        <f t="array" ref="BZ44">_xlfn.STDEV.P(IF($E$5:$E$35=$E43,BZ$5:BZ$35))</f>
        <v>#DIV/0!</v>
      </c>
      <c r="CA44" s="67" t="e">
        <f t="array" ref="CA44">_xlfn.STDEV.P(IF($E$5:$E$35=$E43,CA$5:CA$35))</f>
        <v>#DIV/0!</v>
      </c>
      <c r="CB44" s="67" t="e">
        <f t="array" ref="CB44">_xlfn.STDEV.P(IF($E$5:$E$35=$E43,CB$5:CB$35))</f>
        <v>#DIV/0!</v>
      </c>
      <c r="CC44" s="67" t="e">
        <f t="array" ref="CC44">_xlfn.STDEV.P(IF($E$5:$E$35=$E43,CC$5:CC$35))</f>
        <v>#DIV/0!</v>
      </c>
      <c r="CD44" s="67" t="e">
        <f t="array" ref="CD44">_xlfn.STDEV.P(IF($E$5:$E$35=$E43,CD$5:CD$35))</f>
        <v>#DIV/0!</v>
      </c>
      <c r="CE44" s="67" t="e">
        <f t="array" ref="CE44">_xlfn.STDEV.P(IF($E$5:$E$35=$E43,CE$5:CE$35))</f>
        <v>#DIV/0!</v>
      </c>
      <c r="CF44" s="67" t="e">
        <f t="array" ref="CF44">_xlfn.STDEV.P(IF($E$5:$E$35=$E43,CF$5:CF$35))</f>
        <v>#DIV/0!</v>
      </c>
      <c r="CG44" s="67" t="e">
        <f t="array" ref="CG44">_xlfn.STDEV.P(IF($E$5:$E$35=$E43,CG$5:CG$35))</f>
        <v>#DIV/0!</v>
      </c>
      <c r="CH44" s="67" t="e">
        <f t="array" ref="CH44">_xlfn.STDEV.P(IF($E$5:$E$35=$E43,CH$5:CH$35))</f>
        <v>#DIV/0!</v>
      </c>
      <c r="CI44" s="67" t="e">
        <f t="array" ref="CI44">_xlfn.STDEV.P(IF($E$5:$E$35=$E43,CI$5:CI$35))</f>
        <v>#DIV/0!</v>
      </c>
      <c r="CJ44" s="67" t="e">
        <f t="array" ref="CJ44">_xlfn.STDEV.P(IF($E$5:$E$35=$E43,CJ$5:CJ$35))</f>
        <v>#DIV/0!</v>
      </c>
      <c r="CK44" s="67" t="e">
        <f t="array" ref="CK44">_xlfn.STDEV.P(IF($E$5:$E$35=$E43,CK$5:CK$35))</f>
        <v>#DIV/0!</v>
      </c>
      <c r="CL44" s="67" t="e">
        <f t="array" ref="CL44">_xlfn.STDEV.P(IF($E$5:$E$35=$E43,CL$5:CL$35))</f>
        <v>#DIV/0!</v>
      </c>
      <c r="CM44" s="67" t="e">
        <f t="array" ref="CM44">_xlfn.STDEV.P(IF($E$5:$E$35=$E43,CM$5:CM$35))</f>
        <v>#DIV/0!</v>
      </c>
      <c r="CN44" s="67" t="e">
        <f t="array" ref="CN44">_xlfn.STDEV.P(IF($E$5:$E$35=$E43,CN$5:CN$35))</f>
        <v>#DIV/0!</v>
      </c>
      <c r="CO44" s="67" t="e">
        <f t="array" ref="CO44">_xlfn.STDEV.P(IF($E$5:$E$35=$E43,CO$5:CO$35))</f>
        <v>#DIV/0!</v>
      </c>
      <c r="CP44" s="67" t="e">
        <f t="array" ref="CP44">_xlfn.STDEV.P(IF($E$5:$E$35=$E43,CP$5:CP$35))</f>
        <v>#DIV/0!</v>
      </c>
      <c r="CQ44" s="67" t="e">
        <f t="array" ref="CQ44">_xlfn.STDEV.P(IF($E$5:$E$35=$E43,CQ$5:CQ$35))</f>
        <v>#DIV/0!</v>
      </c>
      <c r="CR44" s="67" t="e">
        <f t="array" ref="CR44">_xlfn.STDEV.P(IF($E$5:$E$35=$E43,CR$5:CR$35))</f>
        <v>#DIV/0!</v>
      </c>
      <c r="CS44" s="67" t="e">
        <f t="array" ref="CS44">_xlfn.STDEV.P(IF($E$5:$E$35=$E43,CS$5:CS$35))</f>
        <v>#DIV/0!</v>
      </c>
      <c r="CT44" s="67" t="e">
        <f t="array" ref="CT44">_xlfn.STDEV.P(IF($E$5:$E$35=$E43,CT$5:CT$35))</f>
        <v>#DIV/0!</v>
      </c>
      <c r="CU44" s="67" t="e">
        <f t="array" ref="CU44">_xlfn.STDEV.P(IF($E$5:$E$35=$E43,CU$5:CU$35))</f>
        <v>#DIV/0!</v>
      </c>
      <c r="CV44" s="67" t="e">
        <f t="array" ref="CV44">_xlfn.STDEV.P(IF($E$5:$E$35=$E43,CV$5:CV$35))</f>
        <v>#DIV/0!</v>
      </c>
      <c r="CW44" s="67" t="e">
        <f t="array" ref="CW44">_xlfn.STDEV.P(IF($E$5:$E$35=$E43,CW$5:CW$35))</f>
        <v>#DIV/0!</v>
      </c>
      <c r="CX44" s="67" t="e">
        <f t="array" ref="CX44">_xlfn.STDEV.P(IF($E$5:$E$35=$E43,CX$5:CX$35))</f>
        <v>#DIV/0!</v>
      </c>
      <c r="CY44" s="67" t="e">
        <f t="array" ref="CY44">_xlfn.STDEV.P(IF($E$5:$E$35=$E43,CY$5:CY$35))</f>
        <v>#DIV/0!</v>
      </c>
      <c r="CZ44" s="67" t="e">
        <f t="array" ref="CZ44">_xlfn.STDEV.P(IF($E$5:$E$35=$E43,CZ$5:CZ$35))</f>
        <v>#DIV/0!</v>
      </c>
      <c r="DA44" s="67" t="e">
        <f t="array" ref="DA44">_xlfn.STDEV.P(IF($E$5:$E$35=$E43,DA$5:DA$35))</f>
        <v>#DIV/0!</v>
      </c>
      <c r="DB44" s="67" t="e">
        <f t="array" ref="DB44">_xlfn.STDEV.P(IF($E$5:$E$35=$E43,DB$5:DB$35))</f>
        <v>#DIV/0!</v>
      </c>
      <c r="DC44" s="67" t="e">
        <f t="array" ref="DC44">_xlfn.STDEV.P(IF($E$5:$E$35=$E43,DC$5:DC$35))</f>
        <v>#DIV/0!</v>
      </c>
      <c r="DD44" s="94" t="s">
        <v>11</v>
      </c>
      <c r="DE44" s="165"/>
      <c r="DF44" s="165"/>
      <c r="DG44" s="165"/>
      <c r="DH44" s="165"/>
      <c r="DI44" s="165"/>
      <c r="DJ44" s="165"/>
      <c r="DK44" s="165"/>
      <c r="DL44" s="165"/>
      <c r="DM44" s="165"/>
      <c r="DN44" s="165"/>
      <c r="DO44" s="150"/>
    </row>
    <row r="45" spans="1:119" ht="15">
      <c r="A45" s="103"/>
      <c r="E45" s="45"/>
      <c r="H45" s="45"/>
      <c r="J45" s="50"/>
      <c r="K45" s="50"/>
      <c r="N45" s="275"/>
      <c r="O45" s="275"/>
      <c r="P45" s="275"/>
      <c r="Q45" s="50"/>
      <c r="DE45" s="165"/>
      <c r="DF45" s="165"/>
      <c r="DG45" s="165"/>
      <c r="DH45" s="165"/>
      <c r="DI45" s="165"/>
      <c r="DJ45" s="165"/>
      <c r="DK45" s="165"/>
      <c r="DL45" s="165"/>
      <c r="DM45" s="165"/>
      <c r="DN45" s="165"/>
    </row>
    <row r="46" spans="1:119" ht="14.25" customHeight="1">
      <c r="A46" s="103"/>
      <c r="E46" s="108" t="str">
        <f>'5GY EBRT Groups'!C8</f>
        <v>5x 5Gy EBRT</v>
      </c>
      <c r="H46" s="108" t="str">
        <f>E46</f>
        <v>5x 5Gy EBRT</v>
      </c>
      <c r="I46" s="277">
        <f>AVERAGEIF($E$5:$E$35,$E46,I$5:I$35)</f>
        <v>28.350000000000005</v>
      </c>
      <c r="J46" s="277"/>
      <c r="K46" s="277"/>
      <c r="L46" s="277">
        <f>AVERAGEIF($E$5:$E$35,$E46,L$5:L$35)</f>
        <v>208.46098000000001</v>
      </c>
      <c r="M46" s="277"/>
      <c r="N46" s="278" t="e">
        <f>AVERAGEIF($E$5:$E$35,$E46,N$5:N$35)</f>
        <v>#DIV/0!</v>
      </c>
      <c r="O46" s="278">
        <f>AVERAGEIF($E$5:$E$35,$E46,O$5:O$35)</f>
        <v>0</v>
      </c>
      <c r="P46" s="278">
        <f>AVERAGEIF($E$5:$E$35,$E46,P$5:P$35)</f>
        <v>0</v>
      </c>
      <c r="Q46" s="277" t="e">
        <f>AVERAGEIF($E$5:$E$35,$E46,Q$5:Q$35)</f>
        <v>#DIV/0!</v>
      </c>
      <c r="R46" s="65" t="s">
        <v>9</v>
      </c>
      <c r="S46" s="71">
        <f t="shared" ref="S46:BJ46" si="24">AVERAGEIF($E$5:$E$35,$E46,S$5:S$35)</f>
        <v>208.46098000000001</v>
      </c>
      <c r="T46" s="71">
        <f t="shared" si="24"/>
        <v>264.43365</v>
      </c>
      <c r="U46" s="71">
        <f t="shared" si="24"/>
        <v>428.09</v>
      </c>
      <c r="V46" s="71">
        <f t="shared" si="24"/>
        <v>688.67603999999994</v>
      </c>
      <c r="W46" s="71">
        <f t="shared" si="24"/>
        <v>836.63014500000008</v>
      </c>
      <c r="X46" s="71">
        <f t="shared" si="24"/>
        <v>960.82109500000001</v>
      </c>
      <c r="Y46" s="71">
        <f t="shared" si="24"/>
        <v>1044.2615485714286</v>
      </c>
      <c r="Z46" s="71">
        <f t="shared" si="24"/>
        <v>1077.1833799999999</v>
      </c>
      <c r="AA46" s="71">
        <f t="shared" si="24"/>
        <v>1215.5529533333331</v>
      </c>
      <c r="AB46" s="71">
        <f t="shared" si="24"/>
        <v>1450.7274080000002</v>
      </c>
      <c r="AC46" s="71">
        <f t="shared" si="24"/>
        <v>1349.1498799999999</v>
      </c>
      <c r="AD46" s="71">
        <f t="shared" si="24"/>
        <v>1328.08104</v>
      </c>
      <c r="AE46" s="71">
        <f t="shared" si="24"/>
        <v>1153.75</v>
      </c>
      <c r="AF46" s="71">
        <f t="shared" si="24"/>
        <v>1694.615</v>
      </c>
      <c r="AG46" s="71" t="e">
        <f t="shared" si="24"/>
        <v>#DIV/0!</v>
      </c>
      <c r="AH46" s="71" t="e">
        <f t="shared" si="24"/>
        <v>#DIV/0!</v>
      </c>
      <c r="AI46" s="71" t="e">
        <f t="shared" si="24"/>
        <v>#DIV/0!</v>
      </c>
      <c r="AJ46" s="71" t="e">
        <f t="shared" si="24"/>
        <v>#DIV/0!</v>
      </c>
      <c r="AK46" s="71" t="e">
        <f t="shared" si="24"/>
        <v>#DIV/0!</v>
      </c>
      <c r="AL46" s="71" t="e">
        <f t="shared" si="24"/>
        <v>#DIV/0!</v>
      </c>
      <c r="AM46" s="71" t="e">
        <f t="shared" si="24"/>
        <v>#DIV/0!</v>
      </c>
      <c r="AN46" s="71" t="e">
        <f t="shared" si="24"/>
        <v>#DIV/0!</v>
      </c>
      <c r="AO46" s="71" t="e">
        <f t="shared" si="24"/>
        <v>#DIV/0!</v>
      </c>
      <c r="AP46" s="71" t="e">
        <f t="shared" si="24"/>
        <v>#DIV/0!</v>
      </c>
      <c r="AQ46" s="71" t="e">
        <f t="shared" si="24"/>
        <v>#DIV/0!</v>
      </c>
      <c r="AR46" s="71" t="e">
        <f t="shared" si="24"/>
        <v>#DIV/0!</v>
      </c>
      <c r="AS46" s="71" t="e">
        <f t="shared" si="24"/>
        <v>#DIV/0!</v>
      </c>
      <c r="AT46" s="71" t="e">
        <f t="shared" si="24"/>
        <v>#DIV/0!</v>
      </c>
      <c r="AU46" s="71" t="e">
        <f t="shared" si="24"/>
        <v>#DIV/0!</v>
      </c>
      <c r="AV46" s="71" t="e">
        <f t="shared" si="24"/>
        <v>#DIV/0!</v>
      </c>
      <c r="AW46" s="71" t="e">
        <f t="shared" si="24"/>
        <v>#DIV/0!</v>
      </c>
      <c r="AX46" s="71" t="e">
        <f t="shared" si="24"/>
        <v>#DIV/0!</v>
      </c>
      <c r="AY46" s="71" t="e">
        <f t="shared" si="24"/>
        <v>#DIV/0!</v>
      </c>
      <c r="AZ46" s="71" t="e">
        <f t="shared" si="24"/>
        <v>#DIV/0!</v>
      </c>
      <c r="BA46" s="71" t="e">
        <f t="shared" si="24"/>
        <v>#DIV/0!</v>
      </c>
      <c r="BB46" s="71" t="e">
        <f t="shared" si="24"/>
        <v>#DIV/0!</v>
      </c>
      <c r="BC46" s="71" t="e">
        <f t="shared" si="24"/>
        <v>#DIV/0!</v>
      </c>
      <c r="BD46" s="71" t="e">
        <f t="shared" si="24"/>
        <v>#DIV/0!</v>
      </c>
      <c r="BE46" s="71" t="e">
        <f t="shared" si="24"/>
        <v>#DIV/0!</v>
      </c>
      <c r="BF46" s="71" t="e">
        <f t="shared" si="24"/>
        <v>#DIV/0!</v>
      </c>
      <c r="BG46" s="71" t="e">
        <f t="shared" si="24"/>
        <v>#DIV/0!</v>
      </c>
      <c r="BH46" s="71" t="e">
        <f t="shared" si="24"/>
        <v>#DIV/0!</v>
      </c>
      <c r="BI46" s="71" t="e">
        <f t="shared" si="24"/>
        <v>#DIV/0!</v>
      </c>
      <c r="BJ46" s="71" t="e">
        <f t="shared" si="24"/>
        <v>#DIV/0!</v>
      </c>
      <c r="BK46" s="93" t="s">
        <v>9</v>
      </c>
      <c r="BL46" s="66">
        <f t="shared" ref="BL46:DC46" si="25">AVERAGEIF($E$5:$E$35,$E46,BL$5:BL$35)</f>
        <v>1</v>
      </c>
      <c r="BM46" s="66">
        <f t="shared" si="25"/>
        <v>1.3160918993467405</v>
      </c>
      <c r="BN46" s="66">
        <f t="shared" si="25"/>
        <v>2.139711518050178</v>
      </c>
      <c r="BO46" s="66">
        <f t="shared" si="25"/>
        <v>3.5206934105475285</v>
      </c>
      <c r="BP46" s="66">
        <f t="shared" si="25"/>
        <v>4.391717589201023</v>
      </c>
      <c r="BQ46" s="66">
        <f t="shared" si="25"/>
        <v>5.0036024407566497</v>
      </c>
      <c r="BR46" s="66">
        <f t="shared" si="25"/>
        <v>5.0294364423260776</v>
      </c>
      <c r="BS46" s="66">
        <f t="shared" si="25"/>
        <v>5.1674777135865204</v>
      </c>
      <c r="BT46" s="66">
        <f t="shared" si="25"/>
        <v>5.8015495550986431</v>
      </c>
      <c r="BU46" s="66">
        <f t="shared" si="25"/>
        <v>7.0869235120907295</v>
      </c>
      <c r="BV46" s="66">
        <f t="shared" si="25"/>
        <v>6.6090177441241096</v>
      </c>
      <c r="BW46" s="66">
        <f t="shared" si="25"/>
        <v>7.355250966635011</v>
      </c>
      <c r="BX46" s="66">
        <f t="shared" si="25"/>
        <v>11.054836973852041</v>
      </c>
      <c r="BY46" s="66">
        <f t="shared" si="25"/>
        <v>16.237219985650512</v>
      </c>
      <c r="BZ46" s="66" t="e">
        <f t="shared" si="25"/>
        <v>#DIV/0!</v>
      </c>
      <c r="CA46" s="66" t="e">
        <f t="shared" si="25"/>
        <v>#DIV/0!</v>
      </c>
      <c r="CB46" s="66" t="e">
        <f t="shared" si="25"/>
        <v>#DIV/0!</v>
      </c>
      <c r="CC46" s="66" t="e">
        <f t="shared" si="25"/>
        <v>#DIV/0!</v>
      </c>
      <c r="CD46" s="66" t="e">
        <f t="shared" si="25"/>
        <v>#DIV/0!</v>
      </c>
      <c r="CE46" s="66" t="e">
        <f t="shared" si="25"/>
        <v>#DIV/0!</v>
      </c>
      <c r="CF46" s="66" t="e">
        <f t="shared" si="25"/>
        <v>#DIV/0!</v>
      </c>
      <c r="CG46" s="66" t="e">
        <f t="shared" si="25"/>
        <v>#DIV/0!</v>
      </c>
      <c r="CH46" s="66" t="e">
        <f t="shared" si="25"/>
        <v>#DIV/0!</v>
      </c>
      <c r="CI46" s="66" t="e">
        <f t="shared" si="25"/>
        <v>#DIV/0!</v>
      </c>
      <c r="CJ46" s="66" t="e">
        <f t="shared" si="25"/>
        <v>#DIV/0!</v>
      </c>
      <c r="CK46" s="66" t="e">
        <f t="shared" si="25"/>
        <v>#DIV/0!</v>
      </c>
      <c r="CL46" s="66" t="e">
        <f t="shared" si="25"/>
        <v>#DIV/0!</v>
      </c>
      <c r="CM46" s="66" t="e">
        <f t="shared" si="25"/>
        <v>#DIV/0!</v>
      </c>
      <c r="CN46" s="66" t="e">
        <f t="shared" si="25"/>
        <v>#DIV/0!</v>
      </c>
      <c r="CO46" s="66" t="e">
        <f t="shared" si="25"/>
        <v>#DIV/0!</v>
      </c>
      <c r="CP46" s="66" t="e">
        <f t="shared" si="25"/>
        <v>#DIV/0!</v>
      </c>
      <c r="CQ46" s="66" t="e">
        <f t="shared" si="25"/>
        <v>#DIV/0!</v>
      </c>
      <c r="CR46" s="66" t="e">
        <f t="shared" si="25"/>
        <v>#DIV/0!</v>
      </c>
      <c r="CS46" s="66" t="e">
        <f t="shared" si="25"/>
        <v>#DIV/0!</v>
      </c>
      <c r="CT46" s="66" t="e">
        <f t="shared" si="25"/>
        <v>#DIV/0!</v>
      </c>
      <c r="CU46" s="66" t="e">
        <f t="shared" si="25"/>
        <v>#DIV/0!</v>
      </c>
      <c r="CV46" s="66" t="e">
        <f t="shared" si="25"/>
        <v>#DIV/0!</v>
      </c>
      <c r="CW46" s="66" t="e">
        <f t="shared" si="25"/>
        <v>#DIV/0!</v>
      </c>
      <c r="CX46" s="66" t="e">
        <f t="shared" si="25"/>
        <v>#DIV/0!</v>
      </c>
      <c r="CY46" s="66" t="e">
        <f t="shared" si="25"/>
        <v>#DIV/0!</v>
      </c>
      <c r="CZ46" s="66" t="e">
        <f t="shared" si="25"/>
        <v>#DIV/0!</v>
      </c>
      <c r="DA46" s="66" t="e">
        <f t="shared" si="25"/>
        <v>#DIV/0!</v>
      </c>
      <c r="DB46" s="66" t="e">
        <f t="shared" si="25"/>
        <v>#DIV/0!</v>
      </c>
      <c r="DC46" s="66" t="e">
        <f t="shared" si="25"/>
        <v>#DIV/0!</v>
      </c>
      <c r="DD46" s="93" t="s">
        <v>9</v>
      </c>
      <c r="DE46" s="165"/>
      <c r="DF46" s="165"/>
      <c r="DG46" s="165"/>
      <c r="DH46" s="165"/>
      <c r="DI46" s="165"/>
      <c r="DJ46" s="165"/>
      <c r="DK46" s="165"/>
      <c r="DL46" s="165"/>
      <c r="DM46" s="165"/>
      <c r="DN46" s="165"/>
      <c r="DO46" s="150"/>
    </row>
    <row r="47" spans="1:119" ht="14.25" customHeight="1">
      <c r="A47" s="103"/>
      <c r="E47" s="83"/>
      <c r="H47" s="83"/>
      <c r="I47" s="277">
        <f t="array" ref="I47">_xlfn.STDEV.P(IF($E$5:$E$35=$E46,I$5:I$35))</f>
        <v>2.3361292772447331</v>
      </c>
      <c r="J47" s="277"/>
      <c r="K47" s="277"/>
      <c r="L47" s="277">
        <f t="array" ref="L47">_xlfn.STDEV.P(IF($E$5:$E$35=$E46,L$5:L$35))</f>
        <v>62.758147825097581</v>
      </c>
      <c r="M47" s="277"/>
      <c r="N47" s="278">
        <f t="array" ref="N47">_xlfn.STDEV.P(IF($E$5:$E$35=$E46,N$5:N$35))</f>
        <v>0</v>
      </c>
      <c r="O47" s="278">
        <f t="array" ref="O47">_xlfn.STDEV.P(IF($E$5:$E$35=$E46,O$5:O$35))</f>
        <v>0</v>
      </c>
      <c r="P47" s="278">
        <f t="array" ref="P47">_xlfn.STDEV.P(IF($E$5:$E$35=$E46,P$5:P$35))</f>
        <v>0</v>
      </c>
      <c r="Q47" s="277">
        <f t="array" ref="Q47">_xlfn.STDEV.P(IF($E$5:$E$35=$E46,Q$5:Q$35))</f>
        <v>0</v>
      </c>
      <c r="R47" s="65" t="s">
        <v>11</v>
      </c>
      <c r="S47" s="74">
        <f t="array" ref="S47">_xlfn.STDEV.P(IF($E$5:$E$35=$E46,S$5:S$35))</f>
        <v>62.758147825097581</v>
      </c>
      <c r="T47" s="74">
        <f t="array" ref="T47">_xlfn.STDEV.P(IF($E$5:$E$35=$E46,T$5:T$35))</f>
        <v>62.295655436516014</v>
      </c>
      <c r="U47" s="74">
        <f t="array" ref="U47">_xlfn.STDEV.P(IF($E$5:$E$35=$E46,U$5:U$35))</f>
        <v>146.66645251821726</v>
      </c>
      <c r="V47" s="74">
        <f t="array" ref="V47">_xlfn.STDEV.P(IF($E$5:$E$35=$E46,V$5:V$35))</f>
        <v>233.58085689329016</v>
      </c>
      <c r="W47" s="74">
        <f t="array" ref="W47">_xlfn.STDEV.P(IF($E$5:$E$35=$E46,W$5:W$35))</f>
        <v>280.5903245275374</v>
      </c>
      <c r="X47" s="74">
        <f t="array" ref="X47">_xlfn.STDEV.P(IF($E$5:$E$35=$E46,X$5:X$35))</f>
        <v>351.07265122785975</v>
      </c>
      <c r="Y47" s="74">
        <f t="array" ref="Y47">_xlfn.STDEV.P(IF($E$5:$E$35=$E46,Y$5:Y$35))</f>
        <v>541.35021978445491</v>
      </c>
      <c r="Z47" s="74">
        <f t="array" ref="Z47">_xlfn.STDEV.P(IF($E$5:$E$35=$E46,Z$5:Z$35))</f>
        <v>553.35694346764592</v>
      </c>
      <c r="AA47" s="74">
        <f t="array" ref="AA47">_xlfn.STDEV.P(IF($E$5:$E$35=$E46,AA$5:AA$35))</f>
        <v>618.31846963918201</v>
      </c>
      <c r="AB47" s="74">
        <f t="array" ref="AB47">_xlfn.STDEV.P(IF($E$5:$E$35=$E46,AB$5:AB$35))</f>
        <v>760.44698896254158</v>
      </c>
      <c r="AC47" s="74">
        <f t="array" ref="AC47">_xlfn.STDEV.P(IF($E$5:$E$35=$E46,AC$5:AC$35))</f>
        <v>689.78207681806919</v>
      </c>
      <c r="AD47" s="74">
        <f t="array" ref="AD47">_xlfn.STDEV.P(IF($E$5:$E$35=$E46,AD$5:AD$35))</f>
        <v>604.90396397665347</v>
      </c>
      <c r="AE47" s="74">
        <f t="array" ref="AE47">_xlfn.STDEV.P(IF($E$5:$E$35=$E46,AE$5:AE$35))</f>
        <v>381.56694689259643</v>
      </c>
      <c r="AF47" s="74">
        <f t="array" ref="AF47">_xlfn.STDEV.P(IF($E$5:$E$35=$E46,AF$5:AF$35))</f>
        <v>560.4412322499652</v>
      </c>
      <c r="AG47" s="74">
        <f t="array" ref="AG47">_xlfn.STDEV.P(IF($E$5:$E$35=$E46,AG$5:AG$35))</f>
        <v>0</v>
      </c>
      <c r="AH47" s="74">
        <f t="array" ref="AH47">_xlfn.STDEV.P(IF($E$5:$E$35=$E46,AH$5:AH$35))</f>
        <v>0</v>
      </c>
      <c r="AI47" s="74">
        <f t="array" ref="AI47">_xlfn.STDEV.P(IF($E$5:$E$35=$E46,AI$5:AI$35))</f>
        <v>0</v>
      </c>
      <c r="AJ47" s="74">
        <f t="array" ref="AJ47">_xlfn.STDEV.P(IF($E$5:$E$35=$E46,AJ$5:AJ$35))</f>
        <v>0</v>
      </c>
      <c r="AK47" s="74">
        <f t="array" ref="AK47">_xlfn.STDEV.P(IF($E$5:$E$35=$E46,AK$5:AK$35))</f>
        <v>0</v>
      </c>
      <c r="AL47" s="74">
        <f t="array" ref="AL47">_xlfn.STDEV.P(IF($E$5:$E$35=$E46,AL$5:AL$35))</f>
        <v>0</v>
      </c>
      <c r="AM47" s="74">
        <f t="array" ref="AM47">_xlfn.STDEV.P(IF($E$5:$E$35=$E46,AM$5:AM$35))</f>
        <v>0</v>
      </c>
      <c r="AN47" s="74">
        <f t="array" ref="AN47">_xlfn.STDEV.P(IF($E$5:$E$35=$E46,AN$5:AN$35))</f>
        <v>0</v>
      </c>
      <c r="AO47" s="74">
        <f t="array" ref="AO47">_xlfn.STDEV.P(IF($E$5:$E$35=$E46,AO$5:AO$35))</f>
        <v>0</v>
      </c>
      <c r="AP47" s="74">
        <f t="array" ref="AP47">_xlfn.STDEV.P(IF($E$5:$E$35=$E46,AP$5:AP$35))</f>
        <v>0</v>
      </c>
      <c r="AQ47" s="74">
        <f t="array" ref="AQ47">_xlfn.STDEV.P(IF($E$5:$E$35=$E46,AQ$5:AQ$35))</f>
        <v>0</v>
      </c>
      <c r="AR47" s="74">
        <f t="array" ref="AR47">_xlfn.STDEV.P(IF($E$5:$E$35=$E46,AR$5:AR$35))</f>
        <v>0</v>
      </c>
      <c r="AS47" s="74">
        <f t="array" ref="AS47">_xlfn.STDEV.P(IF($E$5:$E$35=$E46,AS$5:AS$35))</f>
        <v>0</v>
      </c>
      <c r="AT47" s="74">
        <f t="array" ref="AT47">_xlfn.STDEV.P(IF($E$5:$E$35=$E46,AT$5:AT$35))</f>
        <v>0</v>
      </c>
      <c r="AU47" s="74">
        <f t="array" ref="AU47">_xlfn.STDEV.P(IF($E$5:$E$35=$E46,AU$5:AU$35))</f>
        <v>0</v>
      </c>
      <c r="AV47" s="74">
        <f t="array" ref="AV47">_xlfn.STDEV.P(IF($E$5:$E$35=$E46,AV$5:AV$35))</f>
        <v>0</v>
      </c>
      <c r="AW47" s="74">
        <f t="array" ref="AW47">_xlfn.STDEV.P(IF($E$5:$E$35=$E46,AW$5:AW$35))</f>
        <v>0</v>
      </c>
      <c r="AX47" s="74">
        <f t="array" ref="AX47">_xlfn.STDEV.P(IF($E$5:$E$35=$E46,AX$5:AX$35))</f>
        <v>0</v>
      </c>
      <c r="AY47" s="74">
        <f t="array" ref="AY47">_xlfn.STDEV.P(IF($E$5:$E$35=$E46,AY$5:AY$35))</f>
        <v>0</v>
      </c>
      <c r="AZ47" s="74">
        <f t="array" ref="AZ47">_xlfn.STDEV.P(IF($E$5:$E$35=$E46,AZ$5:AZ$35))</f>
        <v>0</v>
      </c>
      <c r="BA47" s="74">
        <f t="array" ref="BA47">_xlfn.STDEV.P(IF($E$5:$E$35=$E46,BA$5:BA$35))</f>
        <v>0</v>
      </c>
      <c r="BB47" s="74">
        <f t="array" ref="BB47">_xlfn.STDEV.P(IF($E$5:$E$35=$E46,BB$5:BB$35))</f>
        <v>0</v>
      </c>
      <c r="BC47" s="74">
        <f t="array" ref="BC47">_xlfn.STDEV.P(IF($E$5:$E$35=$E46,BC$5:BC$35))</f>
        <v>0</v>
      </c>
      <c r="BD47" s="74">
        <f t="array" ref="BD47">_xlfn.STDEV.P(IF($E$5:$E$35=$E46,BD$5:BD$35))</f>
        <v>0</v>
      </c>
      <c r="BE47" s="74">
        <f t="array" ref="BE47">_xlfn.STDEV.P(IF($E$5:$E$35=$E46,BE$5:BE$35))</f>
        <v>0</v>
      </c>
      <c r="BF47" s="74">
        <f t="array" ref="BF47">_xlfn.STDEV.P(IF($E$5:$E$35=$E46,BF$5:BF$35))</f>
        <v>0</v>
      </c>
      <c r="BG47" s="74">
        <f t="array" ref="BG47">_xlfn.STDEV.P(IF($E$5:$E$35=$E46,BG$5:BG$35))</f>
        <v>0</v>
      </c>
      <c r="BH47" s="74">
        <f t="array" ref="BH47">_xlfn.STDEV.P(IF($E$5:$E$35=$E46,BH$5:BH$35))</f>
        <v>0</v>
      </c>
      <c r="BI47" s="74">
        <f t="array" ref="BI47">_xlfn.STDEV.P(IF($E$5:$E$35=$E46,BI$5:BI$35))</f>
        <v>0</v>
      </c>
      <c r="BJ47" s="74">
        <f t="array" ref="BJ47">_xlfn.STDEV.P(IF($E$5:$E$35=$E46,BJ$5:BJ$35))</f>
        <v>0</v>
      </c>
      <c r="BK47" s="94" t="s">
        <v>11</v>
      </c>
      <c r="BL47" s="67">
        <f t="array" ref="BL47">_xlfn.STDEV.P(IF($E$5:$E$35=$E46,BL$5:BL$35))</f>
        <v>7.8504622934188758E-17</v>
      </c>
      <c r="BM47" s="67">
        <f t="array" ref="BM47">_xlfn.STDEV.P(IF($E$5:$E$35=$E46,BM$5:BM$35))</f>
        <v>0.25766150636562268</v>
      </c>
      <c r="BN47" s="67">
        <f t="array" ref="BN47">_xlfn.STDEV.P(IF($E$5:$E$35=$E46,BN$5:BN$35))</f>
        <v>0.77271138860021871</v>
      </c>
      <c r="BO47" s="67">
        <f t="array" ref="BO47">_xlfn.STDEV.P(IF($E$5:$E$35=$E46,BO$5:BO$35))</f>
        <v>1.4555714077442585</v>
      </c>
      <c r="BP47" s="67">
        <f t="array" ref="BP47">_xlfn.STDEV.P(IF($E$5:$E$35=$E46,BP$5:BP$35))</f>
        <v>2.1280948539369438</v>
      </c>
      <c r="BQ47" s="67">
        <f t="array" ref="BQ47">_xlfn.STDEV.P(IF($E$5:$E$35=$E46,BQ$5:BQ$35))</f>
        <v>2.5850475958548231</v>
      </c>
      <c r="BR47" s="67">
        <f t="array" ref="BR47">_xlfn.STDEV.P(IF($E$5:$E$35=$E46,BR$5:BR$35))</f>
        <v>2.1687771333966306</v>
      </c>
      <c r="BS47" s="67">
        <f t="array" ref="BS47">_xlfn.STDEV.P(IF($E$5:$E$35=$E46,BS$5:BS$35))</f>
        <v>1.7448543786099964</v>
      </c>
      <c r="BT47" s="67">
        <f t="array" ref="BT47">_xlfn.STDEV.P(IF($E$5:$E$35=$E46,BT$5:BT$35))</f>
        <v>1.8712636652655035</v>
      </c>
      <c r="BU47" s="67">
        <f t="array" ref="BU47">_xlfn.STDEV.P(IF($E$5:$E$35=$E46,BU$5:BU$35))</f>
        <v>2.1836333377964339</v>
      </c>
      <c r="BV47" s="67">
        <f t="array" ref="BV47">_xlfn.STDEV.P(IF($E$5:$E$35=$E46,BV$5:BV$35))</f>
        <v>1.1950977308659909</v>
      </c>
      <c r="BW47" s="67">
        <f t="array" ref="BW47">_xlfn.STDEV.P(IF($E$5:$E$35=$E46,BW$5:BW$35))</f>
        <v>1.7747912846405023</v>
      </c>
      <c r="BX47" s="67">
        <f t="array" ref="BX47">_xlfn.STDEV.P(IF($E$5:$E$35=$E46,BX$5:BX$35))</f>
        <v>0</v>
      </c>
      <c r="BY47" s="67">
        <f t="array" ref="BY47">_xlfn.STDEV.P(IF($E$5:$E$35=$E46,BY$5:BY$35))</f>
        <v>0</v>
      </c>
      <c r="BZ47" s="67" t="e">
        <f t="array" ref="BZ47">_xlfn.STDEV.P(IF($E$5:$E$35=$E46,BZ$5:BZ$35))</f>
        <v>#DIV/0!</v>
      </c>
      <c r="CA47" s="67" t="e">
        <f t="array" ref="CA47">_xlfn.STDEV.P(IF($E$5:$E$35=$E46,CA$5:CA$35))</f>
        <v>#DIV/0!</v>
      </c>
      <c r="CB47" s="67" t="e">
        <f t="array" ref="CB47">_xlfn.STDEV.P(IF($E$5:$E$35=$E46,CB$5:CB$35))</f>
        <v>#DIV/0!</v>
      </c>
      <c r="CC47" s="67" t="e">
        <f t="array" ref="CC47">_xlfn.STDEV.P(IF($E$5:$E$35=$E46,CC$5:CC$35))</f>
        <v>#DIV/0!</v>
      </c>
      <c r="CD47" s="67" t="e">
        <f t="array" ref="CD47">_xlfn.STDEV.P(IF($E$5:$E$35=$E46,CD$5:CD$35))</f>
        <v>#DIV/0!</v>
      </c>
      <c r="CE47" s="67" t="e">
        <f t="array" ref="CE47">_xlfn.STDEV.P(IF($E$5:$E$35=$E46,CE$5:CE$35))</f>
        <v>#DIV/0!</v>
      </c>
      <c r="CF47" s="67" t="e">
        <f t="array" ref="CF47">_xlfn.STDEV.P(IF($E$5:$E$35=$E46,CF$5:CF$35))</f>
        <v>#DIV/0!</v>
      </c>
      <c r="CG47" s="67" t="e">
        <f t="array" ref="CG47">_xlfn.STDEV.P(IF($E$5:$E$35=$E46,CG$5:CG$35))</f>
        <v>#DIV/0!</v>
      </c>
      <c r="CH47" s="67" t="e">
        <f t="array" ref="CH47">_xlfn.STDEV.P(IF($E$5:$E$35=$E46,CH$5:CH$35))</f>
        <v>#DIV/0!</v>
      </c>
      <c r="CI47" s="67" t="e">
        <f t="array" ref="CI47">_xlfn.STDEV.P(IF($E$5:$E$35=$E46,CI$5:CI$35))</f>
        <v>#DIV/0!</v>
      </c>
      <c r="CJ47" s="67" t="e">
        <f t="array" ref="CJ47">_xlfn.STDEV.P(IF($E$5:$E$35=$E46,CJ$5:CJ$35))</f>
        <v>#DIV/0!</v>
      </c>
      <c r="CK47" s="67" t="e">
        <f t="array" ref="CK47">_xlfn.STDEV.P(IF($E$5:$E$35=$E46,CK$5:CK$35))</f>
        <v>#DIV/0!</v>
      </c>
      <c r="CL47" s="67" t="e">
        <f t="array" ref="CL47">_xlfn.STDEV.P(IF($E$5:$E$35=$E46,CL$5:CL$35))</f>
        <v>#DIV/0!</v>
      </c>
      <c r="CM47" s="67" t="e">
        <f t="array" ref="CM47">_xlfn.STDEV.P(IF($E$5:$E$35=$E46,CM$5:CM$35))</f>
        <v>#DIV/0!</v>
      </c>
      <c r="CN47" s="67" t="e">
        <f t="array" ref="CN47">_xlfn.STDEV.P(IF($E$5:$E$35=$E46,CN$5:CN$35))</f>
        <v>#DIV/0!</v>
      </c>
      <c r="CO47" s="67" t="e">
        <f t="array" ref="CO47">_xlfn.STDEV.P(IF($E$5:$E$35=$E46,CO$5:CO$35))</f>
        <v>#DIV/0!</v>
      </c>
      <c r="CP47" s="67" t="e">
        <f t="array" ref="CP47">_xlfn.STDEV.P(IF($E$5:$E$35=$E46,CP$5:CP$35))</f>
        <v>#DIV/0!</v>
      </c>
      <c r="CQ47" s="67" t="e">
        <f t="array" ref="CQ47">_xlfn.STDEV.P(IF($E$5:$E$35=$E46,CQ$5:CQ$35))</f>
        <v>#DIV/0!</v>
      </c>
      <c r="CR47" s="67" t="e">
        <f t="array" ref="CR47">_xlfn.STDEV.P(IF($E$5:$E$35=$E46,CR$5:CR$35))</f>
        <v>#DIV/0!</v>
      </c>
      <c r="CS47" s="67" t="e">
        <f t="array" ref="CS47">_xlfn.STDEV.P(IF($E$5:$E$35=$E46,CS$5:CS$35))</f>
        <v>#DIV/0!</v>
      </c>
      <c r="CT47" s="67" t="e">
        <f t="array" ref="CT47">_xlfn.STDEV.P(IF($E$5:$E$35=$E46,CT$5:CT$35))</f>
        <v>#DIV/0!</v>
      </c>
      <c r="CU47" s="67" t="e">
        <f t="array" ref="CU47">_xlfn.STDEV.P(IF($E$5:$E$35=$E46,CU$5:CU$35))</f>
        <v>#DIV/0!</v>
      </c>
      <c r="CV47" s="67" t="e">
        <f t="array" ref="CV47">_xlfn.STDEV.P(IF($E$5:$E$35=$E46,CV$5:CV$35))</f>
        <v>#DIV/0!</v>
      </c>
      <c r="CW47" s="67" t="e">
        <f t="array" ref="CW47">_xlfn.STDEV.P(IF($E$5:$E$35=$E46,CW$5:CW$35))</f>
        <v>#DIV/0!</v>
      </c>
      <c r="CX47" s="67" t="e">
        <f t="array" ref="CX47">_xlfn.STDEV.P(IF($E$5:$E$35=$E46,CX$5:CX$35))</f>
        <v>#DIV/0!</v>
      </c>
      <c r="CY47" s="67" t="e">
        <f t="array" ref="CY47">_xlfn.STDEV.P(IF($E$5:$E$35=$E46,CY$5:CY$35))</f>
        <v>#DIV/0!</v>
      </c>
      <c r="CZ47" s="67" t="e">
        <f t="array" ref="CZ47">_xlfn.STDEV.P(IF($E$5:$E$35=$E46,CZ$5:CZ$35))</f>
        <v>#DIV/0!</v>
      </c>
      <c r="DA47" s="67" t="e">
        <f t="array" ref="DA47">_xlfn.STDEV.P(IF($E$5:$E$35=$E46,DA$5:DA$35))</f>
        <v>#DIV/0!</v>
      </c>
      <c r="DB47" s="67" t="e">
        <f t="array" ref="DB47">_xlfn.STDEV.P(IF($E$5:$E$35=$E46,DB$5:DB$35))</f>
        <v>#DIV/0!</v>
      </c>
      <c r="DC47" s="67" t="e">
        <f t="array" ref="DC47">_xlfn.STDEV.P(IF($E$5:$E$35=$E46,DC$5:DC$35))</f>
        <v>#DIV/0!</v>
      </c>
      <c r="DD47" s="94" t="s">
        <v>11</v>
      </c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50"/>
    </row>
    <row r="48" spans="1:119" ht="15">
      <c r="A48" s="103"/>
      <c r="E48" s="45"/>
      <c r="H48" s="45"/>
      <c r="J48" s="50"/>
      <c r="K48" s="50"/>
      <c r="N48" s="275"/>
      <c r="O48" s="275"/>
      <c r="P48" s="275"/>
      <c r="Q48" s="50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</row>
    <row r="49" spans="1:119" ht="14.25" customHeight="1">
      <c r="A49" s="103"/>
      <c r="E49" s="108" t="str">
        <f>'5GY EBRT Groups'!C9</f>
        <v>5x 5Gy EBRT Combo</v>
      </c>
      <c r="H49" s="108" t="str">
        <f>E49</f>
        <v>5x 5Gy EBRT Combo</v>
      </c>
      <c r="I49" s="277">
        <f>AVERAGEIF($E$5:$E$35,$E49,I$5:I$35)</f>
        <v>27.587499999999999</v>
      </c>
      <c r="J49" s="277"/>
      <c r="K49" s="277"/>
      <c r="L49" s="277">
        <f>AVERAGEIF($E$5:$E$35,$E49,L$5:L$35)</f>
        <v>210.791425</v>
      </c>
      <c r="M49" s="277"/>
      <c r="N49" s="278">
        <f>AVERAGEIF($E$5:$E$35,$E49,N$5:N$35)</f>
        <v>125</v>
      </c>
      <c r="O49" s="278">
        <f>AVERAGEIF($E$5:$E$35,$E49,O$5:O$35)</f>
        <v>11.358920566954952</v>
      </c>
      <c r="P49" s="278">
        <f>AVERAGEIF($E$5:$E$35,$E49,P$5:P$35)</f>
        <v>1.6396954557310739</v>
      </c>
      <c r="Q49" s="277" t="e">
        <f>AVERAGEIF($E$5:$E$35,$E49,Q$5:Q$35)</f>
        <v>#DIV/0!</v>
      </c>
      <c r="R49" s="65" t="s">
        <v>9</v>
      </c>
      <c r="S49" s="71">
        <f t="shared" ref="S49:BJ49" si="26">AVERAGEIF($E$5:$E$35,$E49,S$5:S$35)</f>
        <v>210.791425</v>
      </c>
      <c r="T49" s="71">
        <f t="shared" si="26"/>
        <v>281.97494</v>
      </c>
      <c r="U49" s="71">
        <f t="shared" si="26"/>
        <v>419.01476500000007</v>
      </c>
      <c r="V49" s="71">
        <f t="shared" si="26"/>
        <v>646.43696</v>
      </c>
      <c r="W49" s="71">
        <f t="shared" si="26"/>
        <v>740.34933142857142</v>
      </c>
      <c r="X49" s="71">
        <f t="shared" si="26"/>
        <v>860.68617142857136</v>
      </c>
      <c r="Y49" s="71">
        <f t="shared" si="26"/>
        <v>891.57573142857143</v>
      </c>
      <c r="Z49" s="71">
        <f t="shared" si="26"/>
        <v>837.35348666666653</v>
      </c>
      <c r="AA49" s="71">
        <f t="shared" si="26"/>
        <v>873.18373999999994</v>
      </c>
      <c r="AB49" s="71">
        <f t="shared" si="26"/>
        <v>1189.7570533333333</v>
      </c>
      <c r="AC49" s="71">
        <f t="shared" si="26"/>
        <v>1384.7549733333335</v>
      </c>
      <c r="AD49" s="71">
        <f t="shared" si="26"/>
        <v>1430.0000000000002</v>
      </c>
      <c r="AE49" s="71">
        <f t="shared" si="26"/>
        <v>1581.8400000000001</v>
      </c>
      <c r="AF49" s="71" t="e">
        <f t="shared" si="26"/>
        <v>#DIV/0!</v>
      </c>
      <c r="AG49" s="71" t="e">
        <f t="shared" si="26"/>
        <v>#DIV/0!</v>
      </c>
      <c r="AH49" s="71" t="e">
        <f t="shared" si="26"/>
        <v>#DIV/0!</v>
      </c>
      <c r="AI49" s="71" t="e">
        <f t="shared" si="26"/>
        <v>#DIV/0!</v>
      </c>
      <c r="AJ49" s="71" t="e">
        <f t="shared" si="26"/>
        <v>#DIV/0!</v>
      </c>
      <c r="AK49" s="71" t="e">
        <f t="shared" si="26"/>
        <v>#DIV/0!</v>
      </c>
      <c r="AL49" s="71" t="e">
        <f t="shared" si="26"/>
        <v>#DIV/0!</v>
      </c>
      <c r="AM49" s="71" t="e">
        <f t="shared" si="26"/>
        <v>#DIV/0!</v>
      </c>
      <c r="AN49" s="71" t="e">
        <f t="shared" si="26"/>
        <v>#DIV/0!</v>
      </c>
      <c r="AO49" s="71" t="e">
        <f t="shared" si="26"/>
        <v>#DIV/0!</v>
      </c>
      <c r="AP49" s="71" t="e">
        <f t="shared" si="26"/>
        <v>#DIV/0!</v>
      </c>
      <c r="AQ49" s="71" t="e">
        <f t="shared" si="26"/>
        <v>#DIV/0!</v>
      </c>
      <c r="AR49" s="71" t="e">
        <f t="shared" si="26"/>
        <v>#DIV/0!</v>
      </c>
      <c r="AS49" s="71" t="e">
        <f t="shared" si="26"/>
        <v>#DIV/0!</v>
      </c>
      <c r="AT49" s="71" t="e">
        <f t="shared" si="26"/>
        <v>#DIV/0!</v>
      </c>
      <c r="AU49" s="71" t="e">
        <f t="shared" si="26"/>
        <v>#DIV/0!</v>
      </c>
      <c r="AV49" s="71" t="e">
        <f t="shared" si="26"/>
        <v>#DIV/0!</v>
      </c>
      <c r="AW49" s="71" t="e">
        <f t="shared" si="26"/>
        <v>#DIV/0!</v>
      </c>
      <c r="AX49" s="71" t="e">
        <f t="shared" si="26"/>
        <v>#DIV/0!</v>
      </c>
      <c r="AY49" s="71" t="e">
        <f t="shared" si="26"/>
        <v>#DIV/0!</v>
      </c>
      <c r="AZ49" s="71" t="e">
        <f t="shared" si="26"/>
        <v>#DIV/0!</v>
      </c>
      <c r="BA49" s="71" t="e">
        <f t="shared" si="26"/>
        <v>#DIV/0!</v>
      </c>
      <c r="BB49" s="71" t="e">
        <f t="shared" si="26"/>
        <v>#DIV/0!</v>
      </c>
      <c r="BC49" s="71" t="e">
        <f t="shared" si="26"/>
        <v>#DIV/0!</v>
      </c>
      <c r="BD49" s="71" t="e">
        <f t="shared" si="26"/>
        <v>#DIV/0!</v>
      </c>
      <c r="BE49" s="71" t="e">
        <f t="shared" si="26"/>
        <v>#DIV/0!</v>
      </c>
      <c r="BF49" s="71" t="e">
        <f t="shared" si="26"/>
        <v>#DIV/0!</v>
      </c>
      <c r="BG49" s="71" t="e">
        <f t="shared" si="26"/>
        <v>#DIV/0!</v>
      </c>
      <c r="BH49" s="71" t="e">
        <f t="shared" si="26"/>
        <v>#DIV/0!</v>
      </c>
      <c r="BI49" s="71" t="e">
        <f t="shared" si="26"/>
        <v>#DIV/0!</v>
      </c>
      <c r="BJ49" s="71" t="e">
        <f t="shared" si="26"/>
        <v>#DIV/0!</v>
      </c>
      <c r="BK49" s="93" t="s">
        <v>9</v>
      </c>
      <c r="BL49" s="66">
        <f t="shared" ref="BL49:DC49" si="27">AVERAGEIF($E$5:$E$35,$E49,BL$5:BL$35)</f>
        <v>1</v>
      </c>
      <c r="BM49" s="66">
        <f t="shared" si="27"/>
        <v>1.3755545364778006</v>
      </c>
      <c r="BN49" s="66">
        <f t="shared" si="27"/>
        <v>2.0272978325457203</v>
      </c>
      <c r="BO49" s="66">
        <f t="shared" si="27"/>
        <v>3.2004212309472551</v>
      </c>
      <c r="BP49" s="66">
        <f t="shared" si="27"/>
        <v>3.5505154813442701</v>
      </c>
      <c r="BQ49" s="66">
        <f t="shared" si="27"/>
        <v>4.1901606079441116</v>
      </c>
      <c r="BR49" s="66">
        <f t="shared" si="27"/>
        <v>4.3271936971312925</v>
      </c>
      <c r="BS49" s="66">
        <f t="shared" si="27"/>
        <v>4.7319396466632702</v>
      </c>
      <c r="BT49" s="66">
        <f t="shared" si="27"/>
        <v>4.8688018074971824</v>
      </c>
      <c r="BU49" s="66">
        <f t="shared" si="27"/>
        <v>6.8881392325806097</v>
      </c>
      <c r="BV49" s="66">
        <f t="shared" si="27"/>
        <v>7.977786502751683</v>
      </c>
      <c r="BW49" s="66">
        <f t="shared" si="27"/>
        <v>5.2319564092417288</v>
      </c>
      <c r="BX49" s="66">
        <f t="shared" si="27"/>
        <v>5.7874950534230321</v>
      </c>
      <c r="BY49" s="66" t="e">
        <f t="shared" si="27"/>
        <v>#DIV/0!</v>
      </c>
      <c r="BZ49" s="66" t="e">
        <f t="shared" si="27"/>
        <v>#DIV/0!</v>
      </c>
      <c r="CA49" s="66" t="e">
        <f t="shared" si="27"/>
        <v>#DIV/0!</v>
      </c>
      <c r="CB49" s="66" t="e">
        <f t="shared" si="27"/>
        <v>#DIV/0!</v>
      </c>
      <c r="CC49" s="66" t="e">
        <f t="shared" si="27"/>
        <v>#DIV/0!</v>
      </c>
      <c r="CD49" s="66" t="e">
        <f t="shared" si="27"/>
        <v>#DIV/0!</v>
      </c>
      <c r="CE49" s="66" t="e">
        <f t="shared" si="27"/>
        <v>#DIV/0!</v>
      </c>
      <c r="CF49" s="66" t="e">
        <f t="shared" si="27"/>
        <v>#DIV/0!</v>
      </c>
      <c r="CG49" s="66" t="e">
        <f t="shared" si="27"/>
        <v>#DIV/0!</v>
      </c>
      <c r="CH49" s="66" t="e">
        <f t="shared" si="27"/>
        <v>#DIV/0!</v>
      </c>
      <c r="CI49" s="66" t="e">
        <f t="shared" si="27"/>
        <v>#DIV/0!</v>
      </c>
      <c r="CJ49" s="66" t="e">
        <f t="shared" si="27"/>
        <v>#DIV/0!</v>
      </c>
      <c r="CK49" s="66" t="e">
        <f t="shared" si="27"/>
        <v>#DIV/0!</v>
      </c>
      <c r="CL49" s="66" t="e">
        <f t="shared" si="27"/>
        <v>#DIV/0!</v>
      </c>
      <c r="CM49" s="66" t="e">
        <f t="shared" si="27"/>
        <v>#DIV/0!</v>
      </c>
      <c r="CN49" s="66" t="e">
        <f t="shared" si="27"/>
        <v>#DIV/0!</v>
      </c>
      <c r="CO49" s="66" t="e">
        <f t="shared" si="27"/>
        <v>#DIV/0!</v>
      </c>
      <c r="CP49" s="66" t="e">
        <f t="shared" si="27"/>
        <v>#DIV/0!</v>
      </c>
      <c r="CQ49" s="66" t="e">
        <f t="shared" si="27"/>
        <v>#DIV/0!</v>
      </c>
      <c r="CR49" s="66" t="e">
        <f t="shared" si="27"/>
        <v>#DIV/0!</v>
      </c>
      <c r="CS49" s="66" t="e">
        <f t="shared" si="27"/>
        <v>#DIV/0!</v>
      </c>
      <c r="CT49" s="66" t="e">
        <f t="shared" si="27"/>
        <v>#DIV/0!</v>
      </c>
      <c r="CU49" s="66" t="e">
        <f t="shared" si="27"/>
        <v>#DIV/0!</v>
      </c>
      <c r="CV49" s="66" t="e">
        <f t="shared" si="27"/>
        <v>#DIV/0!</v>
      </c>
      <c r="CW49" s="66" t="e">
        <f t="shared" si="27"/>
        <v>#DIV/0!</v>
      </c>
      <c r="CX49" s="66" t="e">
        <f t="shared" si="27"/>
        <v>#DIV/0!</v>
      </c>
      <c r="CY49" s="66" t="e">
        <f t="shared" si="27"/>
        <v>#DIV/0!</v>
      </c>
      <c r="CZ49" s="66" t="e">
        <f t="shared" si="27"/>
        <v>#DIV/0!</v>
      </c>
      <c r="DA49" s="66" t="e">
        <f t="shared" si="27"/>
        <v>#DIV/0!</v>
      </c>
      <c r="DB49" s="66" t="e">
        <f t="shared" si="27"/>
        <v>#DIV/0!</v>
      </c>
      <c r="DC49" s="66" t="e">
        <f t="shared" si="27"/>
        <v>#DIV/0!</v>
      </c>
      <c r="DD49" s="93" t="s">
        <v>9</v>
      </c>
      <c r="DE49" s="166"/>
      <c r="DF49" s="166"/>
      <c r="DG49" s="166"/>
      <c r="DH49" s="166"/>
      <c r="DI49" s="166"/>
      <c r="DJ49" s="166"/>
      <c r="DK49" s="166"/>
      <c r="DL49" s="166"/>
      <c r="DM49" s="166"/>
      <c r="DN49" s="166"/>
      <c r="DO49" s="136"/>
    </row>
    <row r="50" spans="1:119" ht="14.25" customHeight="1">
      <c r="A50" s="103"/>
      <c r="E50" s="108"/>
      <c r="H50" s="83"/>
      <c r="I50" s="277">
        <f t="array" ref="I50">_xlfn.STDEV.P(IF($E$5:$E$35=$E49,I$5:I$35))</f>
        <v>1.481078576578569</v>
      </c>
      <c r="J50" s="277"/>
      <c r="K50" s="277"/>
      <c r="L50" s="277">
        <f t="array" ref="L50">_xlfn.STDEV.P(IF($E$5:$E$35=$E49,L$5:L$35))</f>
        <v>66.905857628999669</v>
      </c>
      <c r="M50" s="277"/>
      <c r="N50" s="278">
        <f t="array" ref="N50">_xlfn.STDEV.P(IF($E$5:$E$35=$E49,N$5:N$35))</f>
        <v>0</v>
      </c>
      <c r="O50" s="278">
        <f t="array" ref="O50">_xlfn.STDEV.P(IF($E$5:$E$35=$E49,O$5:O$35))</f>
        <v>0.58510271555885396</v>
      </c>
      <c r="P50" s="278">
        <f t="array" ref="P50">_xlfn.STDEV.P(IF($E$5:$E$35=$E49,P$5:P$35))</f>
        <v>0.52160943347939248</v>
      </c>
      <c r="Q50" s="277">
        <f t="array" ref="Q50">_xlfn.STDEV.P(IF($E$5:$E$35=$E49,Q$5:Q$35))</f>
        <v>0</v>
      </c>
      <c r="R50" s="65" t="s">
        <v>11</v>
      </c>
      <c r="S50" s="74">
        <f t="array" ref="S50">_xlfn.STDEV.P(IF($E$5:$E$35=$E49,S$5:S$35))</f>
        <v>66.905857628999669</v>
      </c>
      <c r="T50" s="74">
        <f t="array" ref="T50">_xlfn.STDEV.P(IF($E$5:$E$35=$E49,T$5:T$35))</f>
        <v>72.423127258010567</v>
      </c>
      <c r="U50" s="74">
        <f t="array" ref="U50">_xlfn.STDEV.P(IF($E$5:$E$35=$E49,U$5:U$35))</f>
        <v>121.98756199798612</v>
      </c>
      <c r="V50" s="74">
        <f t="array" ref="V50">_xlfn.STDEV.P(IF($E$5:$E$35=$E49,V$5:V$35))</f>
        <v>233.76351713848857</v>
      </c>
      <c r="W50" s="74">
        <f t="array" ref="W50">_xlfn.STDEV.P(IF($E$5:$E$35=$E49,W$5:W$35))</f>
        <v>444.26695794130939</v>
      </c>
      <c r="X50" s="74">
        <f t="array" ref="X50">_xlfn.STDEV.P(IF($E$5:$E$35=$E49,X$5:X$35))</f>
        <v>447.75869883387378</v>
      </c>
      <c r="Y50" s="74">
        <f t="array" ref="Y50">_xlfn.STDEV.P(IF($E$5:$E$35=$E49,Y$5:Y$35))</f>
        <v>497.97017675295956</v>
      </c>
      <c r="Z50" s="74">
        <f t="array" ref="Z50">_xlfn.STDEV.P(IF($E$5:$E$35=$E49,Z$5:Z$35))</f>
        <v>435.61997697345134</v>
      </c>
      <c r="AA50" s="74">
        <f t="array" ref="AA50">_xlfn.STDEV.P(IF($E$5:$E$35=$E49,AA$5:AA$35))</f>
        <v>445.82277370121926</v>
      </c>
      <c r="AB50" s="74">
        <f t="array" ref="AB50">_xlfn.STDEV.P(IF($E$5:$E$35=$E49,AB$5:AB$35))</f>
        <v>544.52968407338665</v>
      </c>
      <c r="AC50" s="74">
        <f t="array" ref="AC50">_xlfn.STDEV.P(IF($E$5:$E$35=$E49,AC$5:AC$35))</f>
        <v>643.03084549503262</v>
      </c>
      <c r="AD50" s="74">
        <f t="array" ref="AD50">_xlfn.STDEV.P(IF($E$5:$E$35=$E49,AD$5:AD$35))</f>
        <v>472.92804685279566</v>
      </c>
      <c r="AE50" s="74">
        <f t="array" ref="AE50">_xlfn.STDEV.P(IF($E$5:$E$35=$E49,AE$5:AE$35))</f>
        <v>523.14440673680156</v>
      </c>
      <c r="AF50" s="74">
        <f t="array" ref="AF50">_xlfn.STDEV.P(IF($E$5:$E$35=$E49,AF$5:AF$35))</f>
        <v>0</v>
      </c>
      <c r="AG50" s="74">
        <f t="array" ref="AG50">_xlfn.STDEV.P(IF($E$5:$E$35=$E49,AG$5:AG$35))</f>
        <v>0</v>
      </c>
      <c r="AH50" s="74">
        <f t="array" ref="AH50">_xlfn.STDEV.P(IF($E$5:$E$35=$E49,AH$5:AH$35))</f>
        <v>0</v>
      </c>
      <c r="AI50" s="74">
        <f t="array" ref="AI50">_xlfn.STDEV.P(IF($E$5:$E$35=$E49,AI$5:AI$35))</f>
        <v>0</v>
      </c>
      <c r="AJ50" s="74">
        <f t="array" ref="AJ50">_xlfn.STDEV.P(IF($E$5:$E$35=$E49,AJ$5:AJ$35))</f>
        <v>0</v>
      </c>
      <c r="AK50" s="74">
        <f t="array" ref="AK50">_xlfn.STDEV.P(IF($E$5:$E$35=$E49,AK$5:AK$35))</f>
        <v>0</v>
      </c>
      <c r="AL50" s="74">
        <f t="array" ref="AL50">_xlfn.STDEV.P(IF($E$5:$E$35=$E49,AL$5:AL$35))</f>
        <v>0</v>
      </c>
      <c r="AM50" s="74">
        <f t="array" ref="AM50">_xlfn.STDEV.P(IF($E$5:$E$35=$E49,AM$5:AM$35))</f>
        <v>0</v>
      </c>
      <c r="AN50" s="74">
        <f t="array" ref="AN50">_xlfn.STDEV.P(IF($E$5:$E$35=$E49,AN$5:AN$35))</f>
        <v>0</v>
      </c>
      <c r="AO50" s="74">
        <f t="array" ref="AO50">_xlfn.STDEV.P(IF($E$5:$E$35=$E49,AO$5:AO$35))</f>
        <v>0</v>
      </c>
      <c r="AP50" s="74">
        <f t="array" ref="AP50">_xlfn.STDEV.P(IF($E$5:$E$35=$E49,AP$5:AP$35))</f>
        <v>0</v>
      </c>
      <c r="AQ50" s="74">
        <f t="array" ref="AQ50">_xlfn.STDEV.P(IF($E$5:$E$35=$E49,AQ$5:AQ$35))</f>
        <v>0</v>
      </c>
      <c r="AR50" s="74">
        <f t="array" ref="AR50">_xlfn.STDEV.P(IF($E$5:$E$35=$E49,AR$5:AR$35))</f>
        <v>0</v>
      </c>
      <c r="AS50" s="74">
        <f t="array" ref="AS50">_xlfn.STDEV.P(IF($E$5:$E$35=$E49,AS$5:AS$35))</f>
        <v>0</v>
      </c>
      <c r="AT50" s="74">
        <f t="array" ref="AT50">_xlfn.STDEV.P(IF($E$5:$E$35=$E49,AT$5:AT$35))</f>
        <v>0</v>
      </c>
      <c r="AU50" s="74">
        <f t="array" ref="AU50">_xlfn.STDEV.P(IF($E$5:$E$35=$E49,AU$5:AU$35))</f>
        <v>0</v>
      </c>
      <c r="AV50" s="74">
        <f t="array" ref="AV50">_xlfn.STDEV.P(IF($E$5:$E$35=$E49,AV$5:AV$35))</f>
        <v>0</v>
      </c>
      <c r="AW50" s="74">
        <f t="array" ref="AW50">_xlfn.STDEV.P(IF($E$5:$E$35=$E49,AW$5:AW$35))</f>
        <v>0</v>
      </c>
      <c r="AX50" s="74">
        <f t="array" ref="AX50">_xlfn.STDEV.P(IF($E$5:$E$35=$E49,AX$5:AX$35))</f>
        <v>0</v>
      </c>
      <c r="AY50" s="74">
        <f t="array" ref="AY50">_xlfn.STDEV.P(IF($E$5:$E$35=$E49,AY$5:AY$35))</f>
        <v>0</v>
      </c>
      <c r="AZ50" s="74">
        <f t="array" ref="AZ50">_xlfn.STDEV.P(IF($E$5:$E$35=$E49,AZ$5:AZ$35))</f>
        <v>0</v>
      </c>
      <c r="BA50" s="74">
        <f t="array" ref="BA50">_xlfn.STDEV.P(IF($E$5:$E$35=$E49,BA$5:BA$35))</f>
        <v>0</v>
      </c>
      <c r="BB50" s="74">
        <f t="array" ref="BB50">_xlfn.STDEV.P(IF($E$5:$E$35=$E49,BB$5:BB$35))</f>
        <v>0</v>
      </c>
      <c r="BC50" s="74">
        <f t="array" ref="BC50">_xlfn.STDEV.P(IF($E$5:$E$35=$E49,BC$5:BC$35))</f>
        <v>0</v>
      </c>
      <c r="BD50" s="74">
        <f t="array" ref="BD50">_xlfn.STDEV.P(IF($E$5:$E$35=$E49,BD$5:BD$35))</f>
        <v>0</v>
      </c>
      <c r="BE50" s="74">
        <f t="array" ref="BE50">_xlfn.STDEV.P(IF($E$5:$E$35=$E49,BE$5:BE$35))</f>
        <v>0</v>
      </c>
      <c r="BF50" s="74">
        <f t="array" ref="BF50">_xlfn.STDEV.P(IF($E$5:$E$35=$E49,BF$5:BF$35))</f>
        <v>0</v>
      </c>
      <c r="BG50" s="74">
        <f t="array" ref="BG50">_xlfn.STDEV.P(IF($E$5:$E$35=$E49,BG$5:BG$35))</f>
        <v>0</v>
      </c>
      <c r="BH50" s="74">
        <f t="array" ref="BH50">_xlfn.STDEV.P(IF($E$5:$E$35=$E49,BH$5:BH$35))</f>
        <v>0</v>
      </c>
      <c r="BI50" s="74">
        <f t="array" ref="BI50">_xlfn.STDEV.P(IF($E$5:$E$35=$E49,BI$5:BI$35))</f>
        <v>0</v>
      </c>
      <c r="BJ50" s="74">
        <f t="array" ref="BJ50">_xlfn.STDEV.P(IF($E$5:$E$35=$E49,BJ$5:BJ$35))</f>
        <v>0</v>
      </c>
      <c r="BK50" s="94" t="s">
        <v>11</v>
      </c>
      <c r="BL50" s="67">
        <f t="array" ref="BL50">_xlfn.STDEV.P(IF($E$5:$E$35=$E49,BL$5:BL$35))</f>
        <v>3.9252311467094379E-17</v>
      </c>
      <c r="BM50" s="67">
        <f t="array" ref="BM50">_xlfn.STDEV.P(IF($E$5:$E$35=$E49,BM$5:BM$35))</f>
        <v>0.2191225131128299</v>
      </c>
      <c r="BN50" s="67">
        <f t="array" ref="BN50">_xlfn.STDEV.P(IF($E$5:$E$35=$E49,BN$5:BN$35))</f>
        <v>0.37304317303118373</v>
      </c>
      <c r="BO50" s="67">
        <f t="array" ref="BO50">_xlfn.STDEV.P(IF($E$5:$E$35=$E49,BO$5:BO$35))</f>
        <v>1.2225265952281612</v>
      </c>
      <c r="BP50" s="67">
        <f t="array" ref="BP50">_xlfn.STDEV.P(IF($E$5:$E$35=$E49,BP$5:BP$35))</f>
        <v>1.1146794382678253</v>
      </c>
      <c r="BQ50" s="67">
        <f t="array" ref="BQ50">_xlfn.STDEV.P(IF($E$5:$E$35=$E49,BQ$5:BQ$35))</f>
        <v>1.2001213830084205</v>
      </c>
      <c r="BR50" s="67">
        <f t="array" ref="BR50">_xlfn.STDEV.P(IF($E$5:$E$35=$E49,BR$5:BR$35))</f>
        <v>1.2780426279004231</v>
      </c>
      <c r="BS50" s="67">
        <f t="array" ref="BS50">_xlfn.STDEV.P(IF($E$5:$E$35=$E49,BS$5:BS$35))</f>
        <v>1.5583533355437313</v>
      </c>
      <c r="BT50" s="67">
        <f t="array" ref="BT50">_xlfn.STDEV.P(IF($E$5:$E$35=$E49,BT$5:BT$35))</f>
        <v>1.4940104236875893</v>
      </c>
      <c r="BU50" s="67">
        <f t="array" ref="BU50">_xlfn.STDEV.P(IF($E$5:$E$35=$E49,BU$5:BU$35))</f>
        <v>2.1259387222107162</v>
      </c>
      <c r="BV50" s="67">
        <f t="array" ref="BV50">_xlfn.STDEV.P(IF($E$5:$E$35=$E49,BV$5:BV$35))</f>
        <v>2.2940001292508803</v>
      </c>
      <c r="BW50" s="67">
        <f t="array" ref="BW50">_xlfn.STDEV.P(IF($E$5:$E$35=$E49,BW$5:BW$35))</f>
        <v>0</v>
      </c>
      <c r="BX50" s="67">
        <f t="array" ref="BX50">_xlfn.STDEV.P(IF($E$5:$E$35=$E49,BX$5:BX$35))</f>
        <v>0</v>
      </c>
      <c r="BY50" s="67" t="e">
        <f t="array" ref="BY50">_xlfn.STDEV.P(IF($E$5:$E$35=$E49,BY$5:BY$35))</f>
        <v>#DIV/0!</v>
      </c>
      <c r="BZ50" s="67" t="e">
        <f t="array" ref="BZ50">_xlfn.STDEV.P(IF($E$5:$E$35=$E49,BZ$5:BZ$35))</f>
        <v>#DIV/0!</v>
      </c>
      <c r="CA50" s="67" t="e">
        <f t="array" ref="CA50">_xlfn.STDEV.P(IF($E$5:$E$35=$E49,CA$5:CA$35))</f>
        <v>#DIV/0!</v>
      </c>
      <c r="CB50" s="67" t="e">
        <f t="array" ref="CB50">_xlfn.STDEV.P(IF($E$5:$E$35=$E49,CB$5:CB$35))</f>
        <v>#DIV/0!</v>
      </c>
      <c r="CC50" s="67" t="e">
        <f t="array" ref="CC50">_xlfn.STDEV.P(IF($E$5:$E$35=$E49,CC$5:CC$35))</f>
        <v>#DIV/0!</v>
      </c>
      <c r="CD50" s="67" t="e">
        <f t="array" ref="CD50">_xlfn.STDEV.P(IF($E$5:$E$35=$E49,CD$5:CD$35))</f>
        <v>#DIV/0!</v>
      </c>
      <c r="CE50" s="67" t="e">
        <f t="array" ref="CE50">_xlfn.STDEV.P(IF($E$5:$E$35=$E49,CE$5:CE$35))</f>
        <v>#DIV/0!</v>
      </c>
      <c r="CF50" s="67" t="e">
        <f t="array" ref="CF50">_xlfn.STDEV.P(IF($E$5:$E$35=$E49,CF$5:CF$35))</f>
        <v>#DIV/0!</v>
      </c>
      <c r="CG50" s="67" t="e">
        <f t="array" ref="CG50">_xlfn.STDEV.P(IF($E$5:$E$35=$E49,CG$5:CG$35))</f>
        <v>#DIV/0!</v>
      </c>
      <c r="CH50" s="67" t="e">
        <f t="array" ref="CH50">_xlfn.STDEV.P(IF($E$5:$E$35=$E49,CH$5:CH$35))</f>
        <v>#DIV/0!</v>
      </c>
      <c r="CI50" s="67" t="e">
        <f t="array" ref="CI50">_xlfn.STDEV.P(IF($E$5:$E$35=$E49,CI$5:CI$35))</f>
        <v>#DIV/0!</v>
      </c>
      <c r="CJ50" s="67" t="e">
        <f t="array" ref="CJ50">_xlfn.STDEV.P(IF($E$5:$E$35=$E49,CJ$5:CJ$35))</f>
        <v>#DIV/0!</v>
      </c>
      <c r="CK50" s="67" t="e">
        <f t="array" ref="CK50">_xlfn.STDEV.P(IF($E$5:$E$35=$E49,CK$5:CK$35))</f>
        <v>#DIV/0!</v>
      </c>
      <c r="CL50" s="67" t="e">
        <f t="array" ref="CL50">_xlfn.STDEV.P(IF($E$5:$E$35=$E49,CL$5:CL$35))</f>
        <v>#DIV/0!</v>
      </c>
      <c r="CM50" s="67" t="e">
        <f t="array" ref="CM50">_xlfn.STDEV.P(IF($E$5:$E$35=$E49,CM$5:CM$35))</f>
        <v>#DIV/0!</v>
      </c>
      <c r="CN50" s="67" t="e">
        <f t="array" ref="CN50">_xlfn.STDEV.P(IF($E$5:$E$35=$E49,CN$5:CN$35))</f>
        <v>#DIV/0!</v>
      </c>
      <c r="CO50" s="67" t="e">
        <f t="array" ref="CO50">_xlfn.STDEV.P(IF($E$5:$E$35=$E49,CO$5:CO$35))</f>
        <v>#DIV/0!</v>
      </c>
      <c r="CP50" s="67" t="e">
        <f t="array" ref="CP50">_xlfn.STDEV.P(IF($E$5:$E$35=$E49,CP$5:CP$35))</f>
        <v>#DIV/0!</v>
      </c>
      <c r="CQ50" s="67" t="e">
        <f t="array" ref="CQ50">_xlfn.STDEV.P(IF($E$5:$E$35=$E49,CQ$5:CQ$35))</f>
        <v>#DIV/0!</v>
      </c>
      <c r="CR50" s="67" t="e">
        <f t="array" ref="CR50">_xlfn.STDEV.P(IF($E$5:$E$35=$E49,CR$5:CR$35))</f>
        <v>#DIV/0!</v>
      </c>
      <c r="CS50" s="67" t="e">
        <f t="array" ref="CS50">_xlfn.STDEV.P(IF($E$5:$E$35=$E49,CS$5:CS$35))</f>
        <v>#DIV/0!</v>
      </c>
      <c r="CT50" s="67" t="e">
        <f t="array" ref="CT50">_xlfn.STDEV.P(IF($E$5:$E$35=$E49,CT$5:CT$35))</f>
        <v>#DIV/0!</v>
      </c>
      <c r="CU50" s="67" t="e">
        <f t="array" ref="CU50">_xlfn.STDEV.P(IF($E$5:$E$35=$E49,CU$5:CU$35))</f>
        <v>#DIV/0!</v>
      </c>
      <c r="CV50" s="67" t="e">
        <f t="array" ref="CV50">_xlfn.STDEV.P(IF($E$5:$E$35=$E49,CV$5:CV$35))</f>
        <v>#DIV/0!</v>
      </c>
      <c r="CW50" s="67" t="e">
        <f t="array" ref="CW50">_xlfn.STDEV.P(IF($E$5:$E$35=$E49,CW$5:CW$35))</f>
        <v>#DIV/0!</v>
      </c>
      <c r="CX50" s="67" t="e">
        <f t="array" ref="CX50">_xlfn.STDEV.P(IF($E$5:$E$35=$E49,CX$5:CX$35))</f>
        <v>#DIV/0!</v>
      </c>
      <c r="CY50" s="67" t="e">
        <f t="array" ref="CY50">_xlfn.STDEV.P(IF($E$5:$E$35=$E49,CY$5:CY$35))</f>
        <v>#DIV/0!</v>
      </c>
      <c r="CZ50" s="67" t="e">
        <f t="array" ref="CZ50">_xlfn.STDEV.P(IF($E$5:$E$35=$E49,CZ$5:CZ$35))</f>
        <v>#DIV/0!</v>
      </c>
      <c r="DA50" s="67" t="e">
        <f t="array" ref="DA50">_xlfn.STDEV.P(IF($E$5:$E$35=$E49,DA$5:DA$35))</f>
        <v>#DIV/0!</v>
      </c>
      <c r="DB50" s="67" t="e">
        <f t="array" ref="DB50">_xlfn.STDEV.P(IF($E$5:$E$35=$E49,DB$5:DB$35))</f>
        <v>#DIV/0!</v>
      </c>
      <c r="DC50" s="67" t="e">
        <f t="array" ref="DC50">_xlfn.STDEV.P(IF($E$5:$E$35=$E49,DC$5:DC$35))</f>
        <v>#DIV/0!</v>
      </c>
      <c r="DD50" s="94" t="s">
        <v>11</v>
      </c>
      <c r="DE50" s="165"/>
      <c r="DF50" s="165"/>
      <c r="DG50" s="165"/>
      <c r="DH50" s="165"/>
      <c r="DI50" s="165"/>
      <c r="DJ50" s="165"/>
      <c r="DK50" s="165"/>
      <c r="DL50" s="165"/>
      <c r="DM50" s="165"/>
      <c r="DN50" s="165"/>
    </row>
    <row r="51" spans="1:119" s="150" customFormat="1" ht="14.25" customHeight="1">
      <c r="A51" s="146"/>
      <c r="B51" s="147"/>
      <c r="C51" s="148"/>
      <c r="D51" s="147"/>
      <c r="E51" s="149"/>
      <c r="H51" s="151"/>
      <c r="I51" s="279"/>
      <c r="J51" s="279"/>
      <c r="K51" s="279"/>
      <c r="L51" s="279"/>
      <c r="M51" s="279"/>
      <c r="N51" s="280"/>
      <c r="O51" s="280"/>
      <c r="P51" s="280"/>
      <c r="Q51" s="279"/>
      <c r="R51" s="281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4"/>
      <c r="BL51" s="145"/>
      <c r="BM51" s="145"/>
      <c r="BN51" s="145"/>
      <c r="BO51" s="145"/>
      <c r="BP51" s="145"/>
      <c r="BQ51" s="145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5"/>
      <c r="CU51" s="145"/>
      <c r="CV51" s="145"/>
      <c r="CW51" s="145"/>
      <c r="CX51" s="145"/>
      <c r="CY51" s="145"/>
      <c r="CZ51" s="145"/>
      <c r="DA51" s="145"/>
      <c r="DB51" s="145"/>
      <c r="DC51" s="145"/>
      <c r="DD51" s="127" t="s">
        <v>90</v>
      </c>
      <c r="DE51" s="165"/>
      <c r="DF51" s="165"/>
      <c r="DG51" s="165"/>
      <c r="DH51" s="165"/>
      <c r="DI51" s="165"/>
      <c r="DJ51" s="165"/>
      <c r="DK51" s="165"/>
      <c r="DL51" s="165"/>
      <c r="DM51" s="165"/>
      <c r="DN51" s="165"/>
    </row>
    <row r="52" spans="1:119" s="159" customFormat="1" ht="14.25" customHeight="1">
      <c r="A52" s="155"/>
      <c r="B52" s="156"/>
      <c r="C52" s="157"/>
      <c r="D52" s="156"/>
      <c r="E52" s="158"/>
      <c r="H52" s="160"/>
      <c r="I52" s="282"/>
      <c r="J52" s="282"/>
      <c r="K52" s="282"/>
      <c r="L52" s="282"/>
      <c r="M52" s="282"/>
      <c r="N52" s="283"/>
      <c r="O52" s="283"/>
      <c r="P52" s="283"/>
      <c r="Q52" s="282"/>
      <c r="R52" s="284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63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  <c r="CG52" s="154"/>
      <c r="CH52" s="154"/>
      <c r="CI52" s="154"/>
      <c r="CJ52" s="154"/>
      <c r="CK52" s="154"/>
      <c r="CL52" s="154"/>
      <c r="CM52" s="154"/>
      <c r="CN52" s="154"/>
      <c r="CO52" s="154"/>
      <c r="CP52" s="154"/>
      <c r="CQ52" s="154"/>
      <c r="CR52" s="154"/>
      <c r="CS52" s="154"/>
      <c r="CT52" s="154"/>
      <c r="CU52" s="154"/>
      <c r="CV52" s="154"/>
      <c r="CW52" s="154"/>
      <c r="CX52" s="154"/>
      <c r="CY52" s="154"/>
      <c r="CZ52" s="154"/>
      <c r="DA52" s="154"/>
      <c r="DB52" s="154"/>
      <c r="DC52" s="154"/>
      <c r="DD52" s="285" t="s">
        <v>91</v>
      </c>
      <c r="DE52" s="165"/>
      <c r="DF52" s="165"/>
      <c r="DG52" s="165"/>
      <c r="DH52" s="165"/>
      <c r="DI52" s="165"/>
      <c r="DJ52" s="165"/>
      <c r="DK52" s="165"/>
      <c r="DL52" s="165"/>
      <c r="DM52" s="165"/>
      <c r="DN52" s="165"/>
    </row>
    <row r="53" spans="1:119" ht="15">
      <c r="A53" s="103"/>
      <c r="E53" s="108"/>
      <c r="H53" s="45"/>
      <c r="J53" s="50"/>
      <c r="K53" s="50"/>
      <c r="N53" s="275"/>
      <c r="O53" s="275"/>
      <c r="P53" s="275"/>
      <c r="Q53" s="50"/>
      <c r="DE53" s="165"/>
      <c r="DF53" s="165"/>
      <c r="DG53" s="165"/>
      <c r="DH53" s="165"/>
      <c r="DI53" s="165"/>
      <c r="DJ53" s="165"/>
      <c r="DK53" s="165"/>
      <c r="DL53" s="165"/>
      <c r="DM53" s="165"/>
      <c r="DN53" s="165"/>
    </row>
    <row r="54" spans="1:119" ht="14.25" customHeight="1">
      <c r="A54" s="103"/>
      <c r="E54" s="108" t="str">
        <f>'5GY EBRT Groups'!C10</f>
        <v>Group 5</v>
      </c>
      <c r="H54" s="108" t="str">
        <f>E54</f>
        <v>Group 5</v>
      </c>
      <c r="I54" s="277" t="e">
        <f>AVERAGEIF($E$5:$E$35,$E54,I$5:I$35)</f>
        <v>#DIV/0!</v>
      </c>
      <c r="J54" s="277"/>
      <c r="K54" s="277"/>
      <c r="L54" s="277" t="e">
        <f>AVERAGEIF($E$5:$E$35,$E54,L$5:L$35)</f>
        <v>#DIV/0!</v>
      </c>
      <c r="M54" s="277"/>
      <c r="N54" s="278" t="e">
        <f>AVERAGEIF($E$5:$E$35,$E54,N$5:N$35)</f>
        <v>#DIV/0!</v>
      </c>
      <c r="O54" s="278" t="e">
        <f>AVERAGEIF($E$5:$E$35,$E54,O$5:O$35)</f>
        <v>#DIV/0!</v>
      </c>
      <c r="P54" s="278" t="e">
        <f>AVERAGEIF($E$5:$E$35,$E54,P$5:P$35)</f>
        <v>#DIV/0!</v>
      </c>
      <c r="Q54" s="277" t="e">
        <f>AVERAGEIF($E$5:$E$35,$E54,Q$5:Q$35)</f>
        <v>#DIV/0!</v>
      </c>
      <c r="R54" s="65" t="s">
        <v>9</v>
      </c>
      <c r="S54" s="71" t="e">
        <f t="shared" ref="S54:BJ54" si="28">AVERAGEIF($E$5:$E$35,$E54,S$5:S$35)</f>
        <v>#DIV/0!</v>
      </c>
      <c r="T54" s="71" t="e">
        <f t="shared" si="28"/>
        <v>#DIV/0!</v>
      </c>
      <c r="U54" s="71" t="e">
        <f t="shared" si="28"/>
        <v>#DIV/0!</v>
      </c>
      <c r="V54" s="71" t="e">
        <f t="shared" si="28"/>
        <v>#DIV/0!</v>
      </c>
      <c r="W54" s="71" t="e">
        <f t="shared" si="28"/>
        <v>#DIV/0!</v>
      </c>
      <c r="X54" s="71" t="e">
        <f t="shared" si="28"/>
        <v>#DIV/0!</v>
      </c>
      <c r="Y54" s="71" t="e">
        <f t="shared" si="28"/>
        <v>#DIV/0!</v>
      </c>
      <c r="Z54" s="71" t="e">
        <f t="shared" si="28"/>
        <v>#DIV/0!</v>
      </c>
      <c r="AA54" s="71" t="e">
        <f t="shared" si="28"/>
        <v>#DIV/0!</v>
      </c>
      <c r="AB54" s="71" t="e">
        <f t="shared" si="28"/>
        <v>#DIV/0!</v>
      </c>
      <c r="AC54" s="71" t="e">
        <f t="shared" si="28"/>
        <v>#DIV/0!</v>
      </c>
      <c r="AD54" s="71" t="e">
        <f t="shared" si="28"/>
        <v>#DIV/0!</v>
      </c>
      <c r="AE54" s="71" t="e">
        <f t="shared" si="28"/>
        <v>#DIV/0!</v>
      </c>
      <c r="AF54" s="71" t="e">
        <f t="shared" si="28"/>
        <v>#DIV/0!</v>
      </c>
      <c r="AG54" s="71" t="e">
        <f t="shared" si="28"/>
        <v>#DIV/0!</v>
      </c>
      <c r="AH54" s="71" t="e">
        <f t="shared" si="28"/>
        <v>#DIV/0!</v>
      </c>
      <c r="AI54" s="71" t="e">
        <f t="shared" si="28"/>
        <v>#DIV/0!</v>
      </c>
      <c r="AJ54" s="71" t="e">
        <f t="shared" si="28"/>
        <v>#DIV/0!</v>
      </c>
      <c r="AK54" s="71" t="e">
        <f t="shared" si="28"/>
        <v>#DIV/0!</v>
      </c>
      <c r="AL54" s="71" t="e">
        <f t="shared" si="28"/>
        <v>#DIV/0!</v>
      </c>
      <c r="AM54" s="71" t="e">
        <f t="shared" si="28"/>
        <v>#DIV/0!</v>
      </c>
      <c r="AN54" s="71" t="e">
        <f t="shared" si="28"/>
        <v>#DIV/0!</v>
      </c>
      <c r="AO54" s="71" t="e">
        <f t="shared" si="28"/>
        <v>#DIV/0!</v>
      </c>
      <c r="AP54" s="71" t="e">
        <f t="shared" si="28"/>
        <v>#DIV/0!</v>
      </c>
      <c r="AQ54" s="71" t="e">
        <f t="shared" si="28"/>
        <v>#DIV/0!</v>
      </c>
      <c r="AR54" s="71" t="e">
        <f t="shared" si="28"/>
        <v>#DIV/0!</v>
      </c>
      <c r="AS54" s="71" t="e">
        <f t="shared" si="28"/>
        <v>#DIV/0!</v>
      </c>
      <c r="AT54" s="71" t="e">
        <f t="shared" si="28"/>
        <v>#DIV/0!</v>
      </c>
      <c r="AU54" s="71" t="e">
        <f t="shared" si="28"/>
        <v>#DIV/0!</v>
      </c>
      <c r="AV54" s="71" t="e">
        <f t="shared" si="28"/>
        <v>#DIV/0!</v>
      </c>
      <c r="AW54" s="71" t="e">
        <f t="shared" si="28"/>
        <v>#DIV/0!</v>
      </c>
      <c r="AX54" s="71" t="e">
        <f t="shared" si="28"/>
        <v>#DIV/0!</v>
      </c>
      <c r="AY54" s="71" t="e">
        <f t="shared" si="28"/>
        <v>#DIV/0!</v>
      </c>
      <c r="AZ54" s="71" t="e">
        <f t="shared" si="28"/>
        <v>#DIV/0!</v>
      </c>
      <c r="BA54" s="71" t="e">
        <f t="shared" si="28"/>
        <v>#DIV/0!</v>
      </c>
      <c r="BB54" s="71" t="e">
        <f t="shared" si="28"/>
        <v>#DIV/0!</v>
      </c>
      <c r="BC54" s="71" t="e">
        <f t="shared" si="28"/>
        <v>#DIV/0!</v>
      </c>
      <c r="BD54" s="71" t="e">
        <f t="shared" si="28"/>
        <v>#DIV/0!</v>
      </c>
      <c r="BE54" s="71" t="e">
        <f t="shared" si="28"/>
        <v>#DIV/0!</v>
      </c>
      <c r="BF54" s="71" t="e">
        <f t="shared" si="28"/>
        <v>#DIV/0!</v>
      </c>
      <c r="BG54" s="71" t="e">
        <f t="shared" si="28"/>
        <v>#DIV/0!</v>
      </c>
      <c r="BH54" s="71" t="e">
        <f t="shared" si="28"/>
        <v>#DIV/0!</v>
      </c>
      <c r="BI54" s="71" t="e">
        <f t="shared" si="28"/>
        <v>#DIV/0!</v>
      </c>
      <c r="BJ54" s="71" t="e">
        <f t="shared" si="28"/>
        <v>#DIV/0!</v>
      </c>
      <c r="BK54" s="93" t="s">
        <v>9</v>
      </c>
      <c r="BL54" s="66" t="e">
        <f t="shared" ref="BL54:DC54" si="29">AVERAGEIF($E$5:$E$35,$E54,BL$5:BL$35)</f>
        <v>#DIV/0!</v>
      </c>
      <c r="BM54" s="66" t="e">
        <f t="shared" si="29"/>
        <v>#DIV/0!</v>
      </c>
      <c r="BN54" s="66" t="e">
        <f t="shared" si="29"/>
        <v>#DIV/0!</v>
      </c>
      <c r="BO54" s="66" t="e">
        <f t="shared" si="29"/>
        <v>#DIV/0!</v>
      </c>
      <c r="BP54" s="66" t="e">
        <f t="shared" si="29"/>
        <v>#DIV/0!</v>
      </c>
      <c r="BQ54" s="66" t="e">
        <f t="shared" si="29"/>
        <v>#DIV/0!</v>
      </c>
      <c r="BR54" s="66" t="e">
        <f t="shared" si="29"/>
        <v>#DIV/0!</v>
      </c>
      <c r="BS54" s="66" t="e">
        <f t="shared" si="29"/>
        <v>#DIV/0!</v>
      </c>
      <c r="BT54" s="66" t="e">
        <f t="shared" si="29"/>
        <v>#DIV/0!</v>
      </c>
      <c r="BU54" s="66" t="e">
        <f t="shared" si="29"/>
        <v>#DIV/0!</v>
      </c>
      <c r="BV54" s="66" t="e">
        <f t="shared" si="29"/>
        <v>#DIV/0!</v>
      </c>
      <c r="BW54" s="66" t="e">
        <f t="shared" si="29"/>
        <v>#DIV/0!</v>
      </c>
      <c r="BX54" s="66" t="e">
        <f t="shared" si="29"/>
        <v>#DIV/0!</v>
      </c>
      <c r="BY54" s="66" t="e">
        <f t="shared" si="29"/>
        <v>#DIV/0!</v>
      </c>
      <c r="BZ54" s="66" t="e">
        <f t="shared" si="29"/>
        <v>#DIV/0!</v>
      </c>
      <c r="CA54" s="66" t="e">
        <f t="shared" si="29"/>
        <v>#DIV/0!</v>
      </c>
      <c r="CB54" s="66" t="e">
        <f t="shared" si="29"/>
        <v>#DIV/0!</v>
      </c>
      <c r="CC54" s="66" t="e">
        <f t="shared" si="29"/>
        <v>#DIV/0!</v>
      </c>
      <c r="CD54" s="66" t="e">
        <f t="shared" si="29"/>
        <v>#DIV/0!</v>
      </c>
      <c r="CE54" s="66" t="e">
        <f t="shared" si="29"/>
        <v>#DIV/0!</v>
      </c>
      <c r="CF54" s="66" t="e">
        <f t="shared" si="29"/>
        <v>#DIV/0!</v>
      </c>
      <c r="CG54" s="66" t="e">
        <f t="shared" si="29"/>
        <v>#DIV/0!</v>
      </c>
      <c r="CH54" s="66" t="e">
        <f t="shared" si="29"/>
        <v>#DIV/0!</v>
      </c>
      <c r="CI54" s="66" t="e">
        <f t="shared" si="29"/>
        <v>#DIV/0!</v>
      </c>
      <c r="CJ54" s="66" t="e">
        <f t="shared" si="29"/>
        <v>#DIV/0!</v>
      </c>
      <c r="CK54" s="66" t="e">
        <f t="shared" si="29"/>
        <v>#DIV/0!</v>
      </c>
      <c r="CL54" s="66" t="e">
        <f t="shared" si="29"/>
        <v>#DIV/0!</v>
      </c>
      <c r="CM54" s="66" t="e">
        <f t="shared" si="29"/>
        <v>#DIV/0!</v>
      </c>
      <c r="CN54" s="66" t="e">
        <f t="shared" si="29"/>
        <v>#DIV/0!</v>
      </c>
      <c r="CO54" s="66" t="e">
        <f t="shared" si="29"/>
        <v>#DIV/0!</v>
      </c>
      <c r="CP54" s="66" t="e">
        <f t="shared" si="29"/>
        <v>#DIV/0!</v>
      </c>
      <c r="CQ54" s="66" t="e">
        <f t="shared" si="29"/>
        <v>#DIV/0!</v>
      </c>
      <c r="CR54" s="66" t="e">
        <f t="shared" si="29"/>
        <v>#DIV/0!</v>
      </c>
      <c r="CS54" s="66" t="e">
        <f t="shared" si="29"/>
        <v>#DIV/0!</v>
      </c>
      <c r="CT54" s="66" t="e">
        <f t="shared" si="29"/>
        <v>#DIV/0!</v>
      </c>
      <c r="CU54" s="66" t="e">
        <f t="shared" si="29"/>
        <v>#DIV/0!</v>
      </c>
      <c r="CV54" s="66" t="e">
        <f t="shared" si="29"/>
        <v>#DIV/0!</v>
      </c>
      <c r="CW54" s="66" t="e">
        <f t="shared" si="29"/>
        <v>#DIV/0!</v>
      </c>
      <c r="CX54" s="66" t="e">
        <f t="shared" si="29"/>
        <v>#DIV/0!</v>
      </c>
      <c r="CY54" s="66" t="e">
        <f t="shared" si="29"/>
        <v>#DIV/0!</v>
      </c>
      <c r="CZ54" s="66" t="e">
        <f t="shared" si="29"/>
        <v>#DIV/0!</v>
      </c>
      <c r="DA54" s="66" t="e">
        <f t="shared" si="29"/>
        <v>#DIV/0!</v>
      </c>
      <c r="DB54" s="66" t="e">
        <f t="shared" si="29"/>
        <v>#DIV/0!</v>
      </c>
      <c r="DC54" s="66" t="e">
        <f t="shared" si="29"/>
        <v>#DIV/0!</v>
      </c>
      <c r="DD54" s="93" t="s">
        <v>9</v>
      </c>
      <c r="DE54" s="165"/>
      <c r="DF54" s="165"/>
      <c r="DG54" s="165"/>
      <c r="DH54" s="165"/>
      <c r="DI54" s="165"/>
      <c r="DJ54" s="165"/>
      <c r="DK54" s="165"/>
      <c r="DL54" s="165"/>
      <c r="DM54" s="165"/>
      <c r="DN54" s="165"/>
      <c r="DO54" s="150"/>
    </row>
    <row r="55" spans="1:119" ht="14.25" customHeight="1">
      <c r="A55" s="103"/>
      <c r="E55" s="108"/>
      <c r="H55" s="83"/>
      <c r="I55" s="277" t="e">
        <f t="array" ref="I55">_xlfn.STDEV.P(IF($E$5:$E$35=$E54,I$5:I$35))</f>
        <v>#DIV/0!</v>
      </c>
      <c r="J55" s="277"/>
      <c r="K55" s="277"/>
      <c r="L55" s="277" t="e">
        <f t="array" ref="L55">_xlfn.STDEV.P(IF($E$5:$E$35=$E54,L$5:L$35))</f>
        <v>#DIV/0!</v>
      </c>
      <c r="M55" s="277"/>
      <c r="N55" s="278" t="e">
        <f t="array" ref="N55">_xlfn.STDEV.P(IF($E$5:$E$35=$E54,N$5:N$35))</f>
        <v>#DIV/0!</v>
      </c>
      <c r="O55" s="278" t="e">
        <f t="array" ref="O55">_xlfn.STDEV.P(IF($E$5:$E$35=$E54,O$5:O$35))</f>
        <v>#DIV/0!</v>
      </c>
      <c r="P55" s="278" t="e">
        <f t="array" ref="P55">_xlfn.STDEV.P(IF($E$5:$E$35=$E54,P$5:P$35))</f>
        <v>#DIV/0!</v>
      </c>
      <c r="Q55" s="277" t="e">
        <f t="array" ref="Q55">_xlfn.STDEV.P(IF($E$5:$E$35=$E54,Q$5:Q$35))</f>
        <v>#DIV/0!</v>
      </c>
      <c r="R55" s="65" t="s">
        <v>11</v>
      </c>
      <c r="S55" s="74" t="e">
        <f t="array" ref="S55">_xlfn.STDEV.P(IF($E$5:$E$35=$E54,S$5:S$35))</f>
        <v>#DIV/0!</v>
      </c>
      <c r="T55" s="74" t="e">
        <f t="array" ref="T55">_xlfn.STDEV.P(IF($E$5:$E$35=$E54,T$5:T$35))</f>
        <v>#DIV/0!</v>
      </c>
      <c r="U55" s="74" t="e">
        <f t="array" ref="U55">_xlfn.STDEV.P(IF($E$5:$E$35=$E54,U$5:U$35))</f>
        <v>#DIV/0!</v>
      </c>
      <c r="V55" s="74" t="e">
        <f t="array" ref="V55">_xlfn.STDEV.P(IF($E$5:$E$35=$E54,V$5:V$35))</f>
        <v>#DIV/0!</v>
      </c>
      <c r="W55" s="74" t="e">
        <f t="array" ref="W55">_xlfn.STDEV.P(IF($E$5:$E$35=$E54,W$5:W$35))</f>
        <v>#DIV/0!</v>
      </c>
      <c r="X55" s="74" t="e">
        <f t="array" ref="X55">_xlfn.STDEV.P(IF($E$5:$E$35=$E54,X$5:X$35))</f>
        <v>#DIV/0!</v>
      </c>
      <c r="Y55" s="74" t="e">
        <f t="array" ref="Y55">_xlfn.STDEV.P(IF($E$5:$E$35=$E54,Y$5:Y$35))</f>
        <v>#DIV/0!</v>
      </c>
      <c r="Z55" s="74" t="e">
        <f t="array" ref="Z55">_xlfn.STDEV.P(IF($E$5:$E$35=$E54,Z$5:Z$35))</f>
        <v>#DIV/0!</v>
      </c>
      <c r="AA55" s="74" t="e">
        <f t="array" ref="AA55">_xlfn.STDEV.P(IF($E$5:$E$35=$E54,AA$5:AA$35))</f>
        <v>#DIV/0!</v>
      </c>
      <c r="AB55" s="74" t="e">
        <f t="array" ref="AB55">_xlfn.STDEV.P(IF($E$5:$E$35=$E54,AB$5:AB$35))</f>
        <v>#DIV/0!</v>
      </c>
      <c r="AC55" s="74" t="e">
        <f t="array" ref="AC55">_xlfn.STDEV.P(IF($E$5:$E$35=$E54,AC$5:AC$35))</f>
        <v>#DIV/0!</v>
      </c>
      <c r="AD55" s="74" t="e">
        <f t="array" ref="AD55">_xlfn.STDEV.P(IF($E$5:$E$35=$E54,AD$5:AD$35))</f>
        <v>#DIV/0!</v>
      </c>
      <c r="AE55" s="74" t="e">
        <f t="array" ref="AE55">_xlfn.STDEV.P(IF($E$5:$E$35=$E54,AE$5:AE$35))</f>
        <v>#DIV/0!</v>
      </c>
      <c r="AF55" s="74" t="e">
        <f t="array" ref="AF55">_xlfn.STDEV.P(IF($E$5:$E$35=$E54,AF$5:AF$35))</f>
        <v>#DIV/0!</v>
      </c>
      <c r="AG55" s="74" t="e">
        <f t="array" ref="AG55">_xlfn.STDEV.P(IF($E$5:$E$35=$E54,AG$5:AG$35))</f>
        <v>#DIV/0!</v>
      </c>
      <c r="AH55" s="74" t="e">
        <f t="array" ref="AH55">_xlfn.STDEV.P(IF($E$5:$E$35=$E54,AH$5:AH$35))</f>
        <v>#DIV/0!</v>
      </c>
      <c r="AI55" s="74" t="e">
        <f t="array" ref="AI55">_xlfn.STDEV.P(IF($E$5:$E$35=$E54,AI$5:AI$35))</f>
        <v>#DIV/0!</v>
      </c>
      <c r="AJ55" s="74" t="e">
        <f t="array" ref="AJ55">_xlfn.STDEV.P(IF($E$5:$E$35=$E54,AJ$5:AJ$35))</f>
        <v>#DIV/0!</v>
      </c>
      <c r="AK55" s="74" t="e">
        <f t="array" ref="AK55">_xlfn.STDEV.P(IF($E$5:$E$35=$E54,AK$5:AK$35))</f>
        <v>#DIV/0!</v>
      </c>
      <c r="AL55" s="74" t="e">
        <f t="array" ref="AL55">_xlfn.STDEV.P(IF($E$5:$E$35=$E54,AL$5:AL$35))</f>
        <v>#DIV/0!</v>
      </c>
      <c r="AM55" s="74" t="e">
        <f t="array" ref="AM55">_xlfn.STDEV.P(IF($E$5:$E$35=$E54,AM$5:AM$35))</f>
        <v>#DIV/0!</v>
      </c>
      <c r="AN55" s="74" t="e">
        <f t="array" ref="AN55">_xlfn.STDEV.P(IF($E$5:$E$35=$E54,AN$5:AN$35))</f>
        <v>#DIV/0!</v>
      </c>
      <c r="AO55" s="74" t="e">
        <f t="array" ref="AO55">_xlfn.STDEV.P(IF($E$5:$E$35=$E54,AO$5:AO$35))</f>
        <v>#DIV/0!</v>
      </c>
      <c r="AP55" s="74" t="e">
        <f t="array" ref="AP55">_xlfn.STDEV.P(IF($E$5:$E$35=$E54,AP$5:AP$35))</f>
        <v>#DIV/0!</v>
      </c>
      <c r="AQ55" s="74" t="e">
        <f t="array" ref="AQ55">_xlfn.STDEV.P(IF($E$5:$E$35=$E54,AQ$5:AQ$35))</f>
        <v>#DIV/0!</v>
      </c>
      <c r="AR55" s="74" t="e">
        <f t="array" ref="AR55">_xlfn.STDEV.P(IF($E$5:$E$35=$E54,AR$5:AR$35))</f>
        <v>#DIV/0!</v>
      </c>
      <c r="AS55" s="74" t="e">
        <f t="array" ref="AS55">_xlfn.STDEV.P(IF($E$5:$E$35=$E54,AS$5:AS$35))</f>
        <v>#DIV/0!</v>
      </c>
      <c r="AT55" s="74" t="e">
        <f t="array" ref="AT55">_xlfn.STDEV.P(IF($E$5:$E$35=$E54,AT$5:AT$35))</f>
        <v>#DIV/0!</v>
      </c>
      <c r="AU55" s="74" t="e">
        <f t="array" ref="AU55">_xlfn.STDEV.P(IF($E$5:$E$35=$E54,AU$5:AU$35))</f>
        <v>#DIV/0!</v>
      </c>
      <c r="AV55" s="74" t="e">
        <f t="array" ref="AV55">_xlfn.STDEV.P(IF($E$5:$E$35=$E54,AV$5:AV$35))</f>
        <v>#DIV/0!</v>
      </c>
      <c r="AW55" s="74" t="e">
        <f t="array" ref="AW55">_xlfn.STDEV.P(IF($E$5:$E$35=$E54,AW$5:AW$35))</f>
        <v>#DIV/0!</v>
      </c>
      <c r="AX55" s="74" t="e">
        <f t="array" ref="AX55">_xlfn.STDEV.P(IF($E$5:$E$35=$E54,AX$5:AX$35))</f>
        <v>#DIV/0!</v>
      </c>
      <c r="AY55" s="74" t="e">
        <f t="array" ref="AY55">_xlfn.STDEV.P(IF($E$5:$E$35=$E54,AY$5:AY$35))</f>
        <v>#DIV/0!</v>
      </c>
      <c r="AZ55" s="74" t="e">
        <f t="array" ref="AZ55">_xlfn.STDEV.P(IF($E$5:$E$35=$E54,AZ$5:AZ$35))</f>
        <v>#DIV/0!</v>
      </c>
      <c r="BA55" s="74" t="e">
        <f t="array" ref="BA55">_xlfn.STDEV.P(IF($E$5:$E$35=$E54,BA$5:BA$35))</f>
        <v>#DIV/0!</v>
      </c>
      <c r="BB55" s="74" t="e">
        <f t="array" ref="BB55">_xlfn.STDEV.P(IF($E$5:$E$35=$E54,BB$5:BB$35))</f>
        <v>#DIV/0!</v>
      </c>
      <c r="BC55" s="74" t="e">
        <f t="array" ref="BC55">_xlfn.STDEV.P(IF($E$5:$E$35=$E54,BC$5:BC$35))</f>
        <v>#DIV/0!</v>
      </c>
      <c r="BD55" s="74" t="e">
        <f t="array" ref="BD55">_xlfn.STDEV.P(IF($E$5:$E$35=$E54,BD$5:BD$35))</f>
        <v>#DIV/0!</v>
      </c>
      <c r="BE55" s="74" t="e">
        <f t="array" ref="BE55">_xlfn.STDEV.P(IF($E$5:$E$35=$E54,BE$5:BE$35))</f>
        <v>#DIV/0!</v>
      </c>
      <c r="BF55" s="74" t="e">
        <f t="array" ref="BF55">_xlfn.STDEV.P(IF($E$5:$E$35=$E54,BF$5:BF$35))</f>
        <v>#DIV/0!</v>
      </c>
      <c r="BG55" s="74" t="e">
        <f t="array" ref="BG55">_xlfn.STDEV.P(IF($E$5:$E$35=$E54,BG$5:BG$35))</f>
        <v>#DIV/0!</v>
      </c>
      <c r="BH55" s="74" t="e">
        <f t="array" ref="BH55">_xlfn.STDEV.P(IF($E$5:$E$35=$E54,BH$5:BH$35))</f>
        <v>#DIV/0!</v>
      </c>
      <c r="BI55" s="74" t="e">
        <f t="array" ref="BI55">_xlfn.STDEV.P(IF($E$5:$E$35=$E54,BI$5:BI$35))</f>
        <v>#DIV/0!</v>
      </c>
      <c r="BJ55" s="74" t="e">
        <f t="array" ref="BJ55">_xlfn.STDEV.P(IF($E$5:$E$35=$E54,BJ$5:BJ$35))</f>
        <v>#DIV/0!</v>
      </c>
      <c r="BK55" s="94" t="s">
        <v>11</v>
      </c>
      <c r="BL55" s="67" t="e">
        <f t="array" ref="BL55">_xlfn.STDEV.P(IF($E$5:$E$35=$E54,BL$5:BL$35))</f>
        <v>#DIV/0!</v>
      </c>
      <c r="BM55" s="67" t="e">
        <f t="array" ref="BM55">_xlfn.STDEV.P(IF($E$5:$E$35=$E54,BM$5:BM$35))</f>
        <v>#DIV/0!</v>
      </c>
      <c r="BN55" s="67" t="e">
        <f t="array" ref="BN55">_xlfn.STDEV.P(IF($E$5:$E$35=$E54,BN$5:BN$35))</f>
        <v>#DIV/0!</v>
      </c>
      <c r="BO55" s="67" t="e">
        <f t="array" ref="BO55">_xlfn.STDEV.P(IF($E$5:$E$35=$E54,BO$5:BO$35))</f>
        <v>#DIV/0!</v>
      </c>
      <c r="BP55" s="67" t="e">
        <f t="array" ref="BP55">_xlfn.STDEV.P(IF($E$5:$E$35=$E54,BP$5:BP$35))</f>
        <v>#DIV/0!</v>
      </c>
      <c r="BQ55" s="67" t="e">
        <f t="array" ref="BQ55">_xlfn.STDEV.P(IF($E$5:$E$35=$E54,BQ$5:BQ$35))</f>
        <v>#DIV/0!</v>
      </c>
      <c r="BR55" s="67" t="e">
        <f t="array" ref="BR55">_xlfn.STDEV.P(IF($E$5:$E$35=$E54,BR$5:BR$35))</f>
        <v>#DIV/0!</v>
      </c>
      <c r="BS55" s="67" t="e">
        <f t="array" ref="BS55">_xlfn.STDEV.P(IF($E$5:$E$35=$E54,BS$5:BS$35))</f>
        <v>#DIV/0!</v>
      </c>
      <c r="BT55" s="67" t="e">
        <f t="array" ref="BT55">_xlfn.STDEV.P(IF($E$5:$E$35=$E54,BT$5:BT$35))</f>
        <v>#DIV/0!</v>
      </c>
      <c r="BU55" s="67" t="e">
        <f t="array" ref="BU55">_xlfn.STDEV.P(IF($E$5:$E$35=$E54,BU$5:BU$35))</f>
        <v>#DIV/0!</v>
      </c>
      <c r="BV55" s="67" t="e">
        <f t="array" ref="BV55">_xlfn.STDEV.P(IF($E$5:$E$35=$E54,BV$5:BV$35))</f>
        <v>#DIV/0!</v>
      </c>
      <c r="BW55" s="67" t="e">
        <f t="array" ref="BW55">_xlfn.STDEV.P(IF($E$5:$E$35=$E54,BW$5:BW$35))</f>
        <v>#DIV/0!</v>
      </c>
      <c r="BX55" s="67" t="e">
        <f t="array" ref="BX55">_xlfn.STDEV.P(IF($E$5:$E$35=$E54,BX$5:BX$35))</f>
        <v>#DIV/0!</v>
      </c>
      <c r="BY55" s="67" t="e">
        <f t="array" ref="BY55">_xlfn.STDEV.P(IF($E$5:$E$35=$E54,BY$5:BY$35))</f>
        <v>#DIV/0!</v>
      </c>
      <c r="BZ55" s="67" t="e">
        <f t="array" ref="BZ55">_xlfn.STDEV.P(IF($E$5:$E$35=$E54,BZ$5:BZ$35))</f>
        <v>#DIV/0!</v>
      </c>
      <c r="CA55" s="67" t="e">
        <f t="array" ref="CA55">_xlfn.STDEV.P(IF($E$5:$E$35=$E54,CA$5:CA$35))</f>
        <v>#DIV/0!</v>
      </c>
      <c r="CB55" s="67" t="e">
        <f t="array" ref="CB55">_xlfn.STDEV.P(IF($E$5:$E$35=$E54,CB$5:CB$35))</f>
        <v>#DIV/0!</v>
      </c>
      <c r="CC55" s="67" t="e">
        <f t="array" ref="CC55">_xlfn.STDEV.P(IF($E$5:$E$35=$E54,CC$5:CC$35))</f>
        <v>#DIV/0!</v>
      </c>
      <c r="CD55" s="67" t="e">
        <f t="array" ref="CD55">_xlfn.STDEV.P(IF($E$5:$E$35=$E54,CD$5:CD$35))</f>
        <v>#DIV/0!</v>
      </c>
      <c r="CE55" s="67" t="e">
        <f t="array" ref="CE55">_xlfn.STDEV.P(IF($E$5:$E$35=$E54,CE$5:CE$35))</f>
        <v>#DIV/0!</v>
      </c>
      <c r="CF55" s="67" t="e">
        <f t="array" ref="CF55">_xlfn.STDEV.P(IF($E$5:$E$35=$E54,CF$5:CF$35))</f>
        <v>#DIV/0!</v>
      </c>
      <c r="CG55" s="67" t="e">
        <f t="array" ref="CG55">_xlfn.STDEV.P(IF($E$5:$E$35=$E54,CG$5:CG$35))</f>
        <v>#DIV/0!</v>
      </c>
      <c r="CH55" s="67" t="e">
        <f t="array" ref="CH55">_xlfn.STDEV.P(IF($E$5:$E$35=$E54,CH$5:CH$35))</f>
        <v>#DIV/0!</v>
      </c>
      <c r="CI55" s="67" t="e">
        <f t="array" ref="CI55">_xlfn.STDEV.P(IF($E$5:$E$35=$E54,CI$5:CI$35))</f>
        <v>#DIV/0!</v>
      </c>
      <c r="CJ55" s="67" t="e">
        <f t="array" ref="CJ55">_xlfn.STDEV.P(IF($E$5:$E$35=$E54,CJ$5:CJ$35))</f>
        <v>#DIV/0!</v>
      </c>
      <c r="CK55" s="67" t="e">
        <f t="array" ref="CK55">_xlfn.STDEV.P(IF($E$5:$E$35=$E54,CK$5:CK$35))</f>
        <v>#DIV/0!</v>
      </c>
      <c r="CL55" s="67" t="e">
        <f t="array" ref="CL55">_xlfn.STDEV.P(IF($E$5:$E$35=$E54,CL$5:CL$35))</f>
        <v>#DIV/0!</v>
      </c>
      <c r="CM55" s="67" t="e">
        <f t="array" ref="CM55">_xlfn.STDEV.P(IF($E$5:$E$35=$E54,CM$5:CM$35))</f>
        <v>#DIV/0!</v>
      </c>
      <c r="CN55" s="67" t="e">
        <f t="array" ref="CN55">_xlfn.STDEV.P(IF($E$5:$E$35=$E54,CN$5:CN$35))</f>
        <v>#DIV/0!</v>
      </c>
      <c r="CO55" s="67" t="e">
        <f t="array" ref="CO55">_xlfn.STDEV.P(IF($E$5:$E$35=$E54,CO$5:CO$35))</f>
        <v>#DIV/0!</v>
      </c>
      <c r="CP55" s="67" t="e">
        <f t="array" ref="CP55">_xlfn.STDEV.P(IF($E$5:$E$35=$E54,CP$5:CP$35))</f>
        <v>#DIV/0!</v>
      </c>
      <c r="CQ55" s="67" t="e">
        <f t="array" ref="CQ55">_xlfn.STDEV.P(IF($E$5:$E$35=$E54,CQ$5:CQ$35))</f>
        <v>#DIV/0!</v>
      </c>
      <c r="CR55" s="67" t="e">
        <f t="array" ref="CR55">_xlfn.STDEV.P(IF($E$5:$E$35=$E54,CR$5:CR$35))</f>
        <v>#DIV/0!</v>
      </c>
      <c r="CS55" s="67" t="e">
        <f t="array" ref="CS55">_xlfn.STDEV.P(IF($E$5:$E$35=$E54,CS$5:CS$35))</f>
        <v>#DIV/0!</v>
      </c>
      <c r="CT55" s="67" t="e">
        <f t="array" ref="CT55">_xlfn.STDEV.P(IF($E$5:$E$35=$E54,CT$5:CT$35))</f>
        <v>#DIV/0!</v>
      </c>
      <c r="CU55" s="67" t="e">
        <f t="array" ref="CU55">_xlfn.STDEV.P(IF($E$5:$E$35=$E54,CU$5:CU$35))</f>
        <v>#DIV/0!</v>
      </c>
      <c r="CV55" s="67" t="e">
        <f t="array" ref="CV55">_xlfn.STDEV.P(IF($E$5:$E$35=$E54,CV$5:CV$35))</f>
        <v>#DIV/0!</v>
      </c>
      <c r="CW55" s="67" t="e">
        <f t="array" ref="CW55">_xlfn.STDEV.P(IF($E$5:$E$35=$E54,CW$5:CW$35))</f>
        <v>#DIV/0!</v>
      </c>
      <c r="CX55" s="67" t="e">
        <f t="array" ref="CX55">_xlfn.STDEV.P(IF($E$5:$E$35=$E54,CX$5:CX$35))</f>
        <v>#DIV/0!</v>
      </c>
      <c r="CY55" s="67" t="e">
        <f t="array" ref="CY55">_xlfn.STDEV.P(IF($E$5:$E$35=$E54,CY$5:CY$35))</f>
        <v>#DIV/0!</v>
      </c>
      <c r="CZ55" s="67" t="e">
        <f t="array" ref="CZ55">_xlfn.STDEV.P(IF($E$5:$E$35=$E54,CZ$5:CZ$35))</f>
        <v>#DIV/0!</v>
      </c>
      <c r="DA55" s="67" t="e">
        <f t="array" ref="DA55">_xlfn.STDEV.P(IF($E$5:$E$35=$E54,DA$5:DA$35))</f>
        <v>#DIV/0!</v>
      </c>
      <c r="DB55" s="67" t="e">
        <f t="array" ref="DB55">_xlfn.STDEV.P(IF($E$5:$E$35=$E54,DB$5:DB$35))</f>
        <v>#DIV/0!</v>
      </c>
      <c r="DC55" s="67" t="e">
        <f t="array" ref="DC55">_xlfn.STDEV.P(IF($E$5:$E$35=$E54,DC$5:DC$35))</f>
        <v>#DIV/0!</v>
      </c>
      <c r="DD55" s="94" t="s">
        <v>11</v>
      </c>
      <c r="DE55" s="165"/>
      <c r="DF55" s="165"/>
      <c r="DG55" s="165"/>
      <c r="DH55" s="165"/>
      <c r="DI55" s="165"/>
      <c r="DJ55" s="165"/>
      <c r="DK55" s="165"/>
      <c r="DL55" s="165"/>
      <c r="DM55" s="165"/>
      <c r="DN55" s="165"/>
      <c r="DO55" s="150"/>
    </row>
    <row r="56" spans="1:119" ht="15">
      <c r="A56" s="103"/>
      <c r="E56" s="108"/>
      <c r="H56" s="45"/>
      <c r="J56" s="50"/>
      <c r="K56" s="50"/>
      <c r="N56" s="275"/>
      <c r="O56" s="275"/>
      <c r="P56" s="275"/>
      <c r="Q56" s="50"/>
      <c r="DE56" s="165"/>
      <c r="DF56" s="165"/>
      <c r="DG56" s="165"/>
      <c r="DH56" s="165"/>
      <c r="DI56" s="165"/>
      <c r="DJ56" s="165"/>
      <c r="DK56" s="165"/>
      <c r="DL56" s="165"/>
      <c r="DM56" s="165"/>
      <c r="DN56" s="165"/>
    </row>
    <row r="57" spans="1:119" ht="14.25" customHeight="1">
      <c r="A57" s="103"/>
      <c r="E57" s="108" t="str">
        <f>'5GY EBRT Groups'!C11</f>
        <v>Group 6</v>
      </c>
      <c r="H57" s="108" t="str">
        <f>E57</f>
        <v>Group 6</v>
      </c>
      <c r="I57" s="277" t="e">
        <f>AVERAGEIF($E$5:$E$35,$E57,I$5:I$35)</f>
        <v>#DIV/0!</v>
      </c>
      <c r="J57" s="277"/>
      <c r="K57" s="277"/>
      <c r="L57" s="277" t="e">
        <f>AVERAGEIF($E$5:$E$35,$E57,L$5:L$35)</f>
        <v>#DIV/0!</v>
      </c>
      <c r="M57" s="277"/>
      <c r="N57" s="278" t="e">
        <f>AVERAGEIF($E$5:$E$35,$E57,N$5:N$35)</f>
        <v>#DIV/0!</v>
      </c>
      <c r="O57" s="278" t="e">
        <f>AVERAGEIF($E$5:$E$35,$E57,O$5:O$35)</f>
        <v>#DIV/0!</v>
      </c>
      <c r="P57" s="278" t="e">
        <f>AVERAGEIF($E$5:$E$35,$E57,P$5:P$35)</f>
        <v>#DIV/0!</v>
      </c>
      <c r="Q57" s="277" t="e">
        <f>AVERAGEIF($E$5:$E$35,$E57,Q$5:Q$35)</f>
        <v>#DIV/0!</v>
      </c>
      <c r="R57" s="65" t="s">
        <v>9</v>
      </c>
      <c r="S57" s="71" t="e">
        <f t="shared" ref="S57:BJ57" si="30">AVERAGEIF($E$5:$E$35,$E57,S$5:S$35)</f>
        <v>#DIV/0!</v>
      </c>
      <c r="T57" s="71" t="e">
        <f t="shared" si="30"/>
        <v>#DIV/0!</v>
      </c>
      <c r="U57" s="71" t="e">
        <f t="shared" si="30"/>
        <v>#DIV/0!</v>
      </c>
      <c r="V57" s="71" t="e">
        <f t="shared" si="30"/>
        <v>#DIV/0!</v>
      </c>
      <c r="W57" s="71" t="e">
        <f t="shared" si="30"/>
        <v>#DIV/0!</v>
      </c>
      <c r="X57" s="71" t="e">
        <f t="shared" si="30"/>
        <v>#DIV/0!</v>
      </c>
      <c r="Y57" s="71" t="e">
        <f t="shared" si="30"/>
        <v>#DIV/0!</v>
      </c>
      <c r="Z57" s="71" t="e">
        <f t="shared" si="30"/>
        <v>#DIV/0!</v>
      </c>
      <c r="AA57" s="71" t="e">
        <f t="shared" si="30"/>
        <v>#DIV/0!</v>
      </c>
      <c r="AB57" s="71" t="e">
        <f t="shared" si="30"/>
        <v>#DIV/0!</v>
      </c>
      <c r="AC57" s="71" t="e">
        <f t="shared" si="30"/>
        <v>#DIV/0!</v>
      </c>
      <c r="AD57" s="71" t="e">
        <f t="shared" si="30"/>
        <v>#DIV/0!</v>
      </c>
      <c r="AE57" s="71" t="e">
        <f t="shared" si="30"/>
        <v>#DIV/0!</v>
      </c>
      <c r="AF57" s="71" t="e">
        <f t="shared" si="30"/>
        <v>#DIV/0!</v>
      </c>
      <c r="AG57" s="71" t="e">
        <f t="shared" si="30"/>
        <v>#DIV/0!</v>
      </c>
      <c r="AH57" s="71" t="e">
        <f t="shared" si="30"/>
        <v>#DIV/0!</v>
      </c>
      <c r="AI57" s="71" t="e">
        <f t="shared" si="30"/>
        <v>#DIV/0!</v>
      </c>
      <c r="AJ57" s="71" t="e">
        <f t="shared" si="30"/>
        <v>#DIV/0!</v>
      </c>
      <c r="AK57" s="71" t="e">
        <f t="shared" si="30"/>
        <v>#DIV/0!</v>
      </c>
      <c r="AL57" s="71" t="e">
        <f t="shared" si="30"/>
        <v>#DIV/0!</v>
      </c>
      <c r="AM57" s="71" t="e">
        <f t="shared" si="30"/>
        <v>#DIV/0!</v>
      </c>
      <c r="AN57" s="71" t="e">
        <f t="shared" si="30"/>
        <v>#DIV/0!</v>
      </c>
      <c r="AO57" s="71" t="e">
        <f t="shared" si="30"/>
        <v>#DIV/0!</v>
      </c>
      <c r="AP57" s="71" t="e">
        <f t="shared" si="30"/>
        <v>#DIV/0!</v>
      </c>
      <c r="AQ57" s="71" t="e">
        <f t="shared" si="30"/>
        <v>#DIV/0!</v>
      </c>
      <c r="AR57" s="71" t="e">
        <f t="shared" si="30"/>
        <v>#DIV/0!</v>
      </c>
      <c r="AS57" s="71" t="e">
        <f t="shared" si="30"/>
        <v>#DIV/0!</v>
      </c>
      <c r="AT57" s="71" t="e">
        <f t="shared" si="30"/>
        <v>#DIV/0!</v>
      </c>
      <c r="AU57" s="71" t="e">
        <f t="shared" si="30"/>
        <v>#DIV/0!</v>
      </c>
      <c r="AV57" s="71" t="e">
        <f t="shared" si="30"/>
        <v>#DIV/0!</v>
      </c>
      <c r="AW57" s="71" t="e">
        <f t="shared" si="30"/>
        <v>#DIV/0!</v>
      </c>
      <c r="AX57" s="71" t="e">
        <f t="shared" si="30"/>
        <v>#DIV/0!</v>
      </c>
      <c r="AY57" s="71" t="e">
        <f t="shared" si="30"/>
        <v>#DIV/0!</v>
      </c>
      <c r="AZ57" s="71" t="e">
        <f t="shared" si="30"/>
        <v>#DIV/0!</v>
      </c>
      <c r="BA57" s="71" t="e">
        <f t="shared" si="30"/>
        <v>#DIV/0!</v>
      </c>
      <c r="BB57" s="71" t="e">
        <f t="shared" si="30"/>
        <v>#DIV/0!</v>
      </c>
      <c r="BC57" s="71" t="e">
        <f t="shared" si="30"/>
        <v>#DIV/0!</v>
      </c>
      <c r="BD57" s="71" t="e">
        <f t="shared" si="30"/>
        <v>#DIV/0!</v>
      </c>
      <c r="BE57" s="71" t="e">
        <f t="shared" si="30"/>
        <v>#DIV/0!</v>
      </c>
      <c r="BF57" s="71" t="e">
        <f t="shared" si="30"/>
        <v>#DIV/0!</v>
      </c>
      <c r="BG57" s="71" t="e">
        <f t="shared" si="30"/>
        <v>#DIV/0!</v>
      </c>
      <c r="BH57" s="71" t="e">
        <f t="shared" si="30"/>
        <v>#DIV/0!</v>
      </c>
      <c r="BI57" s="71" t="e">
        <f t="shared" si="30"/>
        <v>#DIV/0!</v>
      </c>
      <c r="BJ57" s="71" t="e">
        <f t="shared" si="30"/>
        <v>#DIV/0!</v>
      </c>
      <c r="BK57" s="93" t="s">
        <v>9</v>
      </c>
      <c r="BL57" s="66" t="e">
        <f t="shared" ref="BL57:DC57" si="31">AVERAGEIF($E$5:$E$35,$E57,BL$5:BL$35)</f>
        <v>#DIV/0!</v>
      </c>
      <c r="BM57" s="66" t="e">
        <f t="shared" si="31"/>
        <v>#DIV/0!</v>
      </c>
      <c r="BN57" s="66" t="e">
        <f t="shared" si="31"/>
        <v>#DIV/0!</v>
      </c>
      <c r="BO57" s="66" t="e">
        <f t="shared" si="31"/>
        <v>#DIV/0!</v>
      </c>
      <c r="BP57" s="66" t="e">
        <f t="shared" si="31"/>
        <v>#DIV/0!</v>
      </c>
      <c r="BQ57" s="66" t="e">
        <f t="shared" si="31"/>
        <v>#DIV/0!</v>
      </c>
      <c r="BR57" s="66" t="e">
        <f t="shared" si="31"/>
        <v>#DIV/0!</v>
      </c>
      <c r="BS57" s="66" t="e">
        <f t="shared" si="31"/>
        <v>#DIV/0!</v>
      </c>
      <c r="BT57" s="66" t="e">
        <f t="shared" si="31"/>
        <v>#DIV/0!</v>
      </c>
      <c r="BU57" s="66" t="e">
        <f t="shared" si="31"/>
        <v>#DIV/0!</v>
      </c>
      <c r="BV57" s="66" t="e">
        <f t="shared" si="31"/>
        <v>#DIV/0!</v>
      </c>
      <c r="BW57" s="66" t="e">
        <f t="shared" si="31"/>
        <v>#DIV/0!</v>
      </c>
      <c r="BX57" s="66" t="e">
        <f t="shared" si="31"/>
        <v>#DIV/0!</v>
      </c>
      <c r="BY57" s="66" t="e">
        <f t="shared" si="31"/>
        <v>#DIV/0!</v>
      </c>
      <c r="BZ57" s="66" t="e">
        <f t="shared" si="31"/>
        <v>#DIV/0!</v>
      </c>
      <c r="CA57" s="66" t="e">
        <f t="shared" si="31"/>
        <v>#DIV/0!</v>
      </c>
      <c r="CB57" s="66" t="e">
        <f t="shared" si="31"/>
        <v>#DIV/0!</v>
      </c>
      <c r="CC57" s="66" t="e">
        <f t="shared" si="31"/>
        <v>#DIV/0!</v>
      </c>
      <c r="CD57" s="66" t="e">
        <f t="shared" si="31"/>
        <v>#DIV/0!</v>
      </c>
      <c r="CE57" s="66" t="e">
        <f t="shared" si="31"/>
        <v>#DIV/0!</v>
      </c>
      <c r="CF57" s="66" t="e">
        <f t="shared" si="31"/>
        <v>#DIV/0!</v>
      </c>
      <c r="CG57" s="66" t="e">
        <f t="shared" si="31"/>
        <v>#DIV/0!</v>
      </c>
      <c r="CH57" s="66" t="e">
        <f t="shared" si="31"/>
        <v>#DIV/0!</v>
      </c>
      <c r="CI57" s="66" t="e">
        <f t="shared" si="31"/>
        <v>#DIV/0!</v>
      </c>
      <c r="CJ57" s="66" t="e">
        <f t="shared" si="31"/>
        <v>#DIV/0!</v>
      </c>
      <c r="CK57" s="66" t="e">
        <f t="shared" si="31"/>
        <v>#DIV/0!</v>
      </c>
      <c r="CL57" s="66" t="e">
        <f t="shared" si="31"/>
        <v>#DIV/0!</v>
      </c>
      <c r="CM57" s="66" t="e">
        <f t="shared" si="31"/>
        <v>#DIV/0!</v>
      </c>
      <c r="CN57" s="66" t="e">
        <f t="shared" si="31"/>
        <v>#DIV/0!</v>
      </c>
      <c r="CO57" s="66" t="e">
        <f t="shared" si="31"/>
        <v>#DIV/0!</v>
      </c>
      <c r="CP57" s="66" t="e">
        <f t="shared" si="31"/>
        <v>#DIV/0!</v>
      </c>
      <c r="CQ57" s="66" t="e">
        <f t="shared" si="31"/>
        <v>#DIV/0!</v>
      </c>
      <c r="CR57" s="66" t="e">
        <f t="shared" si="31"/>
        <v>#DIV/0!</v>
      </c>
      <c r="CS57" s="66" t="e">
        <f t="shared" si="31"/>
        <v>#DIV/0!</v>
      </c>
      <c r="CT57" s="66" t="e">
        <f t="shared" si="31"/>
        <v>#DIV/0!</v>
      </c>
      <c r="CU57" s="66" t="e">
        <f t="shared" si="31"/>
        <v>#DIV/0!</v>
      </c>
      <c r="CV57" s="66" t="e">
        <f t="shared" si="31"/>
        <v>#DIV/0!</v>
      </c>
      <c r="CW57" s="66" t="e">
        <f t="shared" si="31"/>
        <v>#DIV/0!</v>
      </c>
      <c r="CX57" s="66" t="e">
        <f t="shared" si="31"/>
        <v>#DIV/0!</v>
      </c>
      <c r="CY57" s="66" t="e">
        <f t="shared" si="31"/>
        <v>#DIV/0!</v>
      </c>
      <c r="CZ57" s="66" t="e">
        <f t="shared" si="31"/>
        <v>#DIV/0!</v>
      </c>
      <c r="DA57" s="66" t="e">
        <f t="shared" si="31"/>
        <v>#DIV/0!</v>
      </c>
      <c r="DB57" s="66" t="e">
        <f t="shared" si="31"/>
        <v>#DIV/0!</v>
      </c>
      <c r="DC57" s="66" t="e">
        <f t="shared" si="31"/>
        <v>#DIV/0!</v>
      </c>
      <c r="DD57" s="93" t="s">
        <v>9</v>
      </c>
      <c r="DE57" s="166"/>
      <c r="DF57" s="166"/>
      <c r="DG57" s="166"/>
      <c r="DH57" s="166"/>
      <c r="DI57" s="166"/>
      <c r="DJ57" s="166"/>
      <c r="DK57" s="166"/>
      <c r="DL57" s="166"/>
      <c r="DM57" s="166"/>
      <c r="DN57" s="166"/>
      <c r="DO57" s="136"/>
    </row>
    <row r="58" spans="1:119" ht="14.25" customHeight="1">
      <c r="A58" s="103"/>
      <c r="E58" s="108"/>
      <c r="H58" s="83"/>
      <c r="I58" s="277" t="e">
        <f t="array" ref="I58">_xlfn.STDEV.P(IF($E$5:$E$35=$E57,I$5:I$35))</f>
        <v>#DIV/0!</v>
      </c>
      <c r="J58" s="277"/>
      <c r="K58" s="277"/>
      <c r="L58" s="277" t="e">
        <f t="array" ref="L58">_xlfn.STDEV.P(IF($E$5:$E$35=$E57,L$5:L$35))</f>
        <v>#DIV/0!</v>
      </c>
      <c r="M58" s="277"/>
      <c r="N58" s="278" t="e">
        <f t="array" ref="N58">_xlfn.STDEV.P(IF($E$5:$E$35=$E57,N$5:N$35))</f>
        <v>#DIV/0!</v>
      </c>
      <c r="O58" s="278" t="e">
        <f t="array" ref="O58">_xlfn.STDEV.P(IF($E$5:$E$35=$E57,O$5:O$35))</f>
        <v>#DIV/0!</v>
      </c>
      <c r="P58" s="278" t="e">
        <f t="array" ref="P58">_xlfn.STDEV.P(IF($E$5:$E$35=$E57,P$5:P$35))</f>
        <v>#DIV/0!</v>
      </c>
      <c r="Q58" s="277" t="e">
        <f t="array" ref="Q58">_xlfn.STDEV.P(IF($E$5:$E$35=$E57,Q$5:Q$35))</f>
        <v>#DIV/0!</v>
      </c>
      <c r="R58" s="65" t="s">
        <v>11</v>
      </c>
      <c r="S58" s="74" t="e">
        <f t="array" ref="S58">_xlfn.STDEV.P(IF($E$5:$E$35=$E57,S$5:S$35))</f>
        <v>#DIV/0!</v>
      </c>
      <c r="T58" s="74" t="e">
        <f t="array" ref="T58">_xlfn.STDEV.P(IF($E$5:$E$35=$E57,T$5:T$35))</f>
        <v>#DIV/0!</v>
      </c>
      <c r="U58" s="74" t="e">
        <f t="array" ref="U58">_xlfn.STDEV.P(IF($E$5:$E$35=$E57,U$5:U$35))</f>
        <v>#DIV/0!</v>
      </c>
      <c r="V58" s="74" t="e">
        <f t="array" ref="V58">_xlfn.STDEV.P(IF($E$5:$E$35=$E57,V$5:V$35))</f>
        <v>#DIV/0!</v>
      </c>
      <c r="W58" s="74" t="e">
        <f t="array" ref="W58">_xlfn.STDEV.P(IF($E$5:$E$35=$E57,W$5:W$35))</f>
        <v>#DIV/0!</v>
      </c>
      <c r="X58" s="74" t="e">
        <f t="array" ref="X58">_xlfn.STDEV.P(IF($E$5:$E$35=$E57,X$5:X$35))</f>
        <v>#DIV/0!</v>
      </c>
      <c r="Y58" s="74" t="e">
        <f t="array" ref="Y58">_xlfn.STDEV.P(IF($E$5:$E$35=$E57,Y$5:Y$35))</f>
        <v>#DIV/0!</v>
      </c>
      <c r="Z58" s="74" t="e">
        <f t="array" ref="Z58">_xlfn.STDEV.P(IF($E$5:$E$35=$E57,Z$5:Z$35))</f>
        <v>#DIV/0!</v>
      </c>
      <c r="AA58" s="74" t="e">
        <f t="array" ref="AA58">_xlfn.STDEV.P(IF($E$5:$E$35=$E57,AA$5:AA$35))</f>
        <v>#DIV/0!</v>
      </c>
      <c r="AB58" s="74" t="e">
        <f t="array" ref="AB58">_xlfn.STDEV.P(IF($E$5:$E$35=$E57,AB$5:AB$35))</f>
        <v>#DIV/0!</v>
      </c>
      <c r="AC58" s="74" t="e">
        <f t="array" ref="AC58">_xlfn.STDEV.P(IF($E$5:$E$35=$E57,AC$5:AC$35))</f>
        <v>#DIV/0!</v>
      </c>
      <c r="AD58" s="74" t="e">
        <f t="array" ref="AD58">_xlfn.STDEV.P(IF($E$5:$E$35=$E57,AD$5:AD$35))</f>
        <v>#DIV/0!</v>
      </c>
      <c r="AE58" s="74" t="e">
        <f t="array" ref="AE58">_xlfn.STDEV.P(IF($E$5:$E$35=$E57,AE$5:AE$35))</f>
        <v>#DIV/0!</v>
      </c>
      <c r="AF58" s="74" t="e">
        <f t="array" ref="AF58">_xlfn.STDEV.P(IF($E$5:$E$35=$E57,AF$5:AF$35))</f>
        <v>#DIV/0!</v>
      </c>
      <c r="AG58" s="74" t="e">
        <f t="array" ref="AG58">_xlfn.STDEV.P(IF($E$5:$E$35=$E57,AG$5:AG$35))</f>
        <v>#DIV/0!</v>
      </c>
      <c r="AH58" s="74" t="e">
        <f t="array" ref="AH58">_xlfn.STDEV.P(IF($E$5:$E$35=$E57,AH$5:AH$35))</f>
        <v>#DIV/0!</v>
      </c>
      <c r="AI58" s="74" t="e">
        <f t="array" ref="AI58">_xlfn.STDEV.P(IF($E$5:$E$35=$E57,AI$5:AI$35))</f>
        <v>#DIV/0!</v>
      </c>
      <c r="AJ58" s="74" t="e">
        <f t="array" ref="AJ58">_xlfn.STDEV.P(IF($E$5:$E$35=$E57,AJ$5:AJ$35))</f>
        <v>#DIV/0!</v>
      </c>
      <c r="AK58" s="74" t="e">
        <f t="array" ref="AK58">_xlfn.STDEV.P(IF($E$5:$E$35=$E57,AK$5:AK$35))</f>
        <v>#DIV/0!</v>
      </c>
      <c r="AL58" s="74" t="e">
        <f t="array" ref="AL58">_xlfn.STDEV.P(IF($E$5:$E$35=$E57,AL$5:AL$35))</f>
        <v>#DIV/0!</v>
      </c>
      <c r="AM58" s="74" t="e">
        <f t="array" ref="AM58">_xlfn.STDEV.P(IF($E$5:$E$35=$E57,AM$5:AM$35))</f>
        <v>#DIV/0!</v>
      </c>
      <c r="AN58" s="74" t="e">
        <f t="array" ref="AN58">_xlfn.STDEV.P(IF($E$5:$E$35=$E57,AN$5:AN$35))</f>
        <v>#DIV/0!</v>
      </c>
      <c r="AO58" s="74" t="e">
        <f t="array" ref="AO58">_xlfn.STDEV.P(IF($E$5:$E$35=$E57,AO$5:AO$35))</f>
        <v>#DIV/0!</v>
      </c>
      <c r="AP58" s="74" t="e">
        <f t="array" ref="AP58">_xlfn.STDEV.P(IF($E$5:$E$35=$E57,AP$5:AP$35))</f>
        <v>#DIV/0!</v>
      </c>
      <c r="AQ58" s="74" t="e">
        <f t="array" ref="AQ58">_xlfn.STDEV.P(IF($E$5:$E$35=$E57,AQ$5:AQ$35))</f>
        <v>#DIV/0!</v>
      </c>
      <c r="AR58" s="74" t="e">
        <f t="array" ref="AR58">_xlfn.STDEV.P(IF($E$5:$E$35=$E57,AR$5:AR$35))</f>
        <v>#DIV/0!</v>
      </c>
      <c r="AS58" s="74" t="e">
        <f t="array" ref="AS58">_xlfn.STDEV.P(IF($E$5:$E$35=$E57,AS$5:AS$35))</f>
        <v>#DIV/0!</v>
      </c>
      <c r="AT58" s="74" t="e">
        <f t="array" ref="AT58">_xlfn.STDEV.P(IF($E$5:$E$35=$E57,AT$5:AT$35))</f>
        <v>#DIV/0!</v>
      </c>
      <c r="AU58" s="74" t="e">
        <f t="array" ref="AU58">_xlfn.STDEV.P(IF($E$5:$E$35=$E57,AU$5:AU$35))</f>
        <v>#DIV/0!</v>
      </c>
      <c r="AV58" s="74" t="e">
        <f t="array" ref="AV58">_xlfn.STDEV.P(IF($E$5:$E$35=$E57,AV$5:AV$35))</f>
        <v>#DIV/0!</v>
      </c>
      <c r="AW58" s="74" t="e">
        <f t="array" ref="AW58">_xlfn.STDEV.P(IF($E$5:$E$35=$E57,AW$5:AW$35))</f>
        <v>#DIV/0!</v>
      </c>
      <c r="AX58" s="74" t="e">
        <f t="array" ref="AX58">_xlfn.STDEV.P(IF($E$5:$E$35=$E57,AX$5:AX$35))</f>
        <v>#DIV/0!</v>
      </c>
      <c r="AY58" s="74" t="e">
        <f t="array" ref="AY58">_xlfn.STDEV.P(IF($E$5:$E$35=$E57,AY$5:AY$35))</f>
        <v>#DIV/0!</v>
      </c>
      <c r="AZ58" s="74" t="e">
        <f t="array" ref="AZ58">_xlfn.STDEV.P(IF($E$5:$E$35=$E57,AZ$5:AZ$35))</f>
        <v>#DIV/0!</v>
      </c>
      <c r="BA58" s="74" t="e">
        <f t="array" ref="BA58">_xlfn.STDEV.P(IF($E$5:$E$35=$E57,BA$5:BA$35))</f>
        <v>#DIV/0!</v>
      </c>
      <c r="BB58" s="74" t="e">
        <f t="array" ref="BB58">_xlfn.STDEV.P(IF($E$5:$E$35=$E57,BB$5:BB$35))</f>
        <v>#DIV/0!</v>
      </c>
      <c r="BC58" s="74" t="e">
        <f t="array" ref="BC58">_xlfn.STDEV.P(IF($E$5:$E$35=$E57,BC$5:BC$35))</f>
        <v>#DIV/0!</v>
      </c>
      <c r="BD58" s="74" t="e">
        <f t="array" ref="BD58">_xlfn.STDEV.P(IF($E$5:$E$35=$E57,BD$5:BD$35))</f>
        <v>#DIV/0!</v>
      </c>
      <c r="BE58" s="74" t="e">
        <f t="array" ref="BE58">_xlfn.STDEV.P(IF($E$5:$E$35=$E57,BE$5:BE$35))</f>
        <v>#DIV/0!</v>
      </c>
      <c r="BF58" s="74" t="e">
        <f t="array" ref="BF58">_xlfn.STDEV.P(IF($E$5:$E$35=$E57,BF$5:BF$35))</f>
        <v>#DIV/0!</v>
      </c>
      <c r="BG58" s="74" t="e">
        <f t="array" ref="BG58">_xlfn.STDEV.P(IF($E$5:$E$35=$E57,BG$5:BG$35))</f>
        <v>#DIV/0!</v>
      </c>
      <c r="BH58" s="74" t="e">
        <f t="array" ref="BH58">_xlfn.STDEV.P(IF($E$5:$E$35=$E57,BH$5:BH$35))</f>
        <v>#DIV/0!</v>
      </c>
      <c r="BI58" s="74" t="e">
        <f t="array" ref="BI58">_xlfn.STDEV.P(IF($E$5:$E$35=$E57,BI$5:BI$35))</f>
        <v>#DIV/0!</v>
      </c>
      <c r="BJ58" s="74" t="e">
        <f t="array" ref="BJ58">_xlfn.STDEV.P(IF($E$5:$E$35=$E57,BJ$5:BJ$35))</f>
        <v>#DIV/0!</v>
      </c>
      <c r="BK58" s="94" t="s">
        <v>11</v>
      </c>
      <c r="BL58" s="67" t="e">
        <f t="array" ref="BL58">_xlfn.STDEV.P(IF($E$5:$E$35=$E57,BL$5:BL$35))</f>
        <v>#DIV/0!</v>
      </c>
      <c r="BM58" s="67" t="e">
        <f t="array" ref="BM58">_xlfn.STDEV.P(IF($E$5:$E$35=$E57,BM$5:BM$35))</f>
        <v>#DIV/0!</v>
      </c>
      <c r="BN58" s="67" t="e">
        <f t="array" ref="BN58">_xlfn.STDEV.P(IF($E$5:$E$35=$E57,BN$5:BN$35))</f>
        <v>#DIV/0!</v>
      </c>
      <c r="BO58" s="67" t="e">
        <f t="array" ref="BO58">_xlfn.STDEV.P(IF($E$5:$E$35=$E57,BO$5:BO$35))</f>
        <v>#DIV/0!</v>
      </c>
      <c r="BP58" s="67" t="e">
        <f t="array" ref="BP58">_xlfn.STDEV.P(IF($E$5:$E$35=$E57,BP$5:BP$35))</f>
        <v>#DIV/0!</v>
      </c>
      <c r="BQ58" s="67" t="e">
        <f t="array" ref="BQ58">_xlfn.STDEV.P(IF($E$5:$E$35=$E57,BQ$5:BQ$35))</f>
        <v>#DIV/0!</v>
      </c>
      <c r="BR58" s="67" t="e">
        <f t="array" ref="BR58">_xlfn.STDEV.P(IF($E$5:$E$35=$E57,BR$5:BR$35))</f>
        <v>#DIV/0!</v>
      </c>
      <c r="BS58" s="67" t="e">
        <f t="array" ref="BS58">_xlfn.STDEV.P(IF($E$5:$E$35=$E57,BS$5:BS$35))</f>
        <v>#DIV/0!</v>
      </c>
      <c r="BT58" s="67" t="e">
        <f t="array" ref="BT58">_xlfn.STDEV.P(IF($E$5:$E$35=$E57,BT$5:BT$35))</f>
        <v>#DIV/0!</v>
      </c>
      <c r="BU58" s="67" t="e">
        <f t="array" ref="BU58">_xlfn.STDEV.P(IF($E$5:$E$35=$E57,BU$5:BU$35))</f>
        <v>#DIV/0!</v>
      </c>
      <c r="BV58" s="67" t="e">
        <f t="array" ref="BV58">_xlfn.STDEV.P(IF($E$5:$E$35=$E57,BV$5:BV$35))</f>
        <v>#DIV/0!</v>
      </c>
      <c r="BW58" s="67" t="e">
        <f t="array" ref="BW58">_xlfn.STDEV.P(IF($E$5:$E$35=$E57,BW$5:BW$35))</f>
        <v>#DIV/0!</v>
      </c>
      <c r="BX58" s="67" t="e">
        <f t="array" ref="BX58">_xlfn.STDEV.P(IF($E$5:$E$35=$E57,BX$5:BX$35))</f>
        <v>#DIV/0!</v>
      </c>
      <c r="BY58" s="67" t="e">
        <f t="array" ref="BY58">_xlfn.STDEV.P(IF($E$5:$E$35=$E57,BY$5:BY$35))</f>
        <v>#DIV/0!</v>
      </c>
      <c r="BZ58" s="67" t="e">
        <f t="array" ref="BZ58">_xlfn.STDEV.P(IF($E$5:$E$35=$E57,BZ$5:BZ$35))</f>
        <v>#DIV/0!</v>
      </c>
      <c r="CA58" s="67" t="e">
        <f t="array" ref="CA58">_xlfn.STDEV.P(IF($E$5:$E$35=$E57,CA$5:CA$35))</f>
        <v>#DIV/0!</v>
      </c>
      <c r="CB58" s="67" t="e">
        <f t="array" ref="CB58">_xlfn.STDEV.P(IF($E$5:$E$35=$E57,CB$5:CB$35))</f>
        <v>#DIV/0!</v>
      </c>
      <c r="CC58" s="67" t="e">
        <f t="array" ref="CC58">_xlfn.STDEV.P(IF($E$5:$E$35=$E57,CC$5:CC$35))</f>
        <v>#DIV/0!</v>
      </c>
      <c r="CD58" s="67" t="e">
        <f t="array" ref="CD58">_xlfn.STDEV.P(IF($E$5:$E$35=$E57,CD$5:CD$35))</f>
        <v>#DIV/0!</v>
      </c>
      <c r="CE58" s="67" t="e">
        <f t="array" ref="CE58">_xlfn.STDEV.P(IF($E$5:$E$35=$E57,CE$5:CE$35))</f>
        <v>#DIV/0!</v>
      </c>
      <c r="CF58" s="67" t="e">
        <f t="array" ref="CF58">_xlfn.STDEV.P(IF($E$5:$E$35=$E57,CF$5:CF$35))</f>
        <v>#DIV/0!</v>
      </c>
      <c r="CG58" s="67" t="e">
        <f t="array" ref="CG58">_xlfn.STDEV.P(IF($E$5:$E$35=$E57,CG$5:CG$35))</f>
        <v>#DIV/0!</v>
      </c>
      <c r="CH58" s="67" t="e">
        <f t="array" ref="CH58">_xlfn.STDEV.P(IF($E$5:$E$35=$E57,CH$5:CH$35))</f>
        <v>#DIV/0!</v>
      </c>
      <c r="CI58" s="67" t="e">
        <f t="array" ref="CI58">_xlfn.STDEV.P(IF($E$5:$E$35=$E57,CI$5:CI$35))</f>
        <v>#DIV/0!</v>
      </c>
      <c r="CJ58" s="67" t="e">
        <f t="array" ref="CJ58">_xlfn.STDEV.P(IF($E$5:$E$35=$E57,CJ$5:CJ$35))</f>
        <v>#DIV/0!</v>
      </c>
      <c r="CK58" s="67" t="e">
        <f t="array" ref="CK58">_xlfn.STDEV.P(IF($E$5:$E$35=$E57,CK$5:CK$35))</f>
        <v>#DIV/0!</v>
      </c>
      <c r="CL58" s="67" t="e">
        <f t="array" ref="CL58">_xlfn.STDEV.P(IF($E$5:$E$35=$E57,CL$5:CL$35))</f>
        <v>#DIV/0!</v>
      </c>
      <c r="CM58" s="67" t="e">
        <f t="array" ref="CM58">_xlfn.STDEV.P(IF($E$5:$E$35=$E57,CM$5:CM$35))</f>
        <v>#DIV/0!</v>
      </c>
      <c r="CN58" s="67" t="e">
        <f t="array" ref="CN58">_xlfn.STDEV.P(IF($E$5:$E$35=$E57,CN$5:CN$35))</f>
        <v>#DIV/0!</v>
      </c>
      <c r="CO58" s="67" t="e">
        <f t="array" ref="CO58">_xlfn.STDEV.P(IF($E$5:$E$35=$E57,CO$5:CO$35))</f>
        <v>#DIV/0!</v>
      </c>
      <c r="CP58" s="67" t="e">
        <f t="array" ref="CP58">_xlfn.STDEV.P(IF($E$5:$E$35=$E57,CP$5:CP$35))</f>
        <v>#DIV/0!</v>
      </c>
      <c r="CQ58" s="67" t="e">
        <f t="array" ref="CQ58">_xlfn.STDEV.P(IF($E$5:$E$35=$E57,CQ$5:CQ$35))</f>
        <v>#DIV/0!</v>
      </c>
      <c r="CR58" s="67" t="e">
        <f t="array" ref="CR58">_xlfn.STDEV.P(IF($E$5:$E$35=$E57,CR$5:CR$35))</f>
        <v>#DIV/0!</v>
      </c>
      <c r="CS58" s="67" t="e">
        <f t="array" ref="CS58">_xlfn.STDEV.P(IF($E$5:$E$35=$E57,CS$5:CS$35))</f>
        <v>#DIV/0!</v>
      </c>
      <c r="CT58" s="67" t="e">
        <f t="array" ref="CT58">_xlfn.STDEV.P(IF($E$5:$E$35=$E57,CT$5:CT$35))</f>
        <v>#DIV/0!</v>
      </c>
      <c r="CU58" s="67" t="e">
        <f t="array" ref="CU58">_xlfn.STDEV.P(IF($E$5:$E$35=$E57,CU$5:CU$35))</f>
        <v>#DIV/0!</v>
      </c>
      <c r="CV58" s="67" t="e">
        <f t="array" ref="CV58">_xlfn.STDEV.P(IF($E$5:$E$35=$E57,CV$5:CV$35))</f>
        <v>#DIV/0!</v>
      </c>
      <c r="CW58" s="67" t="e">
        <f t="array" ref="CW58">_xlfn.STDEV.P(IF($E$5:$E$35=$E57,CW$5:CW$35))</f>
        <v>#DIV/0!</v>
      </c>
      <c r="CX58" s="67" t="e">
        <f t="array" ref="CX58">_xlfn.STDEV.P(IF($E$5:$E$35=$E57,CX$5:CX$35))</f>
        <v>#DIV/0!</v>
      </c>
      <c r="CY58" s="67" t="e">
        <f t="array" ref="CY58">_xlfn.STDEV.P(IF($E$5:$E$35=$E57,CY$5:CY$35))</f>
        <v>#DIV/0!</v>
      </c>
      <c r="CZ58" s="67" t="e">
        <f t="array" ref="CZ58">_xlfn.STDEV.P(IF($E$5:$E$35=$E57,CZ$5:CZ$35))</f>
        <v>#DIV/0!</v>
      </c>
      <c r="DA58" s="67" t="e">
        <f t="array" ref="DA58">_xlfn.STDEV.P(IF($E$5:$E$35=$E57,DA$5:DA$35))</f>
        <v>#DIV/0!</v>
      </c>
      <c r="DB58" s="67" t="e">
        <f t="array" ref="DB58">_xlfn.STDEV.P(IF($E$5:$E$35=$E57,DB$5:DB$35))</f>
        <v>#DIV/0!</v>
      </c>
      <c r="DC58" s="67" t="e">
        <f t="array" ref="DC58">_xlfn.STDEV.P(IF($E$5:$E$35=$E57,DC$5:DC$35))</f>
        <v>#DIV/0!</v>
      </c>
      <c r="DD58" s="94" t="s">
        <v>11</v>
      </c>
      <c r="DE58" s="165"/>
      <c r="DF58" s="165"/>
      <c r="DG58" s="165"/>
      <c r="DH58" s="165"/>
      <c r="DI58" s="165"/>
      <c r="DJ58" s="165"/>
      <c r="DK58" s="165"/>
      <c r="DL58" s="165"/>
      <c r="DM58" s="165"/>
      <c r="DN58" s="165"/>
    </row>
    <row r="59" spans="1:119" s="150" customFormat="1" ht="14.25" customHeight="1">
      <c r="A59" s="146"/>
      <c r="B59" s="147"/>
      <c r="C59" s="148"/>
      <c r="D59" s="147"/>
      <c r="E59" s="149"/>
      <c r="H59" s="151"/>
      <c r="I59" s="279"/>
      <c r="J59" s="279"/>
      <c r="K59" s="279"/>
      <c r="L59" s="279"/>
      <c r="M59" s="279"/>
      <c r="N59" s="280"/>
      <c r="O59" s="280"/>
      <c r="P59" s="280"/>
      <c r="Q59" s="279"/>
      <c r="R59" s="281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4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27" t="s">
        <v>90</v>
      </c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</row>
    <row r="60" spans="1:119" s="159" customFormat="1" ht="14.25" customHeight="1">
      <c r="A60" s="155"/>
      <c r="B60" s="156"/>
      <c r="C60" s="157"/>
      <c r="D60" s="156"/>
      <c r="E60" s="158"/>
      <c r="H60" s="160"/>
      <c r="I60" s="282"/>
      <c r="J60" s="282"/>
      <c r="K60" s="282"/>
      <c r="L60" s="282"/>
      <c r="M60" s="282"/>
      <c r="N60" s="283"/>
      <c r="O60" s="283"/>
      <c r="P60" s="283"/>
      <c r="Q60" s="282"/>
      <c r="R60" s="284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63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154"/>
      <c r="CU60" s="154"/>
      <c r="CV60" s="154"/>
      <c r="CW60" s="154"/>
      <c r="CX60" s="154"/>
      <c r="CY60" s="154"/>
      <c r="CZ60" s="154"/>
      <c r="DA60" s="154"/>
      <c r="DB60" s="154"/>
      <c r="DC60" s="154"/>
      <c r="DD60" s="285" t="s">
        <v>91</v>
      </c>
      <c r="DE60" s="165"/>
      <c r="DF60" s="165"/>
      <c r="DG60" s="165"/>
      <c r="DH60" s="165"/>
      <c r="DI60" s="165"/>
      <c r="DJ60" s="165"/>
      <c r="DK60" s="165"/>
      <c r="DL60" s="165"/>
      <c r="DM60" s="165"/>
      <c r="DN60" s="165"/>
    </row>
    <row r="61" spans="1:119" ht="15">
      <c r="A61" s="103"/>
      <c r="E61" s="108"/>
      <c r="H61" s="45"/>
      <c r="J61" s="50"/>
      <c r="K61" s="50"/>
      <c r="N61" s="275"/>
      <c r="O61" s="275"/>
      <c r="P61" s="275"/>
      <c r="Q61" s="50"/>
      <c r="DE61" s="165"/>
      <c r="DF61" s="165"/>
      <c r="DG61" s="165"/>
      <c r="DH61" s="165"/>
      <c r="DI61" s="165"/>
      <c r="DJ61" s="165"/>
      <c r="DK61" s="165"/>
      <c r="DL61" s="165"/>
      <c r="DM61" s="165"/>
      <c r="DN61" s="165"/>
    </row>
    <row r="62" spans="1:119" ht="14.25" customHeight="1">
      <c r="A62" s="103"/>
      <c r="E62" s="108" t="str">
        <f>'5GY EBRT Groups'!C12</f>
        <v>Group 7</v>
      </c>
      <c r="H62" s="108" t="str">
        <f>E62</f>
        <v>Group 7</v>
      </c>
      <c r="I62" s="277" t="e">
        <f>AVERAGEIF($E$5:$E$35,$E62,I$5:I$35)</f>
        <v>#DIV/0!</v>
      </c>
      <c r="J62" s="277"/>
      <c r="K62" s="277"/>
      <c r="L62" s="277" t="e">
        <f>AVERAGEIF($E$5:$E$35,$E62,L$5:L$35)</f>
        <v>#DIV/0!</v>
      </c>
      <c r="M62" s="277"/>
      <c r="N62" s="278" t="e">
        <f>AVERAGEIF($E$5:$E$35,$E62,N$5:N$35)</f>
        <v>#DIV/0!</v>
      </c>
      <c r="O62" s="278" t="e">
        <f>AVERAGEIF($E$5:$E$35,$E62,O$5:O$35)</f>
        <v>#DIV/0!</v>
      </c>
      <c r="P62" s="278" t="e">
        <f>AVERAGEIF($E$5:$E$35,$E62,P$5:P$35)</f>
        <v>#DIV/0!</v>
      </c>
      <c r="Q62" s="277" t="e">
        <f>AVERAGEIF($E$5:$E$35,$E62,Q$5:Q$35)</f>
        <v>#DIV/0!</v>
      </c>
      <c r="R62" s="65" t="s">
        <v>9</v>
      </c>
      <c r="S62" s="71" t="e">
        <f t="shared" ref="S62:BJ62" si="32">AVERAGEIF($E$5:$E$35,$E62,S$5:S$35)</f>
        <v>#DIV/0!</v>
      </c>
      <c r="T62" s="71" t="e">
        <f t="shared" si="32"/>
        <v>#DIV/0!</v>
      </c>
      <c r="U62" s="71" t="e">
        <f t="shared" si="32"/>
        <v>#DIV/0!</v>
      </c>
      <c r="V62" s="71" t="e">
        <f t="shared" si="32"/>
        <v>#DIV/0!</v>
      </c>
      <c r="W62" s="71" t="e">
        <f t="shared" si="32"/>
        <v>#DIV/0!</v>
      </c>
      <c r="X62" s="71" t="e">
        <f t="shared" si="32"/>
        <v>#DIV/0!</v>
      </c>
      <c r="Y62" s="71" t="e">
        <f t="shared" si="32"/>
        <v>#DIV/0!</v>
      </c>
      <c r="Z62" s="71" t="e">
        <f t="shared" si="32"/>
        <v>#DIV/0!</v>
      </c>
      <c r="AA62" s="71" t="e">
        <f t="shared" si="32"/>
        <v>#DIV/0!</v>
      </c>
      <c r="AB62" s="71" t="e">
        <f t="shared" si="32"/>
        <v>#DIV/0!</v>
      </c>
      <c r="AC62" s="71" t="e">
        <f t="shared" si="32"/>
        <v>#DIV/0!</v>
      </c>
      <c r="AD62" s="71" t="e">
        <f t="shared" si="32"/>
        <v>#DIV/0!</v>
      </c>
      <c r="AE62" s="71" t="e">
        <f t="shared" si="32"/>
        <v>#DIV/0!</v>
      </c>
      <c r="AF62" s="71" t="e">
        <f t="shared" si="32"/>
        <v>#DIV/0!</v>
      </c>
      <c r="AG62" s="71" t="e">
        <f t="shared" si="32"/>
        <v>#DIV/0!</v>
      </c>
      <c r="AH62" s="71" t="e">
        <f t="shared" si="32"/>
        <v>#DIV/0!</v>
      </c>
      <c r="AI62" s="71" t="e">
        <f t="shared" si="32"/>
        <v>#DIV/0!</v>
      </c>
      <c r="AJ62" s="71" t="e">
        <f t="shared" si="32"/>
        <v>#DIV/0!</v>
      </c>
      <c r="AK62" s="71" t="e">
        <f t="shared" si="32"/>
        <v>#DIV/0!</v>
      </c>
      <c r="AL62" s="71" t="e">
        <f t="shared" si="32"/>
        <v>#DIV/0!</v>
      </c>
      <c r="AM62" s="71" t="e">
        <f t="shared" si="32"/>
        <v>#DIV/0!</v>
      </c>
      <c r="AN62" s="71" t="e">
        <f t="shared" si="32"/>
        <v>#DIV/0!</v>
      </c>
      <c r="AO62" s="71" t="e">
        <f t="shared" si="32"/>
        <v>#DIV/0!</v>
      </c>
      <c r="AP62" s="71" t="e">
        <f t="shared" si="32"/>
        <v>#DIV/0!</v>
      </c>
      <c r="AQ62" s="71" t="e">
        <f t="shared" si="32"/>
        <v>#DIV/0!</v>
      </c>
      <c r="AR62" s="71" t="e">
        <f t="shared" si="32"/>
        <v>#DIV/0!</v>
      </c>
      <c r="AS62" s="71" t="e">
        <f t="shared" si="32"/>
        <v>#DIV/0!</v>
      </c>
      <c r="AT62" s="71" t="e">
        <f t="shared" si="32"/>
        <v>#DIV/0!</v>
      </c>
      <c r="AU62" s="71" t="e">
        <f t="shared" si="32"/>
        <v>#DIV/0!</v>
      </c>
      <c r="AV62" s="71" t="e">
        <f t="shared" si="32"/>
        <v>#DIV/0!</v>
      </c>
      <c r="AW62" s="71" t="e">
        <f t="shared" si="32"/>
        <v>#DIV/0!</v>
      </c>
      <c r="AX62" s="71" t="e">
        <f t="shared" si="32"/>
        <v>#DIV/0!</v>
      </c>
      <c r="AY62" s="71" t="e">
        <f t="shared" si="32"/>
        <v>#DIV/0!</v>
      </c>
      <c r="AZ62" s="71" t="e">
        <f t="shared" si="32"/>
        <v>#DIV/0!</v>
      </c>
      <c r="BA62" s="71" t="e">
        <f t="shared" si="32"/>
        <v>#DIV/0!</v>
      </c>
      <c r="BB62" s="71" t="e">
        <f t="shared" si="32"/>
        <v>#DIV/0!</v>
      </c>
      <c r="BC62" s="71" t="e">
        <f t="shared" si="32"/>
        <v>#DIV/0!</v>
      </c>
      <c r="BD62" s="71" t="e">
        <f t="shared" si="32"/>
        <v>#DIV/0!</v>
      </c>
      <c r="BE62" s="71" t="e">
        <f t="shared" si="32"/>
        <v>#DIV/0!</v>
      </c>
      <c r="BF62" s="71" t="e">
        <f t="shared" si="32"/>
        <v>#DIV/0!</v>
      </c>
      <c r="BG62" s="71" t="e">
        <f t="shared" si="32"/>
        <v>#DIV/0!</v>
      </c>
      <c r="BH62" s="71" t="e">
        <f t="shared" si="32"/>
        <v>#DIV/0!</v>
      </c>
      <c r="BI62" s="71" t="e">
        <f t="shared" si="32"/>
        <v>#DIV/0!</v>
      </c>
      <c r="BJ62" s="71" t="e">
        <f t="shared" si="32"/>
        <v>#DIV/0!</v>
      </c>
      <c r="BK62" s="93" t="s">
        <v>9</v>
      </c>
      <c r="BL62" s="66" t="e">
        <f t="shared" ref="BL62:DC62" si="33">AVERAGEIF($E$5:$E$35,$E62,BL$5:BL$35)</f>
        <v>#DIV/0!</v>
      </c>
      <c r="BM62" s="66" t="e">
        <f t="shared" si="33"/>
        <v>#DIV/0!</v>
      </c>
      <c r="BN62" s="66" t="e">
        <f t="shared" si="33"/>
        <v>#DIV/0!</v>
      </c>
      <c r="BO62" s="66" t="e">
        <f t="shared" si="33"/>
        <v>#DIV/0!</v>
      </c>
      <c r="BP62" s="66" t="e">
        <f t="shared" si="33"/>
        <v>#DIV/0!</v>
      </c>
      <c r="BQ62" s="66" t="e">
        <f t="shared" si="33"/>
        <v>#DIV/0!</v>
      </c>
      <c r="BR62" s="66" t="e">
        <f t="shared" si="33"/>
        <v>#DIV/0!</v>
      </c>
      <c r="BS62" s="66" t="e">
        <f t="shared" si="33"/>
        <v>#DIV/0!</v>
      </c>
      <c r="BT62" s="66" t="e">
        <f t="shared" si="33"/>
        <v>#DIV/0!</v>
      </c>
      <c r="BU62" s="66" t="e">
        <f t="shared" si="33"/>
        <v>#DIV/0!</v>
      </c>
      <c r="BV62" s="66" t="e">
        <f t="shared" si="33"/>
        <v>#DIV/0!</v>
      </c>
      <c r="BW62" s="66" t="e">
        <f t="shared" si="33"/>
        <v>#DIV/0!</v>
      </c>
      <c r="BX62" s="66" t="e">
        <f t="shared" si="33"/>
        <v>#DIV/0!</v>
      </c>
      <c r="BY62" s="66" t="e">
        <f t="shared" si="33"/>
        <v>#DIV/0!</v>
      </c>
      <c r="BZ62" s="66" t="e">
        <f t="shared" si="33"/>
        <v>#DIV/0!</v>
      </c>
      <c r="CA62" s="66" t="e">
        <f t="shared" si="33"/>
        <v>#DIV/0!</v>
      </c>
      <c r="CB62" s="66" t="e">
        <f t="shared" si="33"/>
        <v>#DIV/0!</v>
      </c>
      <c r="CC62" s="66" t="e">
        <f t="shared" si="33"/>
        <v>#DIV/0!</v>
      </c>
      <c r="CD62" s="66" t="e">
        <f t="shared" si="33"/>
        <v>#DIV/0!</v>
      </c>
      <c r="CE62" s="66" t="e">
        <f t="shared" si="33"/>
        <v>#DIV/0!</v>
      </c>
      <c r="CF62" s="66" t="e">
        <f t="shared" si="33"/>
        <v>#DIV/0!</v>
      </c>
      <c r="CG62" s="66" t="e">
        <f t="shared" si="33"/>
        <v>#DIV/0!</v>
      </c>
      <c r="CH62" s="66" t="e">
        <f t="shared" si="33"/>
        <v>#DIV/0!</v>
      </c>
      <c r="CI62" s="66" t="e">
        <f t="shared" si="33"/>
        <v>#DIV/0!</v>
      </c>
      <c r="CJ62" s="66" t="e">
        <f t="shared" si="33"/>
        <v>#DIV/0!</v>
      </c>
      <c r="CK62" s="66" t="e">
        <f t="shared" si="33"/>
        <v>#DIV/0!</v>
      </c>
      <c r="CL62" s="66" t="e">
        <f t="shared" si="33"/>
        <v>#DIV/0!</v>
      </c>
      <c r="CM62" s="66" t="e">
        <f t="shared" si="33"/>
        <v>#DIV/0!</v>
      </c>
      <c r="CN62" s="66" t="e">
        <f t="shared" si="33"/>
        <v>#DIV/0!</v>
      </c>
      <c r="CO62" s="66" t="e">
        <f t="shared" si="33"/>
        <v>#DIV/0!</v>
      </c>
      <c r="CP62" s="66" t="e">
        <f t="shared" si="33"/>
        <v>#DIV/0!</v>
      </c>
      <c r="CQ62" s="66" t="e">
        <f t="shared" si="33"/>
        <v>#DIV/0!</v>
      </c>
      <c r="CR62" s="66" t="e">
        <f t="shared" si="33"/>
        <v>#DIV/0!</v>
      </c>
      <c r="CS62" s="66" t="e">
        <f t="shared" si="33"/>
        <v>#DIV/0!</v>
      </c>
      <c r="CT62" s="66" t="e">
        <f t="shared" si="33"/>
        <v>#DIV/0!</v>
      </c>
      <c r="CU62" s="66" t="e">
        <f t="shared" si="33"/>
        <v>#DIV/0!</v>
      </c>
      <c r="CV62" s="66" t="e">
        <f t="shared" si="33"/>
        <v>#DIV/0!</v>
      </c>
      <c r="CW62" s="66" t="e">
        <f t="shared" si="33"/>
        <v>#DIV/0!</v>
      </c>
      <c r="CX62" s="66" t="e">
        <f t="shared" si="33"/>
        <v>#DIV/0!</v>
      </c>
      <c r="CY62" s="66" t="e">
        <f t="shared" si="33"/>
        <v>#DIV/0!</v>
      </c>
      <c r="CZ62" s="66" t="e">
        <f t="shared" si="33"/>
        <v>#DIV/0!</v>
      </c>
      <c r="DA62" s="66" t="e">
        <f t="shared" si="33"/>
        <v>#DIV/0!</v>
      </c>
      <c r="DB62" s="66" t="e">
        <f t="shared" si="33"/>
        <v>#DIV/0!</v>
      </c>
      <c r="DC62" s="66" t="e">
        <f t="shared" si="33"/>
        <v>#DIV/0!</v>
      </c>
      <c r="DD62" s="93" t="s">
        <v>9</v>
      </c>
      <c r="DE62" s="165"/>
      <c r="DF62" s="165"/>
      <c r="DG62" s="165"/>
      <c r="DH62" s="165"/>
      <c r="DI62" s="165"/>
      <c r="DJ62" s="165"/>
      <c r="DK62" s="165"/>
      <c r="DL62" s="165"/>
      <c r="DM62" s="165"/>
      <c r="DN62" s="165"/>
      <c r="DO62" s="150"/>
    </row>
    <row r="63" spans="1:119" ht="14.25" customHeight="1">
      <c r="A63" s="103"/>
      <c r="E63" s="108"/>
      <c r="H63" s="83"/>
      <c r="I63" s="277" t="e">
        <f t="array" ref="I63">_xlfn.STDEV.P(IF($E$5:$E$35=$E62,I$5:I$35))</f>
        <v>#DIV/0!</v>
      </c>
      <c r="J63" s="277"/>
      <c r="K63" s="277"/>
      <c r="L63" s="277" t="e">
        <f t="array" ref="L63">_xlfn.STDEV.P(IF($E$5:$E$35=$E62,L$5:L$35))</f>
        <v>#DIV/0!</v>
      </c>
      <c r="M63" s="277"/>
      <c r="N63" s="278" t="e">
        <f t="array" ref="N63">_xlfn.STDEV.P(IF($E$5:$E$35=$E62,N$5:N$35))</f>
        <v>#DIV/0!</v>
      </c>
      <c r="O63" s="278" t="e">
        <f t="array" ref="O63">_xlfn.STDEV.P(IF($E$5:$E$35=$E62,O$5:O$35))</f>
        <v>#DIV/0!</v>
      </c>
      <c r="P63" s="278" t="e">
        <f t="array" ref="P63">_xlfn.STDEV.P(IF($E$5:$E$35=$E62,P$5:P$35))</f>
        <v>#DIV/0!</v>
      </c>
      <c r="Q63" s="277" t="e">
        <f t="array" ref="Q63">_xlfn.STDEV.P(IF($E$5:$E$35=$E62,Q$5:Q$35))</f>
        <v>#DIV/0!</v>
      </c>
      <c r="R63" s="65" t="s">
        <v>11</v>
      </c>
      <c r="S63" s="74" t="e">
        <f t="array" ref="S63">_xlfn.STDEV.P(IF($E$5:$E$35=$E62,S$5:S$35))</f>
        <v>#DIV/0!</v>
      </c>
      <c r="T63" s="74" t="e">
        <f t="array" ref="T63">_xlfn.STDEV.P(IF($E$5:$E$35=$E62,T$5:T$35))</f>
        <v>#DIV/0!</v>
      </c>
      <c r="U63" s="74" t="e">
        <f t="array" ref="U63">_xlfn.STDEV.P(IF($E$5:$E$35=$E62,U$5:U$35))</f>
        <v>#DIV/0!</v>
      </c>
      <c r="V63" s="74" t="e">
        <f t="array" ref="V63">_xlfn.STDEV.P(IF($E$5:$E$35=$E62,V$5:V$35))</f>
        <v>#DIV/0!</v>
      </c>
      <c r="W63" s="74" t="e">
        <f t="array" ref="W63">_xlfn.STDEV.P(IF($E$5:$E$35=$E62,W$5:W$35))</f>
        <v>#DIV/0!</v>
      </c>
      <c r="X63" s="74" t="e">
        <f t="array" ref="X63">_xlfn.STDEV.P(IF($E$5:$E$35=$E62,X$5:X$35))</f>
        <v>#DIV/0!</v>
      </c>
      <c r="Y63" s="74" t="e">
        <f t="array" ref="Y63">_xlfn.STDEV.P(IF($E$5:$E$35=$E62,Y$5:Y$35))</f>
        <v>#DIV/0!</v>
      </c>
      <c r="Z63" s="74" t="e">
        <f t="array" ref="Z63">_xlfn.STDEV.P(IF($E$5:$E$35=$E62,Z$5:Z$35))</f>
        <v>#DIV/0!</v>
      </c>
      <c r="AA63" s="74" t="e">
        <f t="array" ref="AA63">_xlfn.STDEV.P(IF($E$5:$E$35=$E62,AA$5:AA$35))</f>
        <v>#DIV/0!</v>
      </c>
      <c r="AB63" s="74" t="e">
        <f t="array" ref="AB63">_xlfn.STDEV.P(IF($E$5:$E$35=$E62,AB$5:AB$35))</f>
        <v>#DIV/0!</v>
      </c>
      <c r="AC63" s="74" t="e">
        <f t="array" ref="AC63">_xlfn.STDEV.P(IF($E$5:$E$35=$E62,AC$5:AC$35))</f>
        <v>#DIV/0!</v>
      </c>
      <c r="AD63" s="74" t="e">
        <f t="array" ref="AD63">_xlfn.STDEV.P(IF($E$5:$E$35=$E62,AD$5:AD$35))</f>
        <v>#DIV/0!</v>
      </c>
      <c r="AE63" s="74" t="e">
        <f t="array" ref="AE63">_xlfn.STDEV.P(IF($E$5:$E$35=$E62,AE$5:AE$35))</f>
        <v>#DIV/0!</v>
      </c>
      <c r="AF63" s="74" t="e">
        <f t="array" ref="AF63">_xlfn.STDEV.P(IF($E$5:$E$35=$E62,AF$5:AF$35))</f>
        <v>#DIV/0!</v>
      </c>
      <c r="AG63" s="74" t="e">
        <f t="array" ref="AG63">_xlfn.STDEV.P(IF($E$5:$E$35=$E62,AG$5:AG$35))</f>
        <v>#DIV/0!</v>
      </c>
      <c r="AH63" s="74" t="e">
        <f t="array" ref="AH63">_xlfn.STDEV.P(IF($E$5:$E$35=$E62,AH$5:AH$35))</f>
        <v>#DIV/0!</v>
      </c>
      <c r="AI63" s="74" t="e">
        <f t="array" ref="AI63">_xlfn.STDEV.P(IF($E$5:$E$35=$E62,AI$5:AI$35))</f>
        <v>#DIV/0!</v>
      </c>
      <c r="AJ63" s="74" t="e">
        <f t="array" ref="AJ63">_xlfn.STDEV.P(IF($E$5:$E$35=$E62,AJ$5:AJ$35))</f>
        <v>#DIV/0!</v>
      </c>
      <c r="AK63" s="74" t="e">
        <f t="array" ref="AK63">_xlfn.STDEV.P(IF($E$5:$E$35=$E62,AK$5:AK$35))</f>
        <v>#DIV/0!</v>
      </c>
      <c r="AL63" s="74" t="e">
        <f t="array" ref="AL63">_xlfn.STDEV.P(IF($E$5:$E$35=$E62,AL$5:AL$35))</f>
        <v>#DIV/0!</v>
      </c>
      <c r="AM63" s="74" t="e">
        <f t="array" ref="AM63">_xlfn.STDEV.P(IF($E$5:$E$35=$E62,AM$5:AM$35))</f>
        <v>#DIV/0!</v>
      </c>
      <c r="AN63" s="74" t="e">
        <f t="array" ref="AN63">_xlfn.STDEV.P(IF($E$5:$E$35=$E62,AN$5:AN$35))</f>
        <v>#DIV/0!</v>
      </c>
      <c r="AO63" s="74" t="e">
        <f t="array" ref="AO63">_xlfn.STDEV.P(IF($E$5:$E$35=$E62,AO$5:AO$35))</f>
        <v>#DIV/0!</v>
      </c>
      <c r="AP63" s="74" t="e">
        <f t="array" ref="AP63">_xlfn.STDEV.P(IF($E$5:$E$35=$E62,AP$5:AP$35))</f>
        <v>#DIV/0!</v>
      </c>
      <c r="AQ63" s="74" t="e">
        <f t="array" ref="AQ63">_xlfn.STDEV.P(IF($E$5:$E$35=$E62,AQ$5:AQ$35))</f>
        <v>#DIV/0!</v>
      </c>
      <c r="AR63" s="74" t="e">
        <f t="array" ref="AR63">_xlfn.STDEV.P(IF($E$5:$E$35=$E62,AR$5:AR$35))</f>
        <v>#DIV/0!</v>
      </c>
      <c r="AS63" s="74" t="e">
        <f t="array" ref="AS63">_xlfn.STDEV.P(IF($E$5:$E$35=$E62,AS$5:AS$35))</f>
        <v>#DIV/0!</v>
      </c>
      <c r="AT63" s="74" t="e">
        <f t="array" ref="AT63">_xlfn.STDEV.P(IF($E$5:$E$35=$E62,AT$5:AT$35))</f>
        <v>#DIV/0!</v>
      </c>
      <c r="AU63" s="74" t="e">
        <f t="array" ref="AU63">_xlfn.STDEV.P(IF($E$5:$E$35=$E62,AU$5:AU$35))</f>
        <v>#DIV/0!</v>
      </c>
      <c r="AV63" s="74" t="e">
        <f t="array" ref="AV63">_xlfn.STDEV.P(IF($E$5:$E$35=$E62,AV$5:AV$35))</f>
        <v>#DIV/0!</v>
      </c>
      <c r="AW63" s="74" t="e">
        <f t="array" ref="AW63">_xlfn.STDEV.P(IF($E$5:$E$35=$E62,AW$5:AW$35))</f>
        <v>#DIV/0!</v>
      </c>
      <c r="AX63" s="74" t="e">
        <f t="array" ref="AX63">_xlfn.STDEV.P(IF($E$5:$E$35=$E62,AX$5:AX$35))</f>
        <v>#DIV/0!</v>
      </c>
      <c r="AY63" s="74" t="e">
        <f t="array" ref="AY63">_xlfn.STDEV.P(IF($E$5:$E$35=$E62,AY$5:AY$35))</f>
        <v>#DIV/0!</v>
      </c>
      <c r="AZ63" s="74" t="e">
        <f t="array" ref="AZ63">_xlfn.STDEV.P(IF($E$5:$E$35=$E62,AZ$5:AZ$35))</f>
        <v>#DIV/0!</v>
      </c>
      <c r="BA63" s="74" t="e">
        <f t="array" ref="BA63">_xlfn.STDEV.P(IF($E$5:$E$35=$E62,BA$5:BA$35))</f>
        <v>#DIV/0!</v>
      </c>
      <c r="BB63" s="74" t="e">
        <f t="array" ref="BB63">_xlfn.STDEV.P(IF($E$5:$E$35=$E62,BB$5:BB$35))</f>
        <v>#DIV/0!</v>
      </c>
      <c r="BC63" s="74" t="e">
        <f t="array" ref="BC63">_xlfn.STDEV.P(IF($E$5:$E$35=$E62,BC$5:BC$35))</f>
        <v>#DIV/0!</v>
      </c>
      <c r="BD63" s="74" t="e">
        <f t="array" ref="BD63">_xlfn.STDEV.P(IF($E$5:$E$35=$E62,BD$5:BD$35))</f>
        <v>#DIV/0!</v>
      </c>
      <c r="BE63" s="74" t="e">
        <f t="array" ref="BE63">_xlfn.STDEV.P(IF($E$5:$E$35=$E62,BE$5:BE$35))</f>
        <v>#DIV/0!</v>
      </c>
      <c r="BF63" s="74" t="e">
        <f t="array" ref="BF63">_xlfn.STDEV.P(IF($E$5:$E$35=$E62,BF$5:BF$35))</f>
        <v>#DIV/0!</v>
      </c>
      <c r="BG63" s="74" t="e">
        <f t="array" ref="BG63">_xlfn.STDEV.P(IF($E$5:$E$35=$E62,BG$5:BG$35))</f>
        <v>#DIV/0!</v>
      </c>
      <c r="BH63" s="74" t="e">
        <f t="array" ref="BH63">_xlfn.STDEV.P(IF($E$5:$E$35=$E62,BH$5:BH$35))</f>
        <v>#DIV/0!</v>
      </c>
      <c r="BI63" s="74" t="e">
        <f t="array" ref="BI63">_xlfn.STDEV.P(IF($E$5:$E$35=$E62,BI$5:BI$35))</f>
        <v>#DIV/0!</v>
      </c>
      <c r="BJ63" s="74" t="e">
        <f t="array" ref="BJ63">_xlfn.STDEV.P(IF($E$5:$E$35=$E62,BJ$5:BJ$35))</f>
        <v>#DIV/0!</v>
      </c>
      <c r="BK63" s="94" t="s">
        <v>11</v>
      </c>
      <c r="BL63" s="67" t="e">
        <f t="array" ref="BL63">_xlfn.STDEV.P(IF($E$5:$E$35=$E62,BL$5:BL$35))</f>
        <v>#DIV/0!</v>
      </c>
      <c r="BM63" s="67" t="e">
        <f t="array" ref="BM63">_xlfn.STDEV.P(IF($E$5:$E$35=$E62,BM$5:BM$35))</f>
        <v>#DIV/0!</v>
      </c>
      <c r="BN63" s="67" t="e">
        <f t="array" ref="BN63">_xlfn.STDEV.P(IF($E$5:$E$35=$E62,BN$5:BN$35))</f>
        <v>#DIV/0!</v>
      </c>
      <c r="BO63" s="67" t="e">
        <f t="array" ref="BO63">_xlfn.STDEV.P(IF($E$5:$E$35=$E62,BO$5:BO$35))</f>
        <v>#DIV/0!</v>
      </c>
      <c r="BP63" s="67" t="e">
        <f t="array" ref="BP63">_xlfn.STDEV.P(IF($E$5:$E$35=$E62,BP$5:BP$35))</f>
        <v>#DIV/0!</v>
      </c>
      <c r="BQ63" s="67" t="e">
        <f t="array" ref="BQ63">_xlfn.STDEV.P(IF($E$5:$E$35=$E62,BQ$5:BQ$35))</f>
        <v>#DIV/0!</v>
      </c>
      <c r="BR63" s="67" t="e">
        <f t="array" ref="BR63">_xlfn.STDEV.P(IF($E$5:$E$35=$E62,BR$5:BR$35))</f>
        <v>#DIV/0!</v>
      </c>
      <c r="BS63" s="67" t="e">
        <f t="array" ref="BS63">_xlfn.STDEV.P(IF($E$5:$E$35=$E62,BS$5:BS$35))</f>
        <v>#DIV/0!</v>
      </c>
      <c r="BT63" s="67" t="e">
        <f t="array" ref="BT63">_xlfn.STDEV.P(IF($E$5:$E$35=$E62,BT$5:BT$35))</f>
        <v>#DIV/0!</v>
      </c>
      <c r="BU63" s="67" t="e">
        <f t="array" ref="BU63">_xlfn.STDEV.P(IF($E$5:$E$35=$E62,BU$5:BU$35))</f>
        <v>#DIV/0!</v>
      </c>
      <c r="BV63" s="67" t="e">
        <f t="array" ref="BV63">_xlfn.STDEV.P(IF($E$5:$E$35=$E62,BV$5:BV$35))</f>
        <v>#DIV/0!</v>
      </c>
      <c r="BW63" s="67" t="e">
        <f t="array" ref="BW63">_xlfn.STDEV.P(IF($E$5:$E$35=$E62,BW$5:BW$35))</f>
        <v>#DIV/0!</v>
      </c>
      <c r="BX63" s="67" t="e">
        <f t="array" ref="BX63">_xlfn.STDEV.P(IF($E$5:$E$35=$E62,BX$5:BX$35))</f>
        <v>#DIV/0!</v>
      </c>
      <c r="BY63" s="67" t="e">
        <f t="array" ref="BY63">_xlfn.STDEV.P(IF($E$5:$E$35=$E62,BY$5:BY$35))</f>
        <v>#DIV/0!</v>
      </c>
      <c r="BZ63" s="67" t="e">
        <f t="array" ref="BZ63">_xlfn.STDEV.P(IF($E$5:$E$35=$E62,BZ$5:BZ$35))</f>
        <v>#DIV/0!</v>
      </c>
      <c r="CA63" s="67" t="e">
        <f t="array" ref="CA63">_xlfn.STDEV.P(IF($E$5:$E$35=$E62,CA$5:CA$35))</f>
        <v>#DIV/0!</v>
      </c>
      <c r="CB63" s="67" t="e">
        <f t="array" ref="CB63">_xlfn.STDEV.P(IF($E$5:$E$35=$E62,CB$5:CB$35))</f>
        <v>#DIV/0!</v>
      </c>
      <c r="CC63" s="67" t="e">
        <f t="array" ref="CC63">_xlfn.STDEV.P(IF($E$5:$E$35=$E62,CC$5:CC$35))</f>
        <v>#DIV/0!</v>
      </c>
      <c r="CD63" s="67" t="e">
        <f t="array" ref="CD63">_xlfn.STDEV.P(IF($E$5:$E$35=$E62,CD$5:CD$35))</f>
        <v>#DIV/0!</v>
      </c>
      <c r="CE63" s="67" t="e">
        <f t="array" ref="CE63">_xlfn.STDEV.P(IF($E$5:$E$35=$E62,CE$5:CE$35))</f>
        <v>#DIV/0!</v>
      </c>
      <c r="CF63" s="67" t="e">
        <f t="array" ref="CF63">_xlfn.STDEV.P(IF($E$5:$E$35=$E62,CF$5:CF$35))</f>
        <v>#DIV/0!</v>
      </c>
      <c r="CG63" s="67" t="e">
        <f t="array" ref="CG63">_xlfn.STDEV.P(IF($E$5:$E$35=$E62,CG$5:CG$35))</f>
        <v>#DIV/0!</v>
      </c>
      <c r="CH63" s="67" t="e">
        <f t="array" ref="CH63">_xlfn.STDEV.P(IF($E$5:$E$35=$E62,CH$5:CH$35))</f>
        <v>#DIV/0!</v>
      </c>
      <c r="CI63" s="67" t="e">
        <f t="array" ref="CI63">_xlfn.STDEV.P(IF($E$5:$E$35=$E62,CI$5:CI$35))</f>
        <v>#DIV/0!</v>
      </c>
      <c r="CJ63" s="67" t="e">
        <f t="array" ref="CJ63">_xlfn.STDEV.P(IF($E$5:$E$35=$E62,CJ$5:CJ$35))</f>
        <v>#DIV/0!</v>
      </c>
      <c r="CK63" s="67" t="e">
        <f t="array" ref="CK63">_xlfn.STDEV.P(IF($E$5:$E$35=$E62,CK$5:CK$35))</f>
        <v>#DIV/0!</v>
      </c>
      <c r="CL63" s="67" t="e">
        <f t="array" ref="CL63">_xlfn.STDEV.P(IF($E$5:$E$35=$E62,CL$5:CL$35))</f>
        <v>#DIV/0!</v>
      </c>
      <c r="CM63" s="67" t="e">
        <f t="array" ref="CM63">_xlfn.STDEV.P(IF($E$5:$E$35=$E62,CM$5:CM$35))</f>
        <v>#DIV/0!</v>
      </c>
      <c r="CN63" s="67" t="e">
        <f t="array" ref="CN63">_xlfn.STDEV.P(IF($E$5:$E$35=$E62,CN$5:CN$35))</f>
        <v>#DIV/0!</v>
      </c>
      <c r="CO63" s="67" t="e">
        <f t="array" ref="CO63">_xlfn.STDEV.P(IF($E$5:$E$35=$E62,CO$5:CO$35))</f>
        <v>#DIV/0!</v>
      </c>
      <c r="CP63" s="67" t="e">
        <f t="array" ref="CP63">_xlfn.STDEV.P(IF($E$5:$E$35=$E62,CP$5:CP$35))</f>
        <v>#DIV/0!</v>
      </c>
      <c r="CQ63" s="67" t="e">
        <f t="array" ref="CQ63">_xlfn.STDEV.P(IF($E$5:$E$35=$E62,CQ$5:CQ$35))</f>
        <v>#DIV/0!</v>
      </c>
      <c r="CR63" s="67" t="e">
        <f t="array" ref="CR63">_xlfn.STDEV.P(IF($E$5:$E$35=$E62,CR$5:CR$35))</f>
        <v>#DIV/0!</v>
      </c>
      <c r="CS63" s="67" t="e">
        <f t="array" ref="CS63">_xlfn.STDEV.P(IF($E$5:$E$35=$E62,CS$5:CS$35))</f>
        <v>#DIV/0!</v>
      </c>
      <c r="CT63" s="67" t="e">
        <f t="array" ref="CT63">_xlfn.STDEV.P(IF($E$5:$E$35=$E62,CT$5:CT$35))</f>
        <v>#DIV/0!</v>
      </c>
      <c r="CU63" s="67" t="e">
        <f t="array" ref="CU63">_xlfn.STDEV.P(IF($E$5:$E$35=$E62,CU$5:CU$35))</f>
        <v>#DIV/0!</v>
      </c>
      <c r="CV63" s="67" t="e">
        <f t="array" ref="CV63">_xlfn.STDEV.P(IF($E$5:$E$35=$E62,CV$5:CV$35))</f>
        <v>#DIV/0!</v>
      </c>
      <c r="CW63" s="67" t="e">
        <f t="array" ref="CW63">_xlfn.STDEV.P(IF($E$5:$E$35=$E62,CW$5:CW$35))</f>
        <v>#DIV/0!</v>
      </c>
      <c r="CX63" s="67" t="e">
        <f t="array" ref="CX63">_xlfn.STDEV.P(IF($E$5:$E$35=$E62,CX$5:CX$35))</f>
        <v>#DIV/0!</v>
      </c>
      <c r="CY63" s="67" t="e">
        <f t="array" ref="CY63">_xlfn.STDEV.P(IF($E$5:$E$35=$E62,CY$5:CY$35))</f>
        <v>#DIV/0!</v>
      </c>
      <c r="CZ63" s="67" t="e">
        <f t="array" ref="CZ63">_xlfn.STDEV.P(IF($E$5:$E$35=$E62,CZ$5:CZ$35))</f>
        <v>#DIV/0!</v>
      </c>
      <c r="DA63" s="67" t="e">
        <f t="array" ref="DA63">_xlfn.STDEV.P(IF($E$5:$E$35=$E62,DA$5:DA$35))</f>
        <v>#DIV/0!</v>
      </c>
      <c r="DB63" s="67" t="e">
        <f t="array" ref="DB63">_xlfn.STDEV.P(IF($E$5:$E$35=$E62,DB$5:DB$35))</f>
        <v>#DIV/0!</v>
      </c>
      <c r="DC63" s="67" t="e">
        <f t="array" ref="DC63">_xlfn.STDEV.P(IF($E$5:$E$35=$E62,DC$5:DC$35))</f>
        <v>#DIV/0!</v>
      </c>
      <c r="DD63" s="94" t="s">
        <v>11</v>
      </c>
      <c r="DE63" s="165"/>
      <c r="DF63" s="165"/>
      <c r="DG63" s="165"/>
      <c r="DH63" s="165"/>
      <c r="DI63" s="165"/>
      <c r="DJ63" s="165"/>
      <c r="DK63" s="165"/>
      <c r="DL63" s="165"/>
      <c r="DM63" s="165"/>
      <c r="DN63" s="165"/>
      <c r="DO63" s="150"/>
    </row>
    <row r="64" spans="1:119" ht="15">
      <c r="A64" s="103"/>
      <c r="E64" s="108"/>
      <c r="H64" s="45"/>
      <c r="J64" s="50"/>
      <c r="K64" s="50"/>
      <c r="N64" s="275"/>
      <c r="O64" s="275"/>
      <c r="P64" s="275"/>
      <c r="Q64" s="50"/>
      <c r="DE64" s="165"/>
      <c r="DF64" s="165"/>
      <c r="DG64" s="165"/>
      <c r="DH64" s="165"/>
      <c r="DI64" s="165"/>
      <c r="DJ64" s="165"/>
      <c r="DK64" s="165"/>
      <c r="DL64" s="165"/>
      <c r="DM64" s="165"/>
      <c r="DN64" s="165"/>
    </row>
    <row r="65" spans="1:119" ht="14.25" customHeight="1">
      <c r="A65" s="103"/>
      <c r="E65" s="108" t="str">
        <f>'5GY EBRT Groups'!C13</f>
        <v>Group 8</v>
      </c>
      <c r="H65" s="108" t="str">
        <f>E65</f>
        <v>Group 8</v>
      </c>
      <c r="I65" s="277" t="e">
        <f>AVERAGEIF($E$5:$E$35,$E65,I$5:I$35)</f>
        <v>#DIV/0!</v>
      </c>
      <c r="J65" s="277"/>
      <c r="K65" s="277"/>
      <c r="L65" s="277" t="e">
        <f>AVERAGEIF($E$5:$E$35,$E65,L$5:L$35)</f>
        <v>#DIV/0!</v>
      </c>
      <c r="M65" s="277"/>
      <c r="N65" s="278" t="e">
        <f>AVERAGEIF($E$5:$E$35,$E65,N$5:N$35)</f>
        <v>#DIV/0!</v>
      </c>
      <c r="O65" s="278" t="e">
        <f>AVERAGEIF($E$5:$E$35,$E65,O$5:O$35)</f>
        <v>#DIV/0!</v>
      </c>
      <c r="P65" s="278" t="e">
        <f>AVERAGEIF($E$5:$E$35,$E65,P$5:P$35)</f>
        <v>#DIV/0!</v>
      </c>
      <c r="Q65" s="277" t="e">
        <f>AVERAGEIF($E$5:$E$35,$E65,Q$5:Q$35)</f>
        <v>#DIV/0!</v>
      </c>
      <c r="R65" s="65" t="s">
        <v>9</v>
      </c>
      <c r="S65" s="71" t="e">
        <f t="shared" ref="S65:BJ65" si="34">AVERAGEIF($E$5:$E$35,$E65,S$5:S$35)</f>
        <v>#DIV/0!</v>
      </c>
      <c r="T65" s="71" t="e">
        <f t="shared" si="34"/>
        <v>#DIV/0!</v>
      </c>
      <c r="U65" s="71" t="e">
        <f t="shared" si="34"/>
        <v>#DIV/0!</v>
      </c>
      <c r="V65" s="71" t="e">
        <f t="shared" si="34"/>
        <v>#DIV/0!</v>
      </c>
      <c r="W65" s="71" t="e">
        <f t="shared" si="34"/>
        <v>#DIV/0!</v>
      </c>
      <c r="X65" s="71" t="e">
        <f t="shared" si="34"/>
        <v>#DIV/0!</v>
      </c>
      <c r="Y65" s="71" t="e">
        <f t="shared" si="34"/>
        <v>#DIV/0!</v>
      </c>
      <c r="Z65" s="71" t="e">
        <f t="shared" si="34"/>
        <v>#DIV/0!</v>
      </c>
      <c r="AA65" s="71" t="e">
        <f t="shared" si="34"/>
        <v>#DIV/0!</v>
      </c>
      <c r="AB65" s="71" t="e">
        <f t="shared" si="34"/>
        <v>#DIV/0!</v>
      </c>
      <c r="AC65" s="71" t="e">
        <f t="shared" si="34"/>
        <v>#DIV/0!</v>
      </c>
      <c r="AD65" s="71" t="e">
        <f t="shared" si="34"/>
        <v>#DIV/0!</v>
      </c>
      <c r="AE65" s="71" t="e">
        <f t="shared" si="34"/>
        <v>#DIV/0!</v>
      </c>
      <c r="AF65" s="71" t="e">
        <f t="shared" si="34"/>
        <v>#DIV/0!</v>
      </c>
      <c r="AG65" s="71" t="e">
        <f t="shared" si="34"/>
        <v>#DIV/0!</v>
      </c>
      <c r="AH65" s="71" t="e">
        <f t="shared" si="34"/>
        <v>#DIV/0!</v>
      </c>
      <c r="AI65" s="71" t="e">
        <f t="shared" si="34"/>
        <v>#DIV/0!</v>
      </c>
      <c r="AJ65" s="71" t="e">
        <f t="shared" si="34"/>
        <v>#DIV/0!</v>
      </c>
      <c r="AK65" s="71" t="e">
        <f t="shared" si="34"/>
        <v>#DIV/0!</v>
      </c>
      <c r="AL65" s="71" t="e">
        <f t="shared" si="34"/>
        <v>#DIV/0!</v>
      </c>
      <c r="AM65" s="71" t="e">
        <f t="shared" si="34"/>
        <v>#DIV/0!</v>
      </c>
      <c r="AN65" s="71" t="e">
        <f t="shared" si="34"/>
        <v>#DIV/0!</v>
      </c>
      <c r="AO65" s="71" t="e">
        <f t="shared" si="34"/>
        <v>#DIV/0!</v>
      </c>
      <c r="AP65" s="71" t="e">
        <f t="shared" si="34"/>
        <v>#DIV/0!</v>
      </c>
      <c r="AQ65" s="71" t="e">
        <f t="shared" si="34"/>
        <v>#DIV/0!</v>
      </c>
      <c r="AR65" s="71" t="e">
        <f t="shared" si="34"/>
        <v>#DIV/0!</v>
      </c>
      <c r="AS65" s="71" t="e">
        <f t="shared" si="34"/>
        <v>#DIV/0!</v>
      </c>
      <c r="AT65" s="71" t="e">
        <f t="shared" si="34"/>
        <v>#DIV/0!</v>
      </c>
      <c r="AU65" s="71" t="e">
        <f t="shared" si="34"/>
        <v>#DIV/0!</v>
      </c>
      <c r="AV65" s="71" t="e">
        <f t="shared" si="34"/>
        <v>#DIV/0!</v>
      </c>
      <c r="AW65" s="71" t="e">
        <f t="shared" si="34"/>
        <v>#DIV/0!</v>
      </c>
      <c r="AX65" s="71" t="e">
        <f t="shared" si="34"/>
        <v>#DIV/0!</v>
      </c>
      <c r="AY65" s="71" t="e">
        <f t="shared" si="34"/>
        <v>#DIV/0!</v>
      </c>
      <c r="AZ65" s="71" t="e">
        <f t="shared" si="34"/>
        <v>#DIV/0!</v>
      </c>
      <c r="BA65" s="71" t="e">
        <f t="shared" si="34"/>
        <v>#DIV/0!</v>
      </c>
      <c r="BB65" s="71" t="e">
        <f t="shared" si="34"/>
        <v>#DIV/0!</v>
      </c>
      <c r="BC65" s="71" t="e">
        <f t="shared" si="34"/>
        <v>#DIV/0!</v>
      </c>
      <c r="BD65" s="71" t="e">
        <f t="shared" si="34"/>
        <v>#DIV/0!</v>
      </c>
      <c r="BE65" s="71" t="e">
        <f t="shared" si="34"/>
        <v>#DIV/0!</v>
      </c>
      <c r="BF65" s="71" t="e">
        <f t="shared" si="34"/>
        <v>#DIV/0!</v>
      </c>
      <c r="BG65" s="71" t="e">
        <f t="shared" si="34"/>
        <v>#DIV/0!</v>
      </c>
      <c r="BH65" s="71" t="e">
        <f t="shared" si="34"/>
        <v>#DIV/0!</v>
      </c>
      <c r="BI65" s="71" t="e">
        <f t="shared" si="34"/>
        <v>#DIV/0!</v>
      </c>
      <c r="BJ65" s="71" t="e">
        <f t="shared" si="34"/>
        <v>#DIV/0!</v>
      </c>
      <c r="BK65" s="93" t="s">
        <v>9</v>
      </c>
      <c r="BL65" s="66" t="e">
        <f t="shared" ref="BL65:DC65" si="35">AVERAGEIF($E$5:$E$35,$E65,BL$5:BL$35)</f>
        <v>#DIV/0!</v>
      </c>
      <c r="BM65" s="66" t="e">
        <f t="shared" si="35"/>
        <v>#DIV/0!</v>
      </c>
      <c r="BN65" s="66" t="e">
        <f t="shared" si="35"/>
        <v>#DIV/0!</v>
      </c>
      <c r="BO65" s="66" t="e">
        <f t="shared" si="35"/>
        <v>#DIV/0!</v>
      </c>
      <c r="BP65" s="66" t="e">
        <f t="shared" si="35"/>
        <v>#DIV/0!</v>
      </c>
      <c r="BQ65" s="66" t="e">
        <f t="shared" si="35"/>
        <v>#DIV/0!</v>
      </c>
      <c r="BR65" s="66" t="e">
        <f t="shared" si="35"/>
        <v>#DIV/0!</v>
      </c>
      <c r="BS65" s="66" t="e">
        <f t="shared" si="35"/>
        <v>#DIV/0!</v>
      </c>
      <c r="BT65" s="66" t="e">
        <f t="shared" si="35"/>
        <v>#DIV/0!</v>
      </c>
      <c r="BU65" s="66" t="e">
        <f t="shared" si="35"/>
        <v>#DIV/0!</v>
      </c>
      <c r="BV65" s="66" t="e">
        <f t="shared" si="35"/>
        <v>#DIV/0!</v>
      </c>
      <c r="BW65" s="66" t="e">
        <f t="shared" si="35"/>
        <v>#DIV/0!</v>
      </c>
      <c r="BX65" s="66" t="e">
        <f t="shared" si="35"/>
        <v>#DIV/0!</v>
      </c>
      <c r="BY65" s="66" t="e">
        <f t="shared" si="35"/>
        <v>#DIV/0!</v>
      </c>
      <c r="BZ65" s="66" t="e">
        <f t="shared" si="35"/>
        <v>#DIV/0!</v>
      </c>
      <c r="CA65" s="66" t="e">
        <f t="shared" si="35"/>
        <v>#DIV/0!</v>
      </c>
      <c r="CB65" s="66" t="e">
        <f t="shared" si="35"/>
        <v>#DIV/0!</v>
      </c>
      <c r="CC65" s="66" t="e">
        <f t="shared" si="35"/>
        <v>#DIV/0!</v>
      </c>
      <c r="CD65" s="66" t="e">
        <f t="shared" si="35"/>
        <v>#DIV/0!</v>
      </c>
      <c r="CE65" s="66" t="e">
        <f t="shared" si="35"/>
        <v>#DIV/0!</v>
      </c>
      <c r="CF65" s="66" t="e">
        <f t="shared" si="35"/>
        <v>#DIV/0!</v>
      </c>
      <c r="CG65" s="66" t="e">
        <f t="shared" si="35"/>
        <v>#DIV/0!</v>
      </c>
      <c r="CH65" s="66" t="e">
        <f t="shared" si="35"/>
        <v>#DIV/0!</v>
      </c>
      <c r="CI65" s="66" t="e">
        <f t="shared" si="35"/>
        <v>#DIV/0!</v>
      </c>
      <c r="CJ65" s="66" t="e">
        <f t="shared" si="35"/>
        <v>#DIV/0!</v>
      </c>
      <c r="CK65" s="66" t="e">
        <f t="shared" si="35"/>
        <v>#DIV/0!</v>
      </c>
      <c r="CL65" s="66" t="e">
        <f t="shared" si="35"/>
        <v>#DIV/0!</v>
      </c>
      <c r="CM65" s="66" t="e">
        <f t="shared" si="35"/>
        <v>#DIV/0!</v>
      </c>
      <c r="CN65" s="66" t="e">
        <f t="shared" si="35"/>
        <v>#DIV/0!</v>
      </c>
      <c r="CO65" s="66" t="e">
        <f t="shared" si="35"/>
        <v>#DIV/0!</v>
      </c>
      <c r="CP65" s="66" t="e">
        <f t="shared" si="35"/>
        <v>#DIV/0!</v>
      </c>
      <c r="CQ65" s="66" t="e">
        <f t="shared" si="35"/>
        <v>#DIV/0!</v>
      </c>
      <c r="CR65" s="66" t="e">
        <f t="shared" si="35"/>
        <v>#DIV/0!</v>
      </c>
      <c r="CS65" s="66" t="e">
        <f t="shared" si="35"/>
        <v>#DIV/0!</v>
      </c>
      <c r="CT65" s="66" t="e">
        <f t="shared" si="35"/>
        <v>#DIV/0!</v>
      </c>
      <c r="CU65" s="66" t="e">
        <f t="shared" si="35"/>
        <v>#DIV/0!</v>
      </c>
      <c r="CV65" s="66" t="e">
        <f t="shared" si="35"/>
        <v>#DIV/0!</v>
      </c>
      <c r="CW65" s="66" t="e">
        <f t="shared" si="35"/>
        <v>#DIV/0!</v>
      </c>
      <c r="CX65" s="66" t="e">
        <f t="shared" si="35"/>
        <v>#DIV/0!</v>
      </c>
      <c r="CY65" s="66" t="e">
        <f t="shared" si="35"/>
        <v>#DIV/0!</v>
      </c>
      <c r="CZ65" s="66" t="e">
        <f t="shared" si="35"/>
        <v>#DIV/0!</v>
      </c>
      <c r="DA65" s="66" t="e">
        <f t="shared" si="35"/>
        <v>#DIV/0!</v>
      </c>
      <c r="DB65" s="66" t="e">
        <f t="shared" si="35"/>
        <v>#DIV/0!</v>
      </c>
      <c r="DC65" s="66" t="e">
        <f t="shared" si="35"/>
        <v>#DIV/0!</v>
      </c>
      <c r="DD65" s="93" t="s">
        <v>9</v>
      </c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36"/>
    </row>
    <row r="66" spans="1:119" ht="14.25" customHeight="1">
      <c r="A66" s="103"/>
      <c r="E66" s="83"/>
      <c r="H66" s="83"/>
      <c r="I66" s="277" t="e">
        <f t="array" ref="I66">_xlfn.STDEV.P(IF($E$5:$E$35=$E65,I$5:I$35))</f>
        <v>#DIV/0!</v>
      </c>
      <c r="J66" s="277"/>
      <c r="K66" s="277"/>
      <c r="L66" s="277" t="e">
        <f t="array" ref="L66">_xlfn.STDEV.P(IF($E$5:$E$35=$E65,L$5:L$35))</f>
        <v>#DIV/0!</v>
      </c>
      <c r="M66" s="277"/>
      <c r="N66" s="278" t="e">
        <f t="array" ref="N66">_xlfn.STDEV.P(IF($E$5:$E$35=$E65,N$5:N$35))</f>
        <v>#DIV/0!</v>
      </c>
      <c r="O66" s="278" t="e">
        <f t="array" ref="O66">_xlfn.STDEV.P(IF($E$5:$E$35=$E65,O$5:O$35))</f>
        <v>#DIV/0!</v>
      </c>
      <c r="P66" s="278" t="e">
        <f t="array" ref="P66">_xlfn.STDEV.P(IF($E$5:$E$35=$E65,P$5:P$35))</f>
        <v>#DIV/0!</v>
      </c>
      <c r="Q66" s="277" t="e">
        <f t="array" ref="Q66">_xlfn.STDEV.P(IF($E$5:$E$35=$E65,Q$5:Q$35))</f>
        <v>#DIV/0!</v>
      </c>
      <c r="R66" s="65" t="s">
        <v>11</v>
      </c>
      <c r="S66" s="74" t="e">
        <f t="array" ref="S66">_xlfn.STDEV.P(IF($E$5:$E$35=$E65,S$5:S$35))</f>
        <v>#DIV/0!</v>
      </c>
      <c r="T66" s="74" t="e">
        <f t="array" ref="T66">_xlfn.STDEV.P(IF($E$5:$E$35=$E65,T$5:T$35))</f>
        <v>#DIV/0!</v>
      </c>
      <c r="U66" s="74" t="e">
        <f t="array" ref="U66">_xlfn.STDEV.P(IF($E$5:$E$35=$E65,U$5:U$35))</f>
        <v>#DIV/0!</v>
      </c>
      <c r="V66" s="74" t="e">
        <f t="array" ref="V66">_xlfn.STDEV.P(IF($E$5:$E$35=$E65,V$5:V$35))</f>
        <v>#DIV/0!</v>
      </c>
      <c r="W66" s="74" t="e">
        <f t="array" ref="W66">_xlfn.STDEV.P(IF($E$5:$E$35=$E65,W$5:W$35))</f>
        <v>#DIV/0!</v>
      </c>
      <c r="X66" s="74" t="e">
        <f t="array" ref="X66">_xlfn.STDEV.P(IF($E$5:$E$35=$E65,X$5:X$35))</f>
        <v>#DIV/0!</v>
      </c>
      <c r="Y66" s="74" t="e">
        <f t="array" ref="Y66">_xlfn.STDEV.P(IF($E$5:$E$35=$E65,Y$5:Y$35))</f>
        <v>#DIV/0!</v>
      </c>
      <c r="Z66" s="74" t="e">
        <f t="array" ref="Z66">_xlfn.STDEV.P(IF($E$5:$E$35=$E65,Z$5:Z$35))</f>
        <v>#DIV/0!</v>
      </c>
      <c r="AA66" s="74" t="e">
        <f t="array" ref="AA66">_xlfn.STDEV.P(IF($E$5:$E$35=$E65,AA$5:AA$35))</f>
        <v>#DIV/0!</v>
      </c>
      <c r="AB66" s="74" t="e">
        <f t="array" ref="AB66">_xlfn.STDEV.P(IF($E$5:$E$35=$E65,AB$5:AB$35))</f>
        <v>#DIV/0!</v>
      </c>
      <c r="AC66" s="74" t="e">
        <f t="array" ref="AC66">_xlfn.STDEV.P(IF($E$5:$E$35=$E65,AC$5:AC$35))</f>
        <v>#DIV/0!</v>
      </c>
      <c r="AD66" s="74" t="e">
        <f t="array" ref="AD66">_xlfn.STDEV.P(IF($E$5:$E$35=$E65,AD$5:AD$35))</f>
        <v>#DIV/0!</v>
      </c>
      <c r="AE66" s="74" t="e">
        <f t="array" ref="AE66">_xlfn.STDEV.P(IF($E$5:$E$35=$E65,AE$5:AE$35))</f>
        <v>#DIV/0!</v>
      </c>
      <c r="AF66" s="74" t="e">
        <f t="array" ref="AF66">_xlfn.STDEV.P(IF($E$5:$E$35=$E65,AF$5:AF$35))</f>
        <v>#DIV/0!</v>
      </c>
      <c r="AG66" s="74" t="e">
        <f t="array" ref="AG66">_xlfn.STDEV.P(IF($E$5:$E$35=$E65,AG$5:AG$35))</f>
        <v>#DIV/0!</v>
      </c>
      <c r="AH66" s="74" t="e">
        <f t="array" ref="AH66">_xlfn.STDEV.P(IF($E$5:$E$35=$E65,AH$5:AH$35))</f>
        <v>#DIV/0!</v>
      </c>
      <c r="AI66" s="74" t="e">
        <f t="array" ref="AI66">_xlfn.STDEV.P(IF($E$5:$E$35=$E65,AI$5:AI$35))</f>
        <v>#DIV/0!</v>
      </c>
      <c r="AJ66" s="74" t="e">
        <f t="array" ref="AJ66">_xlfn.STDEV.P(IF($E$5:$E$35=$E65,AJ$5:AJ$35))</f>
        <v>#DIV/0!</v>
      </c>
      <c r="AK66" s="74" t="e">
        <f t="array" ref="AK66">_xlfn.STDEV.P(IF($E$5:$E$35=$E65,AK$5:AK$35))</f>
        <v>#DIV/0!</v>
      </c>
      <c r="AL66" s="74" t="e">
        <f t="array" ref="AL66">_xlfn.STDEV.P(IF($E$5:$E$35=$E65,AL$5:AL$35))</f>
        <v>#DIV/0!</v>
      </c>
      <c r="AM66" s="74" t="e">
        <f t="array" ref="AM66">_xlfn.STDEV.P(IF($E$5:$E$35=$E65,AM$5:AM$35))</f>
        <v>#DIV/0!</v>
      </c>
      <c r="AN66" s="74" t="e">
        <f t="array" ref="AN66">_xlfn.STDEV.P(IF($E$5:$E$35=$E65,AN$5:AN$35))</f>
        <v>#DIV/0!</v>
      </c>
      <c r="AO66" s="74" t="e">
        <f t="array" ref="AO66">_xlfn.STDEV.P(IF($E$5:$E$35=$E65,AO$5:AO$35))</f>
        <v>#DIV/0!</v>
      </c>
      <c r="AP66" s="74" t="e">
        <f t="array" ref="AP66">_xlfn.STDEV.P(IF($E$5:$E$35=$E65,AP$5:AP$35))</f>
        <v>#DIV/0!</v>
      </c>
      <c r="AQ66" s="74" t="e">
        <f t="array" ref="AQ66">_xlfn.STDEV.P(IF($E$5:$E$35=$E65,AQ$5:AQ$35))</f>
        <v>#DIV/0!</v>
      </c>
      <c r="AR66" s="74" t="e">
        <f t="array" ref="AR66">_xlfn.STDEV.P(IF($E$5:$E$35=$E65,AR$5:AR$35))</f>
        <v>#DIV/0!</v>
      </c>
      <c r="AS66" s="74" t="e">
        <f t="array" ref="AS66">_xlfn.STDEV.P(IF($E$5:$E$35=$E65,AS$5:AS$35))</f>
        <v>#DIV/0!</v>
      </c>
      <c r="AT66" s="74" t="e">
        <f t="array" ref="AT66">_xlfn.STDEV.P(IF($E$5:$E$35=$E65,AT$5:AT$35))</f>
        <v>#DIV/0!</v>
      </c>
      <c r="AU66" s="74" t="e">
        <f t="array" ref="AU66">_xlfn.STDEV.P(IF($E$5:$E$35=$E65,AU$5:AU$35))</f>
        <v>#DIV/0!</v>
      </c>
      <c r="AV66" s="74" t="e">
        <f t="array" ref="AV66">_xlfn.STDEV.P(IF($E$5:$E$35=$E65,AV$5:AV$35))</f>
        <v>#DIV/0!</v>
      </c>
      <c r="AW66" s="74" t="e">
        <f t="array" ref="AW66">_xlfn.STDEV.P(IF($E$5:$E$35=$E65,AW$5:AW$35))</f>
        <v>#DIV/0!</v>
      </c>
      <c r="AX66" s="74" t="e">
        <f t="array" ref="AX66">_xlfn.STDEV.P(IF($E$5:$E$35=$E65,AX$5:AX$35))</f>
        <v>#DIV/0!</v>
      </c>
      <c r="AY66" s="74" t="e">
        <f t="array" ref="AY66">_xlfn.STDEV.P(IF($E$5:$E$35=$E65,AY$5:AY$35))</f>
        <v>#DIV/0!</v>
      </c>
      <c r="AZ66" s="74" t="e">
        <f t="array" ref="AZ66">_xlfn.STDEV.P(IF($E$5:$E$35=$E65,AZ$5:AZ$35))</f>
        <v>#DIV/0!</v>
      </c>
      <c r="BA66" s="74" t="e">
        <f t="array" ref="BA66">_xlfn.STDEV.P(IF($E$5:$E$35=$E65,BA$5:BA$35))</f>
        <v>#DIV/0!</v>
      </c>
      <c r="BB66" s="74" t="e">
        <f t="array" ref="BB66">_xlfn.STDEV.P(IF($E$5:$E$35=$E65,BB$5:BB$35))</f>
        <v>#DIV/0!</v>
      </c>
      <c r="BC66" s="74" t="e">
        <f t="array" ref="BC66">_xlfn.STDEV.P(IF($E$5:$E$35=$E65,BC$5:BC$35))</f>
        <v>#DIV/0!</v>
      </c>
      <c r="BD66" s="74" t="e">
        <f t="array" ref="BD66">_xlfn.STDEV.P(IF($E$5:$E$35=$E65,BD$5:BD$35))</f>
        <v>#DIV/0!</v>
      </c>
      <c r="BE66" s="74" t="e">
        <f t="array" ref="BE66">_xlfn.STDEV.P(IF($E$5:$E$35=$E65,BE$5:BE$35))</f>
        <v>#DIV/0!</v>
      </c>
      <c r="BF66" s="74" t="e">
        <f t="array" ref="BF66">_xlfn.STDEV.P(IF($E$5:$E$35=$E65,BF$5:BF$35))</f>
        <v>#DIV/0!</v>
      </c>
      <c r="BG66" s="74" t="e">
        <f t="array" ref="BG66">_xlfn.STDEV.P(IF($E$5:$E$35=$E65,BG$5:BG$35))</f>
        <v>#DIV/0!</v>
      </c>
      <c r="BH66" s="74" t="e">
        <f t="array" ref="BH66">_xlfn.STDEV.P(IF($E$5:$E$35=$E65,BH$5:BH$35))</f>
        <v>#DIV/0!</v>
      </c>
      <c r="BI66" s="74" t="e">
        <f t="array" ref="BI66">_xlfn.STDEV.P(IF($E$5:$E$35=$E65,BI$5:BI$35))</f>
        <v>#DIV/0!</v>
      </c>
      <c r="BJ66" s="74" t="e">
        <f t="array" ref="BJ66">_xlfn.STDEV.P(IF($E$5:$E$35=$E65,BJ$5:BJ$35))</f>
        <v>#DIV/0!</v>
      </c>
      <c r="BK66" s="94" t="s">
        <v>11</v>
      </c>
      <c r="BL66" s="67" t="e">
        <f t="array" ref="BL66">_xlfn.STDEV.P(IF($E$5:$E$35=$E65,BL$5:BL$35))</f>
        <v>#DIV/0!</v>
      </c>
      <c r="BM66" s="67" t="e">
        <f t="array" ref="BM66">_xlfn.STDEV.P(IF($E$5:$E$35=$E65,BM$5:BM$35))</f>
        <v>#DIV/0!</v>
      </c>
      <c r="BN66" s="67" t="e">
        <f t="array" ref="BN66">_xlfn.STDEV.P(IF($E$5:$E$35=$E65,BN$5:BN$35))</f>
        <v>#DIV/0!</v>
      </c>
      <c r="BO66" s="67" t="e">
        <f t="array" ref="BO66">_xlfn.STDEV.P(IF($E$5:$E$35=$E65,BO$5:BO$35))</f>
        <v>#DIV/0!</v>
      </c>
      <c r="BP66" s="67" t="e">
        <f t="array" ref="BP66">_xlfn.STDEV.P(IF($E$5:$E$35=$E65,BP$5:BP$35))</f>
        <v>#DIV/0!</v>
      </c>
      <c r="BQ66" s="67" t="e">
        <f t="array" ref="BQ66">_xlfn.STDEV.P(IF($E$5:$E$35=$E65,BQ$5:BQ$35))</f>
        <v>#DIV/0!</v>
      </c>
      <c r="BR66" s="67" t="e">
        <f t="array" ref="BR66">_xlfn.STDEV.P(IF($E$5:$E$35=$E65,BR$5:BR$35))</f>
        <v>#DIV/0!</v>
      </c>
      <c r="BS66" s="67" t="e">
        <f t="array" ref="BS66">_xlfn.STDEV.P(IF($E$5:$E$35=$E65,BS$5:BS$35))</f>
        <v>#DIV/0!</v>
      </c>
      <c r="BT66" s="67" t="e">
        <f t="array" ref="BT66">_xlfn.STDEV.P(IF($E$5:$E$35=$E65,BT$5:BT$35))</f>
        <v>#DIV/0!</v>
      </c>
      <c r="BU66" s="67" t="e">
        <f t="array" ref="BU66">_xlfn.STDEV.P(IF($E$5:$E$35=$E65,BU$5:BU$35))</f>
        <v>#DIV/0!</v>
      </c>
      <c r="BV66" s="67" t="e">
        <f t="array" ref="BV66">_xlfn.STDEV.P(IF($E$5:$E$35=$E65,BV$5:BV$35))</f>
        <v>#DIV/0!</v>
      </c>
      <c r="BW66" s="67" t="e">
        <f t="array" ref="BW66">_xlfn.STDEV.P(IF($E$5:$E$35=$E65,BW$5:BW$35))</f>
        <v>#DIV/0!</v>
      </c>
      <c r="BX66" s="67" t="e">
        <f t="array" ref="BX66">_xlfn.STDEV.P(IF($E$5:$E$35=$E65,BX$5:BX$35))</f>
        <v>#DIV/0!</v>
      </c>
      <c r="BY66" s="67" t="e">
        <f t="array" ref="BY66">_xlfn.STDEV.P(IF($E$5:$E$35=$E65,BY$5:BY$35))</f>
        <v>#DIV/0!</v>
      </c>
      <c r="BZ66" s="67" t="e">
        <f t="array" ref="BZ66">_xlfn.STDEV.P(IF($E$5:$E$35=$E65,BZ$5:BZ$35))</f>
        <v>#DIV/0!</v>
      </c>
      <c r="CA66" s="67" t="e">
        <f t="array" ref="CA66">_xlfn.STDEV.P(IF($E$5:$E$35=$E65,CA$5:CA$35))</f>
        <v>#DIV/0!</v>
      </c>
      <c r="CB66" s="67" t="e">
        <f t="array" ref="CB66">_xlfn.STDEV.P(IF($E$5:$E$35=$E65,CB$5:CB$35))</f>
        <v>#DIV/0!</v>
      </c>
      <c r="CC66" s="67" t="e">
        <f t="array" ref="CC66">_xlfn.STDEV.P(IF($E$5:$E$35=$E65,CC$5:CC$35))</f>
        <v>#DIV/0!</v>
      </c>
      <c r="CD66" s="67" t="e">
        <f t="array" ref="CD66">_xlfn.STDEV.P(IF($E$5:$E$35=$E65,CD$5:CD$35))</f>
        <v>#DIV/0!</v>
      </c>
      <c r="CE66" s="67" t="e">
        <f t="array" ref="CE66">_xlfn.STDEV.P(IF($E$5:$E$35=$E65,CE$5:CE$35))</f>
        <v>#DIV/0!</v>
      </c>
      <c r="CF66" s="67" t="e">
        <f t="array" ref="CF66">_xlfn.STDEV.P(IF($E$5:$E$35=$E65,CF$5:CF$35))</f>
        <v>#DIV/0!</v>
      </c>
      <c r="CG66" s="67" t="e">
        <f t="array" ref="CG66">_xlfn.STDEV.P(IF($E$5:$E$35=$E65,CG$5:CG$35))</f>
        <v>#DIV/0!</v>
      </c>
      <c r="CH66" s="67" t="e">
        <f t="array" ref="CH66">_xlfn.STDEV.P(IF($E$5:$E$35=$E65,CH$5:CH$35))</f>
        <v>#DIV/0!</v>
      </c>
      <c r="CI66" s="67" t="e">
        <f t="array" ref="CI66">_xlfn.STDEV.P(IF($E$5:$E$35=$E65,CI$5:CI$35))</f>
        <v>#DIV/0!</v>
      </c>
      <c r="CJ66" s="67" t="e">
        <f t="array" ref="CJ66">_xlfn.STDEV.P(IF($E$5:$E$35=$E65,CJ$5:CJ$35))</f>
        <v>#DIV/0!</v>
      </c>
      <c r="CK66" s="67" t="e">
        <f t="array" ref="CK66">_xlfn.STDEV.P(IF($E$5:$E$35=$E65,CK$5:CK$35))</f>
        <v>#DIV/0!</v>
      </c>
      <c r="CL66" s="67" t="e">
        <f t="array" ref="CL66">_xlfn.STDEV.P(IF($E$5:$E$35=$E65,CL$5:CL$35))</f>
        <v>#DIV/0!</v>
      </c>
      <c r="CM66" s="67" t="e">
        <f t="array" ref="CM66">_xlfn.STDEV.P(IF($E$5:$E$35=$E65,CM$5:CM$35))</f>
        <v>#DIV/0!</v>
      </c>
      <c r="CN66" s="67" t="e">
        <f t="array" ref="CN66">_xlfn.STDEV.P(IF($E$5:$E$35=$E65,CN$5:CN$35))</f>
        <v>#DIV/0!</v>
      </c>
      <c r="CO66" s="67" t="e">
        <f t="array" ref="CO66">_xlfn.STDEV.P(IF($E$5:$E$35=$E65,CO$5:CO$35))</f>
        <v>#DIV/0!</v>
      </c>
      <c r="CP66" s="67" t="e">
        <f t="array" ref="CP66">_xlfn.STDEV.P(IF($E$5:$E$35=$E65,CP$5:CP$35))</f>
        <v>#DIV/0!</v>
      </c>
      <c r="CQ66" s="67" t="e">
        <f t="array" ref="CQ66">_xlfn.STDEV.P(IF($E$5:$E$35=$E65,CQ$5:CQ$35))</f>
        <v>#DIV/0!</v>
      </c>
      <c r="CR66" s="67" t="e">
        <f t="array" ref="CR66">_xlfn.STDEV.P(IF($E$5:$E$35=$E65,CR$5:CR$35))</f>
        <v>#DIV/0!</v>
      </c>
      <c r="CS66" s="67" t="e">
        <f t="array" ref="CS66">_xlfn.STDEV.P(IF($E$5:$E$35=$E65,CS$5:CS$35))</f>
        <v>#DIV/0!</v>
      </c>
      <c r="CT66" s="67" t="e">
        <f t="array" ref="CT66">_xlfn.STDEV.P(IF($E$5:$E$35=$E65,CT$5:CT$35))</f>
        <v>#DIV/0!</v>
      </c>
      <c r="CU66" s="67" t="e">
        <f t="array" ref="CU66">_xlfn.STDEV.P(IF($E$5:$E$35=$E65,CU$5:CU$35))</f>
        <v>#DIV/0!</v>
      </c>
      <c r="CV66" s="67" t="e">
        <f t="array" ref="CV66">_xlfn.STDEV.P(IF($E$5:$E$35=$E65,CV$5:CV$35))</f>
        <v>#DIV/0!</v>
      </c>
      <c r="CW66" s="67" t="e">
        <f t="array" ref="CW66">_xlfn.STDEV.P(IF($E$5:$E$35=$E65,CW$5:CW$35))</f>
        <v>#DIV/0!</v>
      </c>
      <c r="CX66" s="67" t="e">
        <f t="array" ref="CX66">_xlfn.STDEV.P(IF($E$5:$E$35=$E65,CX$5:CX$35))</f>
        <v>#DIV/0!</v>
      </c>
      <c r="CY66" s="67" t="e">
        <f t="array" ref="CY66">_xlfn.STDEV.P(IF($E$5:$E$35=$E65,CY$5:CY$35))</f>
        <v>#DIV/0!</v>
      </c>
      <c r="CZ66" s="67" t="e">
        <f t="array" ref="CZ66">_xlfn.STDEV.P(IF($E$5:$E$35=$E65,CZ$5:CZ$35))</f>
        <v>#DIV/0!</v>
      </c>
      <c r="DA66" s="67" t="e">
        <f t="array" ref="DA66">_xlfn.STDEV.P(IF($E$5:$E$35=$E65,DA$5:DA$35))</f>
        <v>#DIV/0!</v>
      </c>
      <c r="DB66" s="67" t="e">
        <f t="array" ref="DB66">_xlfn.STDEV.P(IF($E$5:$E$35=$E65,DB$5:DB$35))</f>
        <v>#DIV/0!</v>
      </c>
      <c r="DC66" s="67" t="e">
        <f t="array" ref="DC66">_xlfn.STDEV.P(IF($E$5:$E$35=$E65,DC$5:DC$35))</f>
        <v>#DIV/0!</v>
      </c>
      <c r="DD66" s="94" t="s">
        <v>11</v>
      </c>
    </row>
    <row r="67" spans="1:119" s="150" customFormat="1" ht="14.25" customHeight="1">
      <c r="A67" s="146"/>
      <c r="B67" s="147"/>
      <c r="C67" s="148"/>
      <c r="D67" s="147"/>
      <c r="E67" s="149"/>
      <c r="H67" s="151"/>
      <c r="I67" s="279"/>
      <c r="J67" s="279"/>
      <c r="K67" s="279"/>
      <c r="L67" s="279"/>
      <c r="M67" s="279"/>
      <c r="N67" s="280"/>
      <c r="O67" s="280"/>
      <c r="P67" s="280"/>
      <c r="Q67" s="279"/>
      <c r="R67" s="281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4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5"/>
      <c r="BW67" s="145"/>
      <c r="BX67" s="145"/>
      <c r="BY67" s="145"/>
      <c r="BZ67" s="145"/>
      <c r="CA67" s="145"/>
      <c r="CB67" s="145"/>
      <c r="CC67" s="145"/>
      <c r="CD67" s="145"/>
      <c r="CE67" s="145"/>
      <c r="CF67" s="145"/>
      <c r="CG67" s="145"/>
      <c r="CH67" s="145"/>
      <c r="CI67" s="145"/>
      <c r="CJ67" s="145"/>
      <c r="CK67" s="145"/>
      <c r="CL67" s="145"/>
      <c r="CM67" s="145"/>
      <c r="CN67" s="145"/>
      <c r="CO67" s="145"/>
      <c r="CP67" s="145"/>
      <c r="CQ67" s="145"/>
      <c r="CR67" s="145"/>
      <c r="CS67" s="145"/>
      <c r="CT67" s="145"/>
      <c r="CU67" s="145"/>
      <c r="CV67" s="145"/>
      <c r="CW67" s="145"/>
      <c r="CX67" s="145"/>
      <c r="CY67" s="145"/>
      <c r="CZ67" s="145"/>
      <c r="DA67" s="145"/>
      <c r="DB67" s="145"/>
      <c r="DC67" s="145"/>
      <c r="DD67" s="127" t="s">
        <v>90</v>
      </c>
    </row>
    <row r="68" spans="1:119" s="159" customFormat="1" ht="14.25" customHeight="1">
      <c r="A68" s="155"/>
      <c r="B68" s="156"/>
      <c r="C68" s="157"/>
      <c r="D68" s="156"/>
      <c r="E68" s="158"/>
      <c r="H68" s="160"/>
      <c r="I68" s="282"/>
      <c r="J68" s="282"/>
      <c r="K68" s="282"/>
      <c r="L68" s="282"/>
      <c r="M68" s="282"/>
      <c r="N68" s="283"/>
      <c r="O68" s="283"/>
      <c r="P68" s="283"/>
      <c r="Q68" s="282"/>
      <c r="R68" s="284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63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54"/>
      <c r="CT68" s="154"/>
      <c r="CU68" s="154"/>
      <c r="CV68" s="154"/>
      <c r="CW68" s="154"/>
      <c r="CX68" s="154"/>
      <c r="CY68" s="154"/>
      <c r="CZ68" s="154"/>
      <c r="DA68" s="154"/>
      <c r="DB68" s="154"/>
      <c r="DC68" s="154"/>
      <c r="DD68" s="285" t="s">
        <v>91</v>
      </c>
    </row>
    <row r="69" spans="1:119" ht="15">
      <c r="A69" s="103"/>
      <c r="E69" s="45"/>
      <c r="H69" s="45"/>
      <c r="J69" s="50"/>
      <c r="K69" s="50"/>
      <c r="N69" s="275"/>
      <c r="O69" s="275"/>
      <c r="P69" s="275"/>
      <c r="Q69" s="50"/>
    </row>
    <row r="70" spans="1:119" ht="14.25" customHeight="1">
      <c r="A70" s="103"/>
      <c r="E70" s="108" t="str">
        <f>'5GY EBRT Groups'!C14</f>
        <v>Group 9</v>
      </c>
      <c r="H70" s="108" t="str">
        <f>E70</f>
        <v>Group 9</v>
      </c>
      <c r="I70" s="277" t="e">
        <f>AVERAGEIF($E$5:$E$35,$E70,I$5:I$35)</f>
        <v>#DIV/0!</v>
      </c>
      <c r="J70" s="277"/>
      <c r="K70" s="277"/>
      <c r="L70" s="277" t="e">
        <f>AVERAGEIF($E$5:$E$35,$E70,L$5:L$35)</f>
        <v>#DIV/0!</v>
      </c>
      <c r="M70" s="277"/>
      <c r="N70" s="278" t="e">
        <f>AVERAGEIF($E$5:$E$35,$E70,N$5:N$35)</f>
        <v>#DIV/0!</v>
      </c>
      <c r="O70" s="278" t="e">
        <f>AVERAGEIF($E$5:$E$35,$E70,O$5:O$35)</f>
        <v>#DIV/0!</v>
      </c>
      <c r="P70" s="278" t="e">
        <f>AVERAGEIF($E$5:$E$35,$E70,P$5:P$35)</f>
        <v>#DIV/0!</v>
      </c>
      <c r="Q70" s="277" t="e">
        <f>AVERAGEIF($E$5:$E$35,$E70,Q$5:Q$35)</f>
        <v>#DIV/0!</v>
      </c>
      <c r="R70" s="65" t="s">
        <v>9</v>
      </c>
      <c r="S70" s="71" t="e">
        <f t="shared" ref="S70:BJ70" si="36">AVERAGEIF($E$5:$E$35,$E70,S$5:S$35)</f>
        <v>#DIV/0!</v>
      </c>
      <c r="T70" s="71" t="e">
        <f t="shared" si="36"/>
        <v>#DIV/0!</v>
      </c>
      <c r="U70" s="71" t="e">
        <f t="shared" si="36"/>
        <v>#DIV/0!</v>
      </c>
      <c r="V70" s="71" t="e">
        <f t="shared" si="36"/>
        <v>#DIV/0!</v>
      </c>
      <c r="W70" s="71" t="e">
        <f t="shared" si="36"/>
        <v>#DIV/0!</v>
      </c>
      <c r="X70" s="71" t="e">
        <f t="shared" si="36"/>
        <v>#DIV/0!</v>
      </c>
      <c r="Y70" s="71" t="e">
        <f t="shared" si="36"/>
        <v>#DIV/0!</v>
      </c>
      <c r="Z70" s="71" t="e">
        <f t="shared" si="36"/>
        <v>#DIV/0!</v>
      </c>
      <c r="AA70" s="71" t="e">
        <f t="shared" si="36"/>
        <v>#DIV/0!</v>
      </c>
      <c r="AB70" s="71" t="e">
        <f t="shared" si="36"/>
        <v>#DIV/0!</v>
      </c>
      <c r="AC70" s="71" t="e">
        <f t="shared" si="36"/>
        <v>#DIV/0!</v>
      </c>
      <c r="AD70" s="71" t="e">
        <f t="shared" si="36"/>
        <v>#DIV/0!</v>
      </c>
      <c r="AE70" s="71" t="e">
        <f t="shared" si="36"/>
        <v>#DIV/0!</v>
      </c>
      <c r="AF70" s="71" t="e">
        <f t="shared" si="36"/>
        <v>#DIV/0!</v>
      </c>
      <c r="AG70" s="71" t="e">
        <f t="shared" si="36"/>
        <v>#DIV/0!</v>
      </c>
      <c r="AH70" s="71" t="e">
        <f t="shared" si="36"/>
        <v>#DIV/0!</v>
      </c>
      <c r="AI70" s="71" t="e">
        <f t="shared" si="36"/>
        <v>#DIV/0!</v>
      </c>
      <c r="AJ70" s="71" t="e">
        <f t="shared" si="36"/>
        <v>#DIV/0!</v>
      </c>
      <c r="AK70" s="71" t="e">
        <f t="shared" si="36"/>
        <v>#DIV/0!</v>
      </c>
      <c r="AL70" s="71" t="e">
        <f t="shared" si="36"/>
        <v>#DIV/0!</v>
      </c>
      <c r="AM70" s="71" t="e">
        <f t="shared" si="36"/>
        <v>#DIV/0!</v>
      </c>
      <c r="AN70" s="71" t="e">
        <f t="shared" si="36"/>
        <v>#DIV/0!</v>
      </c>
      <c r="AO70" s="71" t="e">
        <f t="shared" si="36"/>
        <v>#DIV/0!</v>
      </c>
      <c r="AP70" s="71" t="e">
        <f t="shared" si="36"/>
        <v>#DIV/0!</v>
      </c>
      <c r="AQ70" s="71" t="e">
        <f t="shared" si="36"/>
        <v>#DIV/0!</v>
      </c>
      <c r="AR70" s="71" t="e">
        <f t="shared" si="36"/>
        <v>#DIV/0!</v>
      </c>
      <c r="AS70" s="71" t="e">
        <f t="shared" si="36"/>
        <v>#DIV/0!</v>
      </c>
      <c r="AT70" s="71" t="e">
        <f t="shared" si="36"/>
        <v>#DIV/0!</v>
      </c>
      <c r="AU70" s="71" t="e">
        <f t="shared" si="36"/>
        <v>#DIV/0!</v>
      </c>
      <c r="AV70" s="71" t="e">
        <f t="shared" si="36"/>
        <v>#DIV/0!</v>
      </c>
      <c r="AW70" s="71" t="e">
        <f t="shared" si="36"/>
        <v>#DIV/0!</v>
      </c>
      <c r="AX70" s="71" t="e">
        <f t="shared" si="36"/>
        <v>#DIV/0!</v>
      </c>
      <c r="AY70" s="71" t="e">
        <f t="shared" si="36"/>
        <v>#DIV/0!</v>
      </c>
      <c r="AZ70" s="71" t="e">
        <f t="shared" si="36"/>
        <v>#DIV/0!</v>
      </c>
      <c r="BA70" s="71" t="e">
        <f t="shared" si="36"/>
        <v>#DIV/0!</v>
      </c>
      <c r="BB70" s="71" t="e">
        <f t="shared" si="36"/>
        <v>#DIV/0!</v>
      </c>
      <c r="BC70" s="71" t="e">
        <f t="shared" si="36"/>
        <v>#DIV/0!</v>
      </c>
      <c r="BD70" s="71" t="e">
        <f t="shared" si="36"/>
        <v>#DIV/0!</v>
      </c>
      <c r="BE70" s="71" t="e">
        <f t="shared" si="36"/>
        <v>#DIV/0!</v>
      </c>
      <c r="BF70" s="71" t="e">
        <f t="shared" si="36"/>
        <v>#DIV/0!</v>
      </c>
      <c r="BG70" s="71" t="e">
        <f t="shared" si="36"/>
        <v>#DIV/0!</v>
      </c>
      <c r="BH70" s="71" t="e">
        <f t="shared" si="36"/>
        <v>#DIV/0!</v>
      </c>
      <c r="BI70" s="71" t="e">
        <f t="shared" si="36"/>
        <v>#DIV/0!</v>
      </c>
      <c r="BJ70" s="71" t="e">
        <f t="shared" si="36"/>
        <v>#DIV/0!</v>
      </c>
      <c r="BK70" s="93" t="s">
        <v>9</v>
      </c>
      <c r="BL70" s="66" t="e">
        <f t="shared" ref="BL70:DC70" si="37">AVERAGEIF($E$5:$E$35,$E70,BL$5:BL$35)</f>
        <v>#DIV/0!</v>
      </c>
      <c r="BM70" s="66" t="e">
        <f t="shared" si="37"/>
        <v>#DIV/0!</v>
      </c>
      <c r="BN70" s="66" t="e">
        <f t="shared" si="37"/>
        <v>#DIV/0!</v>
      </c>
      <c r="BO70" s="66" t="e">
        <f t="shared" si="37"/>
        <v>#DIV/0!</v>
      </c>
      <c r="BP70" s="66" t="e">
        <f t="shared" si="37"/>
        <v>#DIV/0!</v>
      </c>
      <c r="BQ70" s="66" t="e">
        <f t="shared" si="37"/>
        <v>#DIV/0!</v>
      </c>
      <c r="BR70" s="66" t="e">
        <f t="shared" si="37"/>
        <v>#DIV/0!</v>
      </c>
      <c r="BS70" s="66" t="e">
        <f t="shared" si="37"/>
        <v>#DIV/0!</v>
      </c>
      <c r="BT70" s="66" t="e">
        <f t="shared" si="37"/>
        <v>#DIV/0!</v>
      </c>
      <c r="BU70" s="66" t="e">
        <f t="shared" si="37"/>
        <v>#DIV/0!</v>
      </c>
      <c r="BV70" s="66" t="e">
        <f t="shared" si="37"/>
        <v>#DIV/0!</v>
      </c>
      <c r="BW70" s="66" t="e">
        <f t="shared" si="37"/>
        <v>#DIV/0!</v>
      </c>
      <c r="BX70" s="66" t="e">
        <f t="shared" si="37"/>
        <v>#DIV/0!</v>
      </c>
      <c r="BY70" s="66" t="e">
        <f t="shared" si="37"/>
        <v>#DIV/0!</v>
      </c>
      <c r="BZ70" s="66" t="e">
        <f t="shared" si="37"/>
        <v>#DIV/0!</v>
      </c>
      <c r="CA70" s="66" t="e">
        <f t="shared" si="37"/>
        <v>#DIV/0!</v>
      </c>
      <c r="CB70" s="66" t="e">
        <f t="shared" si="37"/>
        <v>#DIV/0!</v>
      </c>
      <c r="CC70" s="66" t="e">
        <f t="shared" si="37"/>
        <v>#DIV/0!</v>
      </c>
      <c r="CD70" s="66" t="e">
        <f t="shared" si="37"/>
        <v>#DIV/0!</v>
      </c>
      <c r="CE70" s="66" t="e">
        <f t="shared" si="37"/>
        <v>#DIV/0!</v>
      </c>
      <c r="CF70" s="66" t="e">
        <f t="shared" si="37"/>
        <v>#DIV/0!</v>
      </c>
      <c r="CG70" s="66" t="e">
        <f t="shared" si="37"/>
        <v>#DIV/0!</v>
      </c>
      <c r="CH70" s="66" t="e">
        <f t="shared" si="37"/>
        <v>#DIV/0!</v>
      </c>
      <c r="CI70" s="66" t="e">
        <f t="shared" si="37"/>
        <v>#DIV/0!</v>
      </c>
      <c r="CJ70" s="66" t="e">
        <f t="shared" si="37"/>
        <v>#DIV/0!</v>
      </c>
      <c r="CK70" s="66" t="e">
        <f t="shared" si="37"/>
        <v>#DIV/0!</v>
      </c>
      <c r="CL70" s="66" t="e">
        <f t="shared" si="37"/>
        <v>#DIV/0!</v>
      </c>
      <c r="CM70" s="66" t="e">
        <f t="shared" si="37"/>
        <v>#DIV/0!</v>
      </c>
      <c r="CN70" s="66" t="e">
        <f t="shared" si="37"/>
        <v>#DIV/0!</v>
      </c>
      <c r="CO70" s="66" t="e">
        <f t="shared" si="37"/>
        <v>#DIV/0!</v>
      </c>
      <c r="CP70" s="66" t="e">
        <f t="shared" si="37"/>
        <v>#DIV/0!</v>
      </c>
      <c r="CQ70" s="66" t="e">
        <f t="shared" si="37"/>
        <v>#DIV/0!</v>
      </c>
      <c r="CR70" s="66" t="e">
        <f t="shared" si="37"/>
        <v>#DIV/0!</v>
      </c>
      <c r="CS70" s="66" t="e">
        <f t="shared" si="37"/>
        <v>#DIV/0!</v>
      </c>
      <c r="CT70" s="66" t="e">
        <f t="shared" si="37"/>
        <v>#DIV/0!</v>
      </c>
      <c r="CU70" s="66" t="e">
        <f t="shared" si="37"/>
        <v>#DIV/0!</v>
      </c>
      <c r="CV70" s="66" t="e">
        <f t="shared" si="37"/>
        <v>#DIV/0!</v>
      </c>
      <c r="CW70" s="66" t="e">
        <f t="shared" si="37"/>
        <v>#DIV/0!</v>
      </c>
      <c r="CX70" s="66" t="e">
        <f t="shared" si="37"/>
        <v>#DIV/0!</v>
      </c>
      <c r="CY70" s="66" t="e">
        <f t="shared" si="37"/>
        <v>#DIV/0!</v>
      </c>
      <c r="CZ70" s="66" t="e">
        <f t="shared" si="37"/>
        <v>#DIV/0!</v>
      </c>
      <c r="DA70" s="66" t="e">
        <f t="shared" si="37"/>
        <v>#DIV/0!</v>
      </c>
      <c r="DB70" s="66" t="e">
        <f t="shared" si="37"/>
        <v>#DIV/0!</v>
      </c>
      <c r="DC70" s="66" t="e">
        <f t="shared" si="37"/>
        <v>#DIV/0!</v>
      </c>
      <c r="DD70" s="93" t="s">
        <v>9</v>
      </c>
    </row>
    <row r="71" spans="1:119" ht="14.25" customHeight="1">
      <c r="A71" s="103"/>
      <c r="E71" s="108"/>
      <c r="H71" s="83"/>
      <c r="I71" s="277" t="e">
        <f t="array" ref="I71">_xlfn.STDEV.P(IF($E$5:$E$35=$E70,I$5:I$35))</f>
        <v>#DIV/0!</v>
      </c>
      <c r="J71" s="277"/>
      <c r="K71" s="277"/>
      <c r="L71" s="277" t="e">
        <f t="array" ref="L71">_xlfn.STDEV.P(IF($E$5:$E$35=$E70,L$5:L$35))</f>
        <v>#DIV/0!</v>
      </c>
      <c r="M71" s="277"/>
      <c r="N71" s="278" t="e">
        <f t="array" ref="N71">_xlfn.STDEV.P(IF($E$5:$E$35=$E70,N$5:N$35))</f>
        <v>#DIV/0!</v>
      </c>
      <c r="O71" s="278" t="e">
        <f t="array" ref="O71">_xlfn.STDEV.P(IF($E$5:$E$35=$E70,O$5:O$35))</f>
        <v>#DIV/0!</v>
      </c>
      <c r="P71" s="278" t="e">
        <f t="array" ref="P71">_xlfn.STDEV.P(IF($E$5:$E$35=$E70,P$5:P$35))</f>
        <v>#DIV/0!</v>
      </c>
      <c r="Q71" s="277" t="e">
        <f t="array" ref="Q71">_xlfn.STDEV.P(IF($E$5:$E$35=$E70,Q$5:Q$35))</f>
        <v>#DIV/0!</v>
      </c>
      <c r="R71" s="65" t="s">
        <v>11</v>
      </c>
      <c r="S71" s="74" t="e">
        <f t="array" ref="S71">_xlfn.STDEV.P(IF($E$5:$E$35=$E70,S$5:S$35))</f>
        <v>#DIV/0!</v>
      </c>
      <c r="T71" s="74" t="e">
        <f t="array" ref="T71">_xlfn.STDEV.P(IF($E$5:$E$35=$E70,T$5:T$35))</f>
        <v>#DIV/0!</v>
      </c>
      <c r="U71" s="74" t="e">
        <f t="array" ref="U71">_xlfn.STDEV.P(IF($E$5:$E$35=$E70,U$5:U$35))</f>
        <v>#DIV/0!</v>
      </c>
      <c r="V71" s="74" t="e">
        <f t="array" ref="V71">_xlfn.STDEV.P(IF($E$5:$E$35=$E70,V$5:V$35))</f>
        <v>#DIV/0!</v>
      </c>
      <c r="W71" s="74" t="e">
        <f t="array" ref="W71">_xlfn.STDEV.P(IF($E$5:$E$35=$E70,W$5:W$35))</f>
        <v>#DIV/0!</v>
      </c>
      <c r="X71" s="74" t="e">
        <f t="array" ref="X71">_xlfn.STDEV.P(IF($E$5:$E$35=$E70,X$5:X$35))</f>
        <v>#DIV/0!</v>
      </c>
      <c r="Y71" s="74" t="e">
        <f t="array" ref="Y71">_xlfn.STDEV.P(IF($E$5:$E$35=$E70,Y$5:Y$35))</f>
        <v>#DIV/0!</v>
      </c>
      <c r="Z71" s="74" t="e">
        <f t="array" ref="Z71">_xlfn.STDEV.P(IF($E$5:$E$35=$E70,Z$5:Z$35))</f>
        <v>#DIV/0!</v>
      </c>
      <c r="AA71" s="74" t="e">
        <f t="array" ref="AA71">_xlfn.STDEV.P(IF($E$5:$E$35=$E70,AA$5:AA$35))</f>
        <v>#DIV/0!</v>
      </c>
      <c r="AB71" s="74" t="e">
        <f t="array" ref="AB71">_xlfn.STDEV.P(IF($E$5:$E$35=$E70,AB$5:AB$35))</f>
        <v>#DIV/0!</v>
      </c>
      <c r="AC71" s="74" t="e">
        <f t="array" ref="AC71">_xlfn.STDEV.P(IF($E$5:$E$35=$E70,AC$5:AC$35))</f>
        <v>#DIV/0!</v>
      </c>
      <c r="AD71" s="74" t="e">
        <f t="array" ref="AD71">_xlfn.STDEV.P(IF($E$5:$E$35=$E70,AD$5:AD$35))</f>
        <v>#DIV/0!</v>
      </c>
      <c r="AE71" s="74" t="e">
        <f t="array" ref="AE71">_xlfn.STDEV.P(IF($E$5:$E$35=$E70,AE$5:AE$35))</f>
        <v>#DIV/0!</v>
      </c>
      <c r="AF71" s="74" t="e">
        <f t="array" ref="AF71">_xlfn.STDEV.P(IF($E$5:$E$35=$E70,AF$5:AF$35))</f>
        <v>#DIV/0!</v>
      </c>
      <c r="AG71" s="74" t="e">
        <f t="array" ref="AG71">_xlfn.STDEV.P(IF($E$5:$E$35=$E70,AG$5:AG$35))</f>
        <v>#DIV/0!</v>
      </c>
      <c r="AH71" s="74" t="e">
        <f t="array" ref="AH71">_xlfn.STDEV.P(IF($E$5:$E$35=$E70,AH$5:AH$35))</f>
        <v>#DIV/0!</v>
      </c>
      <c r="AI71" s="74" t="e">
        <f t="array" ref="AI71">_xlfn.STDEV.P(IF($E$5:$E$35=$E70,AI$5:AI$35))</f>
        <v>#DIV/0!</v>
      </c>
      <c r="AJ71" s="74" t="e">
        <f t="array" ref="AJ71">_xlfn.STDEV.P(IF($E$5:$E$35=$E70,AJ$5:AJ$35))</f>
        <v>#DIV/0!</v>
      </c>
      <c r="AK71" s="74" t="e">
        <f t="array" ref="AK71">_xlfn.STDEV.P(IF($E$5:$E$35=$E70,AK$5:AK$35))</f>
        <v>#DIV/0!</v>
      </c>
      <c r="AL71" s="74" t="e">
        <f t="array" ref="AL71">_xlfn.STDEV.P(IF($E$5:$E$35=$E70,AL$5:AL$35))</f>
        <v>#DIV/0!</v>
      </c>
      <c r="AM71" s="74" t="e">
        <f t="array" ref="AM71">_xlfn.STDEV.P(IF($E$5:$E$35=$E70,AM$5:AM$35))</f>
        <v>#DIV/0!</v>
      </c>
      <c r="AN71" s="74" t="e">
        <f t="array" ref="AN71">_xlfn.STDEV.P(IF($E$5:$E$35=$E70,AN$5:AN$35))</f>
        <v>#DIV/0!</v>
      </c>
      <c r="AO71" s="74" t="e">
        <f t="array" ref="AO71">_xlfn.STDEV.P(IF($E$5:$E$35=$E70,AO$5:AO$35))</f>
        <v>#DIV/0!</v>
      </c>
      <c r="AP71" s="74" t="e">
        <f t="array" ref="AP71">_xlfn.STDEV.P(IF($E$5:$E$35=$E70,AP$5:AP$35))</f>
        <v>#DIV/0!</v>
      </c>
      <c r="AQ71" s="74" t="e">
        <f t="array" ref="AQ71">_xlfn.STDEV.P(IF($E$5:$E$35=$E70,AQ$5:AQ$35))</f>
        <v>#DIV/0!</v>
      </c>
      <c r="AR71" s="74" t="e">
        <f t="array" ref="AR71">_xlfn.STDEV.P(IF($E$5:$E$35=$E70,AR$5:AR$35))</f>
        <v>#DIV/0!</v>
      </c>
      <c r="AS71" s="74" t="e">
        <f t="array" ref="AS71">_xlfn.STDEV.P(IF($E$5:$E$35=$E70,AS$5:AS$35))</f>
        <v>#DIV/0!</v>
      </c>
      <c r="AT71" s="74" t="e">
        <f t="array" ref="AT71">_xlfn.STDEV.P(IF($E$5:$E$35=$E70,AT$5:AT$35))</f>
        <v>#DIV/0!</v>
      </c>
      <c r="AU71" s="74" t="e">
        <f t="array" ref="AU71">_xlfn.STDEV.P(IF($E$5:$E$35=$E70,AU$5:AU$35))</f>
        <v>#DIV/0!</v>
      </c>
      <c r="AV71" s="74" t="e">
        <f t="array" ref="AV71">_xlfn.STDEV.P(IF($E$5:$E$35=$E70,AV$5:AV$35))</f>
        <v>#DIV/0!</v>
      </c>
      <c r="AW71" s="74" t="e">
        <f t="array" ref="AW71">_xlfn.STDEV.P(IF($E$5:$E$35=$E70,AW$5:AW$35))</f>
        <v>#DIV/0!</v>
      </c>
      <c r="AX71" s="74" t="e">
        <f t="array" ref="AX71">_xlfn.STDEV.P(IF($E$5:$E$35=$E70,AX$5:AX$35))</f>
        <v>#DIV/0!</v>
      </c>
      <c r="AY71" s="74" t="e">
        <f t="array" ref="AY71">_xlfn.STDEV.P(IF($E$5:$E$35=$E70,AY$5:AY$35))</f>
        <v>#DIV/0!</v>
      </c>
      <c r="AZ71" s="74" t="e">
        <f t="array" ref="AZ71">_xlfn.STDEV.P(IF($E$5:$E$35=$E70,AZ$5:AZ$35))</f>
        <v>#DIV/0!</v>
      </c>
      <c r="BA71" s="74" t="e">
        <f t="array" ref="BA71">_xlfn.STDEV.P(IF($E$5:$E$35=$E70,BA$5:BA$35))</f>
        <v>#DIV/0!</v>
      </c>
      <c r="BB71" s="74" t="e">
        <f t="array" ref="BB71">_xlfn.STDEV.P(IF($E$5:$E$35=$E70,BB$5:BB$35))</f>
        <v>#DIV/0!</v>
      </c>
      <c r="BC71" s="74" t="e">
        <f t="array" ref="BC71">_xlfn.STDEV.P(IF($E$5:$E$35=$E70,BC$5:BC$35))</f>
        <v>#DIV/0!</v>
      </c>
      <c r="BD71" s="74" t="e">
        <f t="array" ref="BD71">_xlfn.STDEV.P(IF($E$5:$E$35=$E70,BD$5:BD$35))</f>
        <v>#DIV/0!</v>
      </c>
      <c r="BE71" s="74" t="e">
        <f t="array" ref="BE71">_xlfn.STDEV.P(IF($E$5:$E$35=$E70,BE$5:BE$35))</f>
        <v>#DIV/0!</v>
      </c>
      <c r="BF71" s="74" t="e">
        <f t="array" ref="BF71">_xlfn.STDEV.P(IF($E$5:$E$35=$E70,BF$5:BF$35))</f>
        <v>#DIV/0!</v>
      </c>
      <c r="BG71" s="74" t="e">
        <f t="array" ref="BG71">_xlfn.STDEV.P(IF($E$5:$E$35=$E70,BG$5:BG$35))</f>
        <v>#DIV/0!</v>
      </c>
      <c r="BH71" s="74" t="e">
        <f t="array" ref="BH71">_xlfn.STDEV.P(IF($E$5:$E$35=$E70,BH$5:BH$35))</f>
        <v>#DIV/0!</v>
      </c>
      <c r="BI71" s="74" t="e">
        <f t="array" ref="BI71">_xlfn.STDEV.P(IF($E$5:$E$35=$E70,BI$5:BI$35))</f>
        <v>#DIV/0!</v>
      </c>
      <c r="BJ71" s="74" t="e">
        <f t="array" ref="BJ71">_xlfn.STDEV.P(IF($E$5:$E$35=$E70,BJ$5:BJ$35))</f>
        <v>#DIV/0!</v>
      </c>
      <c r="BK71" s="94" t="s">
        <v>11</v>
      </c>
      <c r="BL71" s="67" t="e">
        <f t="array" ref="BL71">_xlfn.STDEV.P(IF($E$5:$E$35=$E70,BL$5:BL$35))</f>
        <v>#DIV/0!</v>
      </c>
      <c r="BM71" s="67" t="e">
        <f t="array" ref="BM71">_xlfn.STDEV.P(IF($E$5:$E$35=$E70,BM$5:BM$35))</f>
        <v>#DIV/0!</v>
      </c>
      <c r="BN71" s="67" t="e">
        <f t="array" ref="BN71">_xlfn.STDEV.P(IF($E$5:$E$35=$E70,BN$5:BN$35))</f>
        <v>#DIV/0!</v>
      </c>
      <c r="BO71" s="67" t="e">
        <f t="array" ref="BO71">_xlfn.STDEV.P(IF($E$5:$E$35=$E70,BO$5:BO$35))</f>
        <v>#DIV/0!</v>
      </c>
      <c r="BP71" s="67" t="e">
        <f t="array" ref="BP71">_xlfn.STDEV.P(IF($E$5:$E$35=$E70,BP$5:BP$35))</f>
        <v>#DIV/0!</v>
      </c>
      <c r="BQ71" s="67" t="e">
        <f t="array" ref="BQ71">_xlfn.STDEV.P(IF($E$5:$E$35=$E70,BQ$5:BQ$35))</f>
        <v>#DIV/0!</v>
      </c>
      <c r="BR71" s="67" t="e">
        <f t="array" ref="BR71">_xlfn.STDEV.P(IF($E$5:$E$35=$E70,BR$5:BR$35))</f>
        <v>#DIV/0!</v>
      </c>
      <c r="BS71" s="67" t="e">
        <f t="array" ref="BS71">_xlfn.STDEV.P(IF($E$5:$E$35=$E70,BS$5:BS$35))</f>
        <v>#DIV/0!</v>
      </c>
      <c r="BT71" s="67" t="e">
        <f t="array" ref="BT71">_xlfn.STDEV.P(IF($E$5:$E$35=$E70,BT$5:BT$35))</f>
        <v>#DIV/0!</v>
      </c>
      <c r="BU71" s="67" t="e">
        <f t="array" ref="BU71">_xlfn.STDEV.P(IF($E$5:$E$35=$E70,BU$5:BU$35))</f>
        <v>#DIV/0!</v>
      </c>
      <c r="BV71" s="67" t="e">
        <f t="array" ref="BV71">_xlfn.STDEV.P(IF($E$5:$E$35=$E70,BV$5:BV$35))</f>
        <v>#DIV/0!</v>
      </c>
      <c r="BW71" s="67" t="e">
        <f t="array" ref="BW71">_xlfn.STDEV.P(IF($E$5:$E$35=$E70,BW$5:BW$35))</f>
        <v>#DIV/0!</v>
      </c>
      <c r="BX71" s="67" t="e">
        <f t="array" ref="BX71">_xlfn.STDEV.P(IF($E$5:$E$35=$E70,BX$5:BX$35))</f>
        <v>#DIV/0!</v>
      </c>
      <c r="BY71" s="67" t="e">
        <f t="array" ref="BY71">_xlfn.STDEV.P(IF($E$5:$E$35=$E70,BY$5:BY$35))</f>
        <v>#DIV/0!</v>
      </c>
      <c r="BZ71" s="67" t="e">
        <f t="array" ref="BZ71">_xlfn.STDEV.P(IF($E$5:$E$35=$E70,BZ$5:BZ$35))</f>
        <v>#DIV/0!</v>
      </c>
      <c r="CA71" s="67" t="e">
        <f t="array" ref="CA71">_xlfn.STDEV.P(IF($E$5:$E$35=$E70,CA$5:CA$35))</f>
        <v>#DIV/0!</v>
      </c>
      <c r="CB71" s="67" t="e">
        <f t="array" ref="CB71">_xlfn.STDEV.P(IF($E$5:$E$35=$E70,CB$5:CB$35))</f>
        <v>#DIV/0!</v>
      </c>
      <c r="CC71" s="67" t="e">
        <f t="array" ref="CC71">_xlfn.STDEV.P(IF($E$5:$E$35=$E70,CC$5:CC$35))</f>
        <v>#DIV/0!</v>
      </c>
      <c r="CD71" s="67" t="e">
        <f t="array" ref="CD71">_xlfn.STDEV.P(IF($E$5:$E$35=$E70,CD$5:CD$35))</f>
        <v>#DIV/0!</v>
      </c>
      <c r="CE71" s="67" t="e">
        <f t="array" ref="CE71">_xlfn.STDEV.P(IF($E$5:$E$35=$E70,CE$5:CE$35))</f>
        <v>#DIV/0!</v>
      </c>
      <c r="CF71" s="67" t="e">
        <f t="array" ref="CF71">_xlfn.STDEV.P(IF($E$5:$E$35=$E70,CF$5:CF$35))</f>
        <v>#DIV/0!</v>
      </c>
      <c r="CG71" s="67" t="e">
        <f t="array" ref="CG71">_xlfn.STDEV.P(IF($E$5:$E$35=$E70,CG$5:CG$35))</f>
        <v>#DIV/0!</v>
      </c>
      <c r="CH71" s="67" t="e">
        <f t="array" ref="CH71">_xlfn.STDEV.P(IF($E$5:$E$35=$E70,CH$5:CH$35))</f>
        <v>#DIV/0!</v>
      </c>
      <c r="CI71" s="67" t="e">
        <f t="array" ref="CI71">_xlfn.STDEV.P(IF($E$5:$E$35=$E70,CI$5:CI$35))</f>
        <v>#DIV/0!</v>
      </c>
      <c r="CJ71" s="67" t="e">
        <f t="array" ref="CJ71">_xlfn.STDEV.P(IF($E$5:$E$35=$E70,CJ$5:CJ$35))</f>
        <v>#DIV/0!</v>
      </c>
      <c r="CK71" s="67" t="e">
        <f t="array" ref="CK71">_xlfn.STDEV.P(IF($E$5:$E$35=$E70,CK$5:CK$35))</f>
        <v>#DIV/0!</v>
      </c>
      <c r="CL71" s="67" t="e">
        <f t="array" ref="CL71">_xlfn.STDEV.P(IF($E$5:$E$35=$E70,CL$5:CL$35))</f>
        <v>#DIV/0!</v>
      </c>
      <c r="CM71" s="67" t="e">
        <f t="array" ref="CM71">_xlfn.STDEV.P(IF($E$5:$E$35=$E70,CM$5:CM$35))</f>
        <v>#DIV/0!</v>
      </c>
      <c r="CN71" s="67" t="e">
        <f t="array" ref="CN71">_xlfn.STDEV.P(IF($E$5:$E$35=$E70,CN$5:CN$35))</f>
        <v>#DIV/0!</v>
      </c>
      <c r="CO71" s="67" t="e">
        <f t="array" ref="CO71">_xlfn.STDEV.P(IF($E$5:$E$35=$E70,CO$5:CO$35))</f>
        <v>#DIV/0!</v>
      </c>
      <c r="CP71" s="67" t="e">
        <f t="array" ref="CP71">_xlfn.STDEV.P(IF($E$5:$E$35=$E70,CP$5:CP$35))</f>
        <v>#DIV/0!</v>
      </c>
      <c r="CQ71" s="67" t="e">
        <f t="array" ref="CQ71">_xlfn.STDEV.P(IF($E$5:$E$35=$E70,CQ$5:CQ$35))</f>
        <v>#DIV/0!</v>
      </c>
      <c r="CR71" s="67" t="e">
        <f t="array" ref="CR71">_xlfn.STDEV.P(IF($E$5:$E$35=$E70,CR$5:CR$35))</f>
        <v>#DIV/0!</v>
      </c>
      <c r="CS71" s="67" t="e">
        <f t="array" ref="CS71">_xlfn.STDEV.P(IF($E$5:$E$35=$E70,CS$5:CS$35))</f>
        <v>#DIV/0!</v>
      </c>
      <c r="CT71" s="67" t="e">
        <f t="array" ref="CT71">_xlfn.STDEV.P(IF($E$5:$E$35=$E70,CT$5:CT$35))</f>
        <v>#DIV/0!</v>
      </c>
      <c r="CU71" s="67" t="e">
        <f t="array" ref="CU71">_xlfn.STDEV.P(IF($E$5:$E$35=$E70,CU$5:CU$35))</f>
        <v>#DIV/0!</v>
      </c>
      <c r="CV71" s="67" t="e">
        <f t="array" ref="CV71">_xlfn.STDEV.P(IF($E$5:$E$35=$E70,CV$5:CV$35))</f>
        <v>#DIV/0!</v>
      </c>
      <c r="CW71" s="67" t="e">
        <f t="array" ref="CW71">_xlfn.STDEV.P(IF($E$5:$E$35=$E70,CW$5:CW$35))</f>
        <v>#DIV/0!</v>
      </c>
      <c r="CX71" s="67" t="e">
        <f t="array" ref="CX71">_xlfn.STDEV.P(IF($E$5:$E$35=$E70,CX$5:CX$35))</f>
        <v>#DIV/0!</v>
      </c>
      <c r="CY71" s="67" t="e">
        <f t="array" ref="CY71">_xlfn.STDEV.P(IF($E$5:$E$35=$E70,CY$5:CY$35))</f>
        <v>#DIV/0!</v>
      </c>
      <c r="CZ71" s="67" t="e">
        <f t="array" ref="CZ71">_xlfn.STDEV.P(IF($E$5:$E$35=$E70,CZ$5:CZ$35))</f>
        <v>#DIV/0!</v>
      </c>
      <c r="DA71" s="67" t="e">
        <f t="array" ref="DA71">_xlfn.STDEV.P(IF($E$5:$E$35=$E70,DA$5:DA$35))</f>
        <v>#DIV/0!</v>
      </c>
      <c r="DB71" s="67" t="e">
        <f t="array" ref="DB71">_xlfn.STDEV.P(IF($E$5:$E$35=$E70,DB$5:DB$35))</f>
        <v>#DIV/0!</v>
      </c>
      <c r="DC71" s="67" t="e">
        <f t="array" ref="DC71">_xlfn.STDEV.P(IF($E$5:$E$35=$E70,DC$5:DC$35))</f>
        <v>#DIV/0!</v>
      </c>
      <c r="DD71" s="94" t="s">
        <v>11</v>
      </c>
    </row>
    <row r="72" spans="1:119" ht="15">
      <c r="A72" s="103"/>
      <c r="E72" s="108"/>
      <c r="H72" s="45"/>
      <c r="J72" s="50"/>
      <c r="K72" s="50"/>
      <c r="N72" s="275"/>
      <c r="O72" s="275"/>
      <c r="P72" s="275"/>
      <c r="Q72" s="50"/>
    </row>
    <row r="73" spans="1:119" ht="14.25" customHeight="1">
      <c r="A73" s="103"/>
      <c r="E73" s="108" t="str">
        <f>'5GY EBRT Groups'!C15</f>
        <v>Group 10</v>
      </c>
      <c r="H73" s="108" t="str">
        <f>E73</f>
        <v>Group 10</v>
      </c>
      <c r="I73" s="277" t="e">
        <f>AVERAGEIF($E$5:$E$35,$E73,I$5:I$35)</f>
        <v>#DIV/0!</v>
      </c>
      <c r="J73" s="277"/>
      <c r="K73" s="277"/>
      <c r="L73" s="277" t="e">
        <f>AVERAGEIF($E$5:$E$35,$E73,L$5:L$35)</f>
        <v>#DIV/0!</v>
      </c>
      <c r="M73" s="277"/>
      <c r="N73" s="278" t="e">
        <f>AVERAGEIF($E$5:$E$35,$E73,N$5:N$35)</f>
        <v>#DIV/0!</v>
      </c>
      <c r="O73" s="278" t="e">
        <f>AVERAGEIF($E$5:$E$35,$E73,O$5:O$35)</f>
        <v>#DIV/0!</v>
      </c>
      <c r="P73" s="278" t="e">
        <f>AVERAGEIF($E$5:$E$35,$E73,P$5:P$35)</f>
        <v>#DIV/0!</v>
      </c>
      <c r="Q73" s="277" t="e">
        <f>AVERAGEIF($E$5:$E$35,$E73,Q$5:Q$35)</f>
        <v>#DIV/0!</v>
      </c>
      <c r="R73" s="65" t="s">
        <v>9</v>
      </c>
      <c r="S73" s="71" t="e">
        <f t="shared" ref="S73:BJ73" si="38">AVERAGEIF($E$5:$E$35,$E73,S$5:S$35)</f>
        <v>#DIV/0!</v>
      </c>
      <c r="T73" s="71" t="e">
        <f t="shared" si="38"/>
        <v>#DIV/0!</v>
      </c>
      <c r="U73" s="71" t="e">
        <f t="shared" si="38"/>
        <v>#DIV/0!</v>
      </c>
      <c r="V73" s="71" t="e">
        <f t="shared" si="38"/>
        <v>#DIV/0!</v>
      </c>
      <c r="W73" s="71" t="e">
        <f t="shared" si="38"/>
        <v>#DIV/0!</v>
      </c>
      <c r="X73" s="71" t="e">
        <f t="shared" si="38"/>
        <v>#DIV/0!</v>
      </c>
      <c r="Y73" s="71" t="e">
        <f t="shared" si="38"/>
        <v>#DIV/0!</v>
      </c>
      <c r="Z73" s="71" t="e">
        <f t="shared" si="38"/>
        <v>#DIV/0!</v>
      </c>
      <c r="AA73" s="71" t="e">
        <f t="shared" si="38"/>
        <v>#DIV/0!</v>
      </c>
      <c r="AB73" s="71" t="e">
        <f t="shared" si="38"/>
        <v>#DIV/0!</v>
      </c>
      <c r="AC73" s="71" t="e">
        <f t="shared" si="38"/>
        <v>#DIV/0!</v>
      </c>
      <c r="AD73" s="71" t="e">
        <f t="shared" si="38"/>
        <v>#DIV/0!</v>
      </c>
      <c r="AE73" s="71" t="e">
        <f t="shared" si="38"/>
        <v>#DIV/0!</v>
      </c>
      <c r="AF73" s="71" t="e">
        <f t="shared" si="38"/>
        <v>#DIV/0!</v>
      </c>
      <c r="AG73" s="71" t="e">
        <f t="shared" si="38"/>
        <v>#DIV/0!</v>
      </c>
      <c r="AH73" s="71" t="e">
        <f t="shared" si="38"/>
        <v>#DIV/0!</v>
      </c>
      <c r="AI73" s="71" t="e">
        <f t="shared" si="38"/>
        <v>#DIV/0!</v>
      </c>
      <c r="AJ73" s="71" t="e">
        <f t="shared" si="38"/>
        <v>#DIV/0!</v>
      </c>
      <c r="AK73" s="71" t="e">
        <f t="shared" si="38"/>
        <v>#DIV/0!</v>
      </c>
      <c r="AL73" s="71" t="e">
        <f t="shared" si="38"/>
        <v>#DIV/0!</v>
      </c>
      <c r="AM73" s="71" t="e">
        <f t="shared" si="38"/>
        <v>#DIV/0!</v>
      </c>
      <c r="AN73" s="71" t="e">
        <f t="shared" si="38"/>
        <v>#DIV/0!</v>
      </c>
      <c r="AO73" s="71" t="e">
        <f t="shared" si="38"/>
        <v>#DIV/0!</v>
      </c>
      <c r="AP73" s="71" t="e">
        <f t="shared" si="38"/>
        <v>#DIV/0!</v>
      </c>
      <c r="AQ73" s="71" t="e">
        <f t="shared" si="38"/>
        <v>#DIV/0!</v>
      </c>
      <c r="AR73" s="71" t="e">
        <f t="shared" si="38"/>
        <v>#DIV/0!</v>
      </c>
      <c r="AS73" s="71" t="e">
        <f t="shared" si="38"/>
        <v>#DIV/0!</v>
      </c>
      <c r="AT73" s="71" t="e">
        <f t="shared" si="38"/>
        <v>#DIV/0!</v>
      </c>
      <c r="AU73" s="71" t="e">
        <f t="shared" si="38"/>
        <v>#DIV/0!</v>
      </c>
      <c r="AV73" s="71" t="e">
        <f t="shared" si="38"/>
        <v>#DIV/0!</v>
      </c>
      <c r="AW73" s="71" t="e">
        <f t="shared" si="38"/>
        <v>#DIV/0!</v>
      </c>
      <c r="AX73" s="71" t="e">
        <f t="shared" si="38"/>
        <v>#DIV/0!</v>
      </c>
      <c r="AY73" s="71" t="e">
        <f t="shared" si="38"/>
        <v>#DIV/0!</v>
      </c>
      <c r="AZ73" s="71" t="e">
        <f t="shared" si="38"/>
        <v>#DIV/0!</v>
      </c>
      <c r="BA73" s="71" t="e">
        <f t="shared" si="38"/>
        <v>#DIV/0!</v>
      </c>
      <c r="BB73" s="71" t="e">
        <f t="shared" si="38"/>
        <v>#DIV/0!</v>
      </c>
      <c r="BC73" s="71" t="e">
        <f t="shared" si="38"/>
        <v>#DIV/0!</v>
      </c>
      <c r="BD73" s="71" t="e">
        <f t="shared" si="38"/>
        <v>#DIV/0!</v>
      </c>
      <c r="BE73" s="71" t="e">
        <f t="shared" si="38"/>
        <v>#DIV/0!</v>
      </c>
      <c r="BF73" s="71" t="e">
        <f t="shared" si="38"/>
        <v>#DIV/0!</v>
      </c>
      <c r="BG73" s="71" t="e">
        <f t="shared" si="38"/>
        <v>#DIV/0!</v>
      </c>
      <c r="BH73" s="71" t="e">
        <f t="shared" si="38"/>
        <v>#DIV/0!</v>
      </c>
      <c r="BI73" s="71" t="e">
        <f t="shared" si="38"/>
        <v>#DIV/0!</v>
      </c>
      <c r="BJ73" s="71" t="e">
        <f t="shared" si="38"/>
        <v>#DIV/0!</v>
      </c>
      <c r="BK73" s="93" t="s">
        <v>9</v>
      </c>
      <c r="BL73" s="66" t="e">
        <f t="shared" ref="BL73:DC73" si="39">AVERAGEIF($E$5:$E$35,$E73,BL$5:BL$35)</f>
        <v>#DIV/0!</v>
      </c>
      <c r="BM73" s="66" t="e">
        <f t="shared" si="39"/>
        <v>#DIV/0!</v>
      </c>
      <c r="BN73" s="66" t="e">
        <f t="shared" si="39"/>
        <v>#DIV/0!</v>
      </c>
      <c r="BO73" s="66" t="e">
        <f t="shared" si="39"/>
        <v>#DIV/0!</v>
      </c>
      <c r="BP73" s="66" t="e">
        <f t="shared" si="39"/>
        <v>#DIV/0!</v>
      </c>
      <c r="BQ73" s="66" t="e">
        <f t="shared" si="39"/>
        <v>#DIV/0!</v>
      </c>
      <c r="BR73" s="66" t="e">
        <f t="shared" si="39"/>
        <v>#DIV/0!</v>
      </c>
      <c r="BS73" s="66" t="e">
        <f t="shared" si="39"/>
        <v>#DIV/0!</v>
      </c>
      <c r="BT73" s="66" t="e">
        <f t="shared" si="39"/>
        <v>#DIV/0!</v>
      </c>
      <c r="BU73" s="66" t="e">
        <f t="shared" si="39"/>
        <v>#DIV/0!</v>
      </c>
      <c r="BV73" s="66" t="e">
        <f t="shared" si="39"/>
        <v>#DIV/0!</v>
      </c>
      <c r="BW73" s="66" t="e">
        <f t="shared" si="39"/>
        <v>#DIV/0!</v>
      </c>
      <c r="BX73" s="66" t="e">
        <f t="shared" si="39"/>
        <v>#DIV/0!</v>
      </c>
      <c r="BY73" s="66" t="e">
        <f t="shared" si="39"/>
        <v>#DIV/0!</v>
      </c>
      <c r="BZ73" s="66" t="e">
        <f t="shared" si="39"/>
        <v>#DIV/0!</v>
      </c>
      <c r="CA73" s="66" t="e">
        <f t="shared" si="39"/>
        <v>#DIV/0!</v>
      </c>
      <c r="CB73" s="66" t="e">
        <f t="shared" si="39"/>
        <v>#DIV/0!</v>
      </c>
      <c r="CC73" s="66" t="e">
        <f t="shared" si="39"/>
        <v>#DIV/0!</v>
      </c>
      <c r="CD73" s="66" t="e">
        <f t="shared" si="39"/>
        <v>#DIV/0!</v>
      </c>
      <c r="CE73" s="66" t="e">
        <f t="shared" si="39"/>
        <v>#DIV/0!</v>
      </c>
      <c r="CF73" s="66" t="e">
        <f t="shared" si="39"/>
        <v>#DIV/0!</v>
      </c>
      <c r="CG73" s="66" t="e">
        <f t="shared" si="39"/>
        <v>#DIV/0!</v>
      </c>
      <c r="CH73" s="66" t="e">
        <f t="shared" si="39"/>
        <v>#DIV/0!</v>
      </c>
      <c r="CI73" s="66" t="e">
        <f t="shared" si="39"/>
        <v>#DIV/0!</v>
      </c>
      <c r="CJ73" s="66" t="e">
        <f t="shared" si="39"/>
        <v>#DIV/0!</v>
      </c>
      <c r="CK73" s="66" t="e">
        <f t="shared" si="39"/>
        <v>#DIV/0!</v>
      </c>
      <c r="CL73" s="66" t="e">
        <f t="shared" si="39"/>
        <v>#DIV/0!</v>
      </c>
      <c r="CM73" s="66" t="e">
        <f t="shared" si="39"/>
        <v>#DIV/0!</v>
      </c>
      <c r="CN73" s="66" t="e">
        <f t="shared" si="39"/>
        <v>#DIV/0!</v>
      </c>
      <c r="CO73" s="66" t="e">
        <f t="shared" si="39"/>
        <v>#DIV/0!</v>
      </c>
      <c r="CP73" s="66" t="e">
        <f t="shared" si="39"/>
        <v>#DIV/0!</v>
      </c>
      <c r="CQ73" s="66" t="e">
        <f t="shared" si="39"/>
        <v>#DIV/0!</v>
      </c>
      <c r="CR73" s="66" t="e">
        <f t="shared" si="39"/>
        <v>#DIV/0!</v>
      </c>
      <c r="CS73" s="66" t="e">
        <f t="shared" si="39"/>
        <v>#DIV/0!</v>
      </c>
      <c r="CT73" s="66" t="e">
        <f t="shared" si="39"/>
        <v>#DIV/0!</v>
      </c>
      <c r="CU73" s="66" t="e">
        <f t="shared" si="39"/>
        <v>#DIV/0!</v>
      </c>
      <c r="CV73" s="66" t="e">
        <f t="shared" si="39"/>
        <v>#DIV/0!</v>
      </c>
      <c r="CW73" s="66" t="e">
        <f t="shared" si="39"/>
        <v>#DIV/0!</v>
      </c>
      <c r="CX73" s="66" t="e">
        <f t="shared" si="39"/>
        <v>#DIV/0!</v>
      </c>
      <c r="CY73" s="66" t="e">
        <f t="shared" si="39"/>
        <v>#DIV/0!</v>
      </c>
      <c r="CZ73" s="66" t="e">
        <f t="shared" si="39"/>
        <v>#DIV/0!</v>
      </c>
      <c r="DA73" s="66" t="e">
        <f t="shared" si="39"/>
        <v>#DIV/0!</v>
      </c>
      <c r="DB73" s="66" t="e">
        <f t="shared" si="39"/>
        <v>#DIV/0!</v>
      </c>
      <c r="DC73" s="66" t="e">
        <f t="shared" si="39"/>
        <v>#DIV/0!</v>
      </c>
      <c r="DD73" s="93" t="s">
        <v>9</v>
      </c>
    </row>
    <row r="74" spans="1:119" ht="14.25" customHeight="1">
      <c r="A74" s="103"/>
      <c r="E74" s="83"/>
      <c r="H74" s="83"/>
      <c r="I74" s="277" t="e">
        <f t="array" ref="I74">_xlfn.STDEV.P(IF($E$5:$E$35=$E73,I$5:I$35))</f>
        <v>#DIV/0!</v>
      </c>
      <c r="J74" s="277"/>
      <c r="K74" s="277"/>
      <c r="L74" s="277" t="e">
        <f t="array" ref="L74">_xlfn.STDEV.P(IF($E$5:$E$35=$E73,L$5:L$35))</f>
        <v>#DIV/0!</v>
      </c>
      <c r="M74" s="277"/>
      <c r="N74" s="278" t="e">
        <f t="array" ref="N74">_xlfn.STDEV.P(IF($E$5:$E$35=$E73,N$5:N$35))</f>
        <v>#DIV/0!</v>
      </c>
      <c r="O74" s="278" t="e">
        <f t="array" ref="O74">_xlfn.STDEV.P(IF($E$5:$E$35=$E73,O$5:O$35))</f>
        <v>#DIV/0!</v>
      </c>
      <c r="P74" s="278" t="e">
        <f t="array" ref="P74">_xlfn.STDEV.P(IF($E$5:$E$35=$E73,P$5:P$35))</f>
        <v>#DIV/0!</v>
      </c>
      <c r="Q74" s="277" t="e">
        <f t="array" ref="Q74">_xlfn.STDEV.P(IF($E$5:$E$35=$E73,Q$5:Q$35))</f>
        <v>#DIV/0!</v>
      </c>
      <c r="R74" s="65" t="s">
        <v>11</v>
      </c>
      <c r="S74" s="74" t="e">
        <f t="array" ref="S74">_xlfn.STDEV.P(IF($E$5:$E$35=$E73,S$5:S$35))</f>
        <v>#DIV/0!</v>
      </c>
      <c r="T74" s="74" t="e">
        <f t="array" ref="T74">_xlfn.STDEV.P(IF($E$5:$E$35=$E73,T$5:T$35))</f>
        <v>#DIV/0!</v>
      </c>
      <c r="U74" s="74" t="e">
        <f t="array" ref="U74">_xlfn.STDEV.P(IF($E$5:$E$35=$E73,U$5:U$35))</f>
        <v>#DIV/0!</v>
      </c>
      <c r="V74" s="74" t="e">
        <f t="array" ref="V74">_xlfn.STDEV.P(IF($E$5:$E$35=$E73,V$5:V$35))</f>
        <v>#DIV/0!</v>
      </c>
      <c r="W74" s="74" t="e">
        <f t="array" ref="W74">_xlfn.STDEV.P(IF($E$5:$E$35=$E73,W$5:W$35))</f>
        <v>#DIV/0!</v>
      </c>
      <c r="X74" s="74" t="e">
        <f t="array" ref="X74">_xlfn.STDEV.P(IF($E$5:$E$35=$E73,X$5:X$35))</f>
        <v>#DIV/0!</v>
      </c>
      <c r="Y74" s="74" t="e">
        <f t="array" ref="Y74">_xlfn.STDEV.P(IF($E$5:$E$35=$E73,Y$5:Y$35))</f>
        <v>#DIV/0!</v>
      </c>
      <c r="Z74" s="74" t="e">
        <f t="array" ref="Z74">_xlfn.STDEV.P(IF($E$5:$E$35=$E73,Z$5:Z$35))</f>
        <v>#DIV/0!</v>
      </c>
      <c r="AA74" s="74" t="e">
        <f t="array" ref="AA74">_xlfn.STDEV.P(IF($E$5:$E$35=$E73,AA$5:AA$35))</f>
        <v>#DIV/0!</v>
      </c>
      <c r="AB74" s="74" t="e">
        <f t="array" ref="AB74">_xlfn.STDEV.P(IF($E$5:$E$35=$E73,AB$5:AB$35))</f>
        <v>#DIV/0!</v>
      </c>
      <c r="AC74" s="74" t="e">
        <f t="array" ref="AC74">_xlfn.STDEV.P(IF($E$5:$E$35=$E73,AC$5:AC$35))</f>
        <v>#DIV/0!</v>
      </c>
      <c r="AD74" s="74" t="e">
        <f t="array" ref="AD74">_xlfn.STDEV.P(IF($E$5:$E$35=$E73,AD$5:AD$35))</f>
        <v>#DIV/0!</v>
      </c>
      <c r="AE74" s="74" t="e">
        <f t="array" ref="AE74">_xlfn.STDEV.P(IF($E$5:$E$35=$E73,AE$5:AE$35))</f>
        <v>#DIV/0!</v>
      </c>
      <c r="AF74" s="74" t="e">
        <f t="array" ref="AF74">_xlfn.STDEV.P(IF($E$5:$E$35=$E73,AF$5:AF$35))</f>
        <v>#DIV/0!</v>
      </c>
      <c r="AG74" s="74" t="e">
        <f t="array" ref="AG74">_xlfn.STDEV.P(IF($E$5:$E$35=$E73,AG$5:AG$35))</f>
        <v>#DIV/0!</v>
      </c>
      <c r="AH74" s="74" t="e">
        <f t="array" ref="AH74">_xlfn.STDEV.P(IF($E$5:$E$35=$E73,AH$5:AH$35))</f>
        <v>#DIV/0!</v>
      </c>
      <c r="AI74" s="74" t="e">
        <f t="array" ref="AI74">_xlfn.STDEV.P(IF($E$5:$E$35=$E73,AI$5:AI$35))</f>
        <v>#DIV/0!</v>
      </c>
      <c r="AJ74" s="74" t="e">
        <f t="array" ref="AJ74">_xlfn.STDEV.P(IF($E$5:$E$35=$E73,AJ$5:AJ$35))</f>
        <v>#DIV/0!</v>
      </c>
      <c r="AK74" s="74" t="e">
        <f t="array" ref="AK74">_xlfn.STDEV.P(IF($E$5:$E$35=$E73,AK$5:AK$35))</f>
        <v>#DIV/0!</v>
      </c>
      <c r="AL74" s="74" t="e">
        <f t="array" ref="AL74">_xlfn.STDEV.P(IF($E$5:$E$35=$E73,AL$5:AL$35))</f>
        <v>#DIV/0!</v>
      </c>
      <c r="AM74" s="74" t="e">
        <f t="array" ref="AM74">_xlfn.STDEV.P(IF($E$5:$E$35=$E73,AM$5:AM$35))</f>
        <v>#DIV/0!</v>
      </c>
      <c r="AN74" s="74" t="e">
        <f t="array" ref="AN74">_xlfn.STDEV.P(IF($E$5:$E$35=$E73,AN$5:AN$35))</f>
        <v>#DIV/0!</v>
      </c>
      <c r="AO74" s="74" t="e">
        <f t="array" ref="AO74">_xlfn.STDEV.P(IF($E$5:$E$35=$E73,AO$5:AO$35))</f>
        <v>#DIV/0!</v>
      </c>
      <c r="AP74" s="74" t="e">
        <f t="array" ref="AP74">_xlfn.STDEV.P(IF($E$5:$E$35=$E73,AP$5:AP$35))</f>
        <v>#DIV/0!</v>
      </c>
      <c r="AQ74" s="74" t="e">
        <f t="array" ref="AQ74">_xlfn.STDEV.P(IF($E$5:$E$35=$E73,AQ$5:AQ$35))</f>
        <v>#DIV/0!</v>
      </c>
      <c r="AR74" s="74" t="e">
        <f t="array" ref="AR74">_xlfn.STDEV.P(IF($E$5:$E$35=$E73,AR$5:AR$35))</f>
        <v>#DIV/0!</v>
      </c>
      <c r="AS74" s="74" t="e">
        <f t="array" ref="AS74">_xlfn.STDEV.P(IF($E$5:$E$35=$E73,AS$5:AS$35))</f>
        <v>#DIV/0!</v>
      </c>
      <c r="AT74" s="74" t="e">
        <f t="array" ref="AT74">_xlfn.STDEV.P(IF($E$5:$E$35=$E73,AT$5:AT$35))</f>
        <v>#DIV/0!</v>
      </c>
      <c r="AU74" s="74" t="e">
        <f t="array" ref="AU74">_xlfn.STDEV.P(IF($E$5:$E$35=$E73,AU$5:AU$35))</f>
        <v>#DIV/0!</v>
      </c>
      <c r="AV74" s="74" t="e">
        <f t="array" ref="AV74">_xlfn.STDEV.P(IF($E$5:$E$35=$E73,AV$5:AV$35))</f>
        <v>#DIV/0!</v>
      </c>
      <c r="AW74" s="74" t="e">
        <f t="array" ref="AW74">_xlfn.STDEV.P(IF($E$5:$E$35=$E73,AW$5:AW$35))</f>
        <v>#DIV/0!</v>
      </c>
      <c r="AX74" s="74" t="e">
        <f t="array" ref="AX74">_xlfn.STDEV.P(IF($E$5:$E$35=$E73,AX$5:AX$35))</f>
        <v>#DIV/0!</v>
      </c>
      <c r="AY74" s="74" t="e">
        <f t="array" ref="AY74">_xlfn.STDEV.P(IF($E$5:$E$35=$E73,AY$5:AY$35))</f>
        <v>#DIV/0!</v>
      </c>
      <c r="AZ74" s="74" t="e">
        <f t="array" ref="AZ74">_xlfn.STDEV.P(IF($E$5:$E$35=$E73,AZ$5:AZ$35))</f>
        <v>#DIV/0!</v>
      </c>
      <c r="BA74" s="74" t="e">
        <f t="array" ref="BA74">_xlfn.STDEV.P(IF($E$5:$E$35=$E73,BA$5:BA$35))</f>
        <v>#DIV/0!</v>
      </c>
      <c r="BB74" s="74" t="e">
        <f t="array" ref="BB74">_xlfn.STDEV.P(IF($E$5:$E$35=$E73,BB$5:BB$35))</f>
        <v>#DIV/0!</v>
      </c>
      <c r="BC74" s="74" t="e">
        <f t="array" ref="BC74">_xlfn.STDEV.P(IF($E$5:$E$35=$E73,BC$5:BC$35))</f>
        <v>#DIV/0!</v>
      </c>
      <c r="BD74" s="74" t="e">
        <f t="array" ref="BD74">_xlfn.STDEV.P(IF($E$5:$E$35=$E73,BD$5:BD$35))</f>
        <v>#DIV/0!</v>
      </c>
      <c r="BE74" s="74" t="e">
        <f t="array" ref="BE74">_xlfn.STDEV.P(IF($E$5:$E$35=$E73,BE$5:BE$35))</f>
        <v>#DIV/0!</v>
      </c>
      <c r="BF74" s="74" t="e">
        <f t="array" ref="BF74">_xlfn.STDEV.P(IF($E$5:$E$35=$E73,BF$5:BF$35))</f>
        <v>#DIV/0!</v>
      </c>
      <c r="BG74" s="74" t="e">
        <f t="array" ref="BG74">_xlfn.STDEV.P(IF($E$5:$E$35=$E73,BG$5:BG$35))</f>
        <v>#DIV/0!</v>
      </c>
      <c r="BH74" s="74" t="e">
        <f t="array" ref="BH74">_xlfn.STDEV.P(IF($E$5:$E$35=$E73,BH$5:BH$35))</f>
        <v>#DIV/0!</v>
      </c>
      <c r="BI74" s="74" t="e">
        <f t="array" ref="BI74">_xlfn.STDEV.P(IF($E$5:$E$35=$E73,BI$5:BI$35))</f>
        <v>#DIV/0!</v>
      </c>
      <c r="BJ74" s="74" t="e">
        <f t="array" ref="BJ74">_xlfn.STDEV.P(IF($E$5:$E$35=$E73,BJ$5:BJ$35))</f>
        <v>#DIV/0!</v>
      </c>
      <c r="BK74" s="94" t="s">
        <v>11</v>
      </c>
      <c r="BL74" s="67" t="e">
        <f t="array" ref="BL74">_xlfn.STDEV.P(IF($E$5:$E$35=$E73,BL$5:BL$35))</f>
        <v>#DIV/0!</v>
      </c>
      <c r="BM74" s="67" t="e">
        <f t="array" ref="BM74">_xlfn.STDEV.P(IF($E$5:$E$35=$E73,BM$5:BM$35))</f>
        <v>#DIV/0!</v>
      </c>
      <c r="BN74" s="67" t="e">
        <f t="array" ref="BN74">_xlfn.STDEV.P(IF($E$5:$E$35=$E73,BN$5:BN$35))</f>
        <v>#DIV/0!</v>
      </c>
      <c r="BO74" s="67" t="e">
        <f t="array" ref="BO74">_xlfn.STDEV.P(IF($E$5:$E$35=$E73,BO$5:BO$35))</f>
        <v>#DIV/0!</v>
      </c>
      <c r="BP74" s="67" t="e">
        <f t="array" ref="BP74">_xlfn.STDEV.P(IF($E$5:$E$35=$E73,BP$5:BP$35))</f>
        <v>#DIV/0!</v>
      </c>
      <c r="BQ74" s="67" t="e">
        <f t="array" ref="BQ74">_xlfn.STDEV.P(IF($E$5:$E$35=$E73,BQ$5:BQ$35))</f>
        <v>#DIV/0!</v>
      </c>
      <c r="BR74" s="67" t="e">
        <f t="array" ref="BR74">_xlfn.STDEV.P(IF($E$5:$E$35=$E73,BR$5:BR$35))</f>
        <v>#DIV/0!</v>
      </c>
      <c r="BS74" s="67" t="e">
        <f t="array" ref="BS74">_xlfn.STDEV.P(IF($E$5:$E$35=$E73,BS$5:BS$35))</f>
        <v>#DIV/0!</v>
      </c>
      <c r="BT74" s="67" t="e">
        <f t="array" ref="BT74">_xlfn.STDEV.P(IF($E$5:$E$35=$E73,BT$5:BT$35))</f>
        <v>#DIV/0!</v>
      </c>
      <c r="BU74" s="67" t="e">
        <f t="array" ref="BU74">_xlfn.STDEV.P(IF($E$5:$E$35=$E73,BU$5:BU$35))</f>
        <v>#DIV/0!</v>
      </c>
      <c r="BV74" s="67" t="e">
        <f t="array" ref="BV74">_xlfn.STDEV.P(IF($E$5:$E$35=$E73,BV$5:BV$35))</f>
        <v>#DIV/0!</v>
      </c>
      <c r="BW74" s="67" t="e">
        <f t="array" ref="BW74">_xlfn.STDEV.P(IF($E$5:$E$35=$E73,BW$5:BW$35))</f>
        <v>#DIV/0!</v>
      </c>
      <c r="BX74" s="67" t="e">
        <f t="array" ref="BX74">_xlfn.STDEV.P(IF($E$5:$E$35=$E73,BX$5:BX$35))</f>
        <v>#DIV/0!</v>
      </c>
      <c r="BY74" s="67" t="e">
        <f t="array" ref="BY74">_xlfn.STDEV.P(IF($E$5:$E$35=$E73,BY$5:BY$35))</f>
        <v>#DIV/0!</v>
      </c>
      <c r="BZ74" s="67" t="e">
        <f t="array" ref="BZ74">_xlfn.STDEV.P(IF($E$5:$E$35=$E73,BZ$5:BZ$35))</f>
        <v>#DIV/0!</v>
      </c>
      <c r="CA74" s="67" t="e">
        <f t="array" ref="CA74">_xlfn.STDEV.P(IF($E$5:$E$35=$E73,CA$5:CA$35))</f>
        <v>#DIV/0!</v>
      </c>
      <c r="CB74" s="67" t="e">
        <f t="array" ref="CB74">_xlfn.STDEV.P(IF($E$5:$E$35=$E73,CB$5:CB$35))</f>
        <v>#DIV/0!</v>
      </c>
      <c r="CC74" s="67" t="e">
        <f t="array" ref="CC74">_xlfn.STDEV.P(IF($E$5:$E$35=$E73,CC$5:CC$35))</f>
        <v>#DIV/0!</v>
      </c>
      <c r="CD74" s="67" t="e">
        <f t="array" ref="CD74">_xlfn.STDEV.P(IF($E$5:$E$35=$E73,CD$5:CD$35))</f>
        <v>#DIV/0!</v>
      </c>
      <c r="CE74" s="67" t="e">
        <f t="array" ref="CE74">_xlfn.STDEV.P(IF($E$5:$E$35=$E73,CE$5:CE$35))</f>
        <v>#DIV/0!</v>
      </c>
      <c r="CF74" s="67" t="e">
        <f t="array" ref="CF74">_xlfn.STDEV.P(IF($E$5:$E$35=$E73,CF$5:CF$35))</f>
        <v>#DIV/0!</v>
      </c>
      <c r="CG74" s="67" t="e">
        <f t="array" ref="CG74">_xlfn.STDEV.P(IF($E$5:$E$35=$E73,CG$5:CG$35))</f>
        <v>#DIV/0!</v>
      </c>
      <c r="CH74" s="67" t="e">
        <f t="array" ref="CH74">_xlfn.STDEV.P(IF($E$5:$E$35=$E73,CH$5:CH$35))</f>
        <v>#DIV/0!</v>
      </c>
      <c r="CI74" s="67" t="e">
        <f t="array" ref="CI74">_xlfn.STDEV.P(IF($E$5:$E$35=$E73,CI$5:CI$35))</f>
        <v>#DIV/0!</v>
      </c>
      <c r="CJ74" s="67" t="e">
        <f t="array" ref="CJ74">_xlfn.STDEV.P(IF($E$5:$E$35=$E73,CJ$5:CJ$35))</f>
        <v>#DIV/0!</v>
      </c>
      <c r="CK74" s="67" t="e">
        <f t="array" ref="CK74">_xlfn.STDEV.P(IF($E$5:$E$35=$E73,CK$5:CK$35))</f>
        <v>#DIV/0!</v>
      </c>
      <c r="CL74" s="67" t="e">
        <f t="array" ref="CL74">_xlfn.STDEV.P(IF($E$5:$E$35=$E73,CL$5:CL$35))</f>
        <v>#DIV/0!</v>
      </c>
      <c r="CM74" s="67" t="e">
        <f t="array" ref="CM74">_xlfn.STDEV.P(IF($E$5:$E$35=$E73,CM$5:CM$35))</f>
        <v>#DIV/0!</v>
      </c>
      <c r="CN74" s="67" t="e">
        <f t="array" ref="CN74">_xlfn.STDEV.P(IF($E$5:$E$35=$E73,CN$5:CN$35))</f>
        <v>#DIV/0!</v>
      </c>
      <c r="CO74" s="67" t="e">
        <f t="array" ref="CO74">_xlfn.STDEV.P(IF($E$5:$E$35=$E73,CO$5:CO$35))</f>
        <v>#DIV/0!</v>
      </c>
      <c r="CP74" s="67" t="e">
        <f t="array" ref="CP74">_xlfn.STDEV.P(IF($E$5:$E$35=$E73,CP$5:CP$35))</f>
        <v>#DIV/0!</v>
      </c>
      <c r="CQ74" s="67" t="e">
        <f t="array" ref="CQ74">_xlfn.STDEV.P(IF($E$5:$E$35=$E73,CQ$5:CQ$35))</f>
        <v>#DIV/0!</v>
      </c>
      <c r="CR74" s="67" t="e">
        <f t="array" ref="CR74">_xlfn.STDEV.P(IF($E$5:$E$35=$E73,CR$5:CR$35))</f>
        <v>#DIV/0!</v>
      </c>
      <c r="CS74" s="67" t="e">
        <f t="array" ref="CS74">_xlfn.STDEV.P(IF($E$5:$E$35=$E73,CS$5:CS$35))</f>
        <v>#DIV/0!</v>
      </c>
      <c r="CT74" s="67" t="e">
        <f t="array" ref="CT74">_xlfn.STDEV.P(IF($E$5:$E$35=$E73,CT$5:CT$35))</f>
        <v>#DIV/0!</v>
      </c>
      <c r="CU74" s="67" t="e">
        <f t="array" ref="CU74">_xlfn.STDEV.P(IF($E$5:$E$35=$E73,CU$5:CU$35))</f>
        <v>#DIV/0!</v>
      </c>
      <c r="CV74" s="67" t="e">
        <f t="array" ref="CV74">_xlfn.STDEV.P(IF($E$5:$E$35=$E73,CV$5:CV$35))</f>
        <v>#DIV/0!</v>
      </c>
      <c r="CW74" s="67" t="e">
        <f t="array" ref="CW74">_xlfn.STDEV.P(IF($E$5:$E$35=$E73,CW$5:CW$35))</f>
        <v>#DIV/0!</v>
      </c>
      <c r="CX74" s="67" t="e">
        <f t="array" ref="CX74">_xlfn.STDEV.P(IF($E$5:$E$35=$E73,CX$5:CX$35))</f>
        <v>#DIV/0!</v>
      </c>
      <c r="CY74" s="67" t="e">
        <f t="array" ref="CY74">_xlfn.STDEV.P(IF($E$5:$E$35=$E73,CY$5:CY$35))</f>
        <v>#DIV/0!</v>
      </c>
      <c r="CZ74" s="67" t="e">
        <f t="array" ref="CZ74">_xlfn.STDEV.P(IF($E$5:$E$35=$E73,CZ$5:CZ$35))</f>
        <v>#DIV/0!</v>
      </c>
      <c r="DA74" s="67" t="e">
        <f t="array" ref="DA74">_xlfn.STDEV.P(IF($E$5:$E$35=$E73,DA$5:DA$35))</f>
        <v>#DIV/0!</v>
      </c>
      <c r="DB74" s="67" t="e">
        <f t="array" ref="DB74">_xlfn.STDEV.P(IF($E$5:$E$35=$E73,DB$5:DB$35))</f>
        <v>#DIV/0!</v>
      </c>
      <c r="DC74" s="67" t="e">
        <f t="array" ref="DC74">_xlfn.STDEV.P(IF($E$5:$E$35=$E73,DC$5:DC$35))</f>
        <v>#DIV/0!</v>
      </c>
      <c r="DD74" s="94" t="s">
        <v>11</v>
      </c>
    </row>
    <row r="75" spans="1:119" ht="15">
      <c r="A75" s="103"/>
      <c r="E75" s="108"/>
      <c r="H75" s="45"/>
      <c r="J75" s="50"/>
      <c r="K75" s="50"/>
      <c r="N75" s="275"/>
      <c r="O75" s="275"/>
      <c r="P75" s="275"/>
      <c r="Q75" s="50"/>
    </row>
    <row r="76" spans="1:119" ht="14.25" customHeight="1">
      <c r="A76" s="103"/>
      <c r="E76" s="108" t="str">
        <f>'5GY EBRT Groups'!C16</f>
        <v>Group 11</v>
      </c>
      <c r="H76" s="108" t="str">
        <f>E76</f>
        <v>Group 11</v>
      </c>
      <c r="I76" s="277" t="e">
        <f>AVERAGEIF($E$5:$E$35,$E76,I$5:I$35)</f>
        <v>#DIV/0!</v>
      </c>
      <c r="J76" s="277"/>
      <c r="K76" s="277"/>
      <c r="L76" s="277" t="e">
        <f>AVERAGEIF($E$5:$E$35,$E76,L$5:L$35)</f>
        <v>#DIV/0!</v>
      </c>
      <c r="M76" s="277"/>
      <c r="N76" s="278" t="e">
        <f>AVERAGEIF($E$5:$E$35,$E76,N$5:N$35)</f>
        <v>#DIV/0!</v>
      </c>
      <c r="O76" s="278" t="e">
        <f>AVERAGEIF($E$5:$E$35,$E76,O$5:O$35)</f>
        <v>#DIV/0!</v>
      </c>
      <c r="P76" s="278" t="e">
        <f>AVERAGEIF($E$5:$E$35,$E76,P$5:P$35)</f>
        <v>#DIV/0!</v>
      </c>
      <c r="Q76" s="277" t="e">
        <f>AVERAGEIF($E$5:$E$35,$E76,Q$5:Q$35)</f>
        <v>#DIV/0!</v>
      </c>
      <c r="R76" s="65" t="s">
        <v>9</v>
      </c>
      <c r="S76" s="71" t="e">
        <f t="shared" ref="S76:BJ76" si="40">AVERAGEIF($E$5:$E$35,$E76,S$5:S$35)</f>
        <v>#DIV/0!</v>
      </c>
      <c r="T76" s="71" t="e">
        <f t="shared" si="40"/>
        <v>#DIV/0!</v>
      </c>
      <c r="U76" s="71" t="e">
        <f t="shared" si="40"/>
        <v>#DIV/0!</v>
      </c>
      <c r="V76" s="71" t="e">
        <f t="shared" si="40"/>
        <v>#DIV/0!</v>
      </c>
      <c r="W76" s="71" t="e">
        <f t="shared" si="40"/>
        <v>#DIV/0!</v>
      </c>
      <c r="X76" s="71" t="e">
        <f t="shared" si="40"/>
        <v>#DIV/0!</v>
      </c>
      <c r="Y76" s="71" t="e">
        <f t="shared" si="40"/>
        <v>#DIV/0!</v>
      </c>
      <c r="Z76" s="71" t="e">
        <f t="shared" si="40"/>
        <v>#DIV/0!</v>
      </c>
      <c r="AA76" s="71" t="e">
        <f t="shared" si="40"/>
        <v>#DIV/0!</v>
      </c>
      <c r="AB76" s="71" t="e">
        <f t="shared" si="40"/>
        <v>#DIV/0!</v>
      </c>
      <c r="AC76" s="71" t="e">
        <f t="shared" si="40"/>
        <v>#DIV/0!</v>
      </c>
      <c r="AD76" s="71" t="e">
        <f t="shared" si="40"/>
        <v>#DIV/0!</v>
      </c>
      <c r="AE76" s="71" t="e">
        <f t="shared" si="40"/>
        <v>#DIV/0!</v>
      </c>
      <c r="AF76" s="71" t="e">
        <f t="shared" si="40"/>
        <v>#DIV/0!</v>
      </c>
      <c r="AG76" s="71" t="e">
        <f t="shared" si="40"/>
        <v>#DIV/0!</v>
      </c>
      <c r="AH76" s="71" t="e">
        <f t="shared" si="40"/>
        <v>#DIV/0!</v>
      </c>
      <c r="AI76" s="71" t="e">
        <f t="shared" si="40"/>
        <v>#DIV/0!</v>
      </c>
      <c r="AJ76" s="71" t="e">
        <f t="shared" si="40"/>
        <v>#DIV/0!</v>
      </c>
      <c r="AK76" s="71" t="e">
        <f t="shared" si="40"/>
        <v>#DIV/0!</v>
      </c>
      <c r="AL76" s="71" t="e">
        <f t="shared" si="40"/>
        <v>#DIV/0!</v>
      </c>
      <c r="AM76" s="71" t="e">
        <f t="shared" si="40"/>
        <v>#DIV/0!</v>
      </c>
      <c r="AN76" s="71" t="e">
        <f t="shared" si="40"/>
        <v>#DIV/0!</v>
      </c>
      <c r="AO76" s="71" t="e">
        <f t="shared" si="40"/>
        <v>#DIV/0!</v>
      </c>
      <c r="AP76" s="71" t="e">
        <f t="shared" si="40"/>
        <v>#DIV/0!</v>
      </c>
      <c r="AQ76" s="71" t="e">
        <f t="shared" si="40"/>
        <v>#DIV/0!</v>
      </c>
      <c r="AR76" s="71" t="e">
        <f t="shared" si="40"/>
        <v>#DIV/0!</v>
      </c>
      <c r="AS76" s="71" t="e">
        <f t="shared" si="40"/>
        <v>#DIV/0!</v>
      </c>
      <c r="AT76" s="71" t="e">
        <f t="shared" si="40"/>
        <v>#DIV/0!</v>
      </c>
      <c r="AU76" s="71" t="e">
        <f t="shared" si="40"/>
        <v>#DIV/0!</v>
      </c>
      <c r="AV76" s="71" t="e">
        <f t="shared" si="40"/>
        <v>#DIV/0!</v>
      </c>
      <c r="AW76" s="71" t="e">
        <f t="shared" si="40"/>
        <v>#DIV/0!</v>
      </c>
      <c r="AX76" s="71" t="e">
        <f t="shared" si="40"/>
        <v>#DIV/0!</v>
      </c>
      <c r="AY76" s="71" t="e">
        <f t="shared" si="40"/>
        <v>#DIV/0!</v>
      </c>
      <c r="AZ76" s="71" t="e">
        <f t="shared" si="40"/>
        <v>#DIV/0!</v>
      </c>
      <c r="BA76" s="71" t="e">
        <f t="shared" si="40"/>
        <v>#DIV/0!</v>
      </c>
      <c r="BB76" s="71" t="e">
        <f t="shared" si="40"/>
        <v>#DIV/0!</v>
      </c>
      <c r="BC76" s="71" t="e">
        <f t="shared" si="40"/>
        <v>#DIV/0!</v>
      </c>
      <c r="BD76" s="71" t="e">
        <f t="shared" si="40"/>
        <v>#DIV/0!</v>
      </c>
      <c r="BE76" s="71" t="e">
        <f t="shared" si="40"/>
        <v>#DIV/0!</v>
      </c>
      <c r="BF76" s="71" t="e">
        <f t="shared" si="40"/>
        <v>#DIV/0!</v>
      </c>
      <c r="BG76" s="71" t="e">
        <f t="shared" si="40"/>
        <v>#DIV/0!</v>
      </c>
      <c r="BH76" s="71" t="e">
        <f t="shared" si="40"/>
        <v>#DIV/0!</v>
      </c>
      <c r="BI76" s="71" t="e">
        <f t="shared" si="40"/>
        <v>#DIV/0!</v>
      </c>
      <c r="BJ76" s="71" t="e">
        <f t="shared" si="40"/>
        <v>#DIV/0!</v>
      </c>
      <c r="BK76" s="93" t="s">
        <v>9</v>
      </c>
      <c r="BL76" s="66" t="e">
        <f t="shared" ref="BL76:DC76" si="41">AVERAGEIF($E$5:$E$35,$E76,BL$5:BL$35)</f>
        <v>#DIV/0!</v>
      </c>
      <c r="BM76" s="66" t="e">
        <f t="shared" si="41"/>
        <v>#DIV/0!</v>
      </c>
      <c r="BN76" s="66" t="e">
        <f t="shared" si="41"/>
        <v>#DIV/0!</v>
      </c>
      <c r="BO76" s="66" t="e">
        <f t="shared" si="41"/>
        <v>#DIV/0!</v>
      </c>
      <c r="BP76" s="66" t="e">
        <f t="shared" si="41"/>
        <v>#DIV/0!</v>
      </c>
      <c r="BQ76" s="66" t="e">
        <f t="shared" si="41"/>
        <v>#DIV/0!</v>
      </c>
      <c r="BR76" s="66" t="e">
        <f t="shared" si="41"/>
        <v>#DIV/0!</v>
      </c>
      <c r="BS76" s="66" t="e">
        <f t="shared" si="41"/>
        <v>#DIV/0!</v>
      </c>
      <c r="BT76" s="66" t="e">
        <f t="shared" si="41"/>
        <v>#DIV/0!</v>
      </c>
      <c r="BU76" s="66" t="e">
        <f t="shared" si="41"/>
        <v>#DIV/0!</v>
      </c>
      <c r="BV76" s="66" t="e">
        <f t="shared" si="41"/>
        <v>#DIV/0!</v>
      </c>
      <c r="BW76" s="66" t="e">
        <f t="shared" si="41"/>
        <v>#DIV/0!</v>
      </c>
      <c r="BX76" s="66" t="e">
        <f t="shared" si="41"/>
        <v>#DIV/0!</v>
      </c>
      <c r="BY76" s="66" t="e">
        <f t="shared" si="41"/>
        <v>#DIV/0!</v>
      </c>
      <c r="BZ76" s="66" t="e">
        <f t="shared" si="41"/>
        <v>#DIV/0!</v>
      </c>
      <c r="CA76" s="66" t="e">
        <f t="shared" si="41"/>
        <v>#DIV/0!</v>
      </c>
      <c r="CB76" s="66" t="e">
        <f t="shared" si="41"/>
        <v>#DIV/0!</v>
      </c>
      <c r="CC76" s="66" t="e">
        <f t="shared" si="41"/>
        <v>#DIV/0!</v>
      </c>
      <c r="CD76" s="66" t="e">
        <f t="shared" si="41"/>
        <v>#DIV/0!</v>
      </c>
      <c r="CE76" s="66" t="e">
        <f t="shared" si="41"/>
        <v>#DIV/0!</v>
      </c>
      <c r="CF76" s="66" t="e">
        <f t="shared" si="41"/>
        <v>#DIV/0!</v>
      </c>
      <c r="CG76" s="66" t="e">
        <f t="shared" si="41"/>
        <v>#DIV/0!</v>
      </c>
      <c r="CH76" s="66" t="e">
        <f t="shared" si="41"/>
        <v>#DIV/0!</v>
      </c>
      <c r="CI76" s="66" t="e">
        <f t="shared" si="41"/>
        <v>#DIV/0!</v>
      </c>
      <c r="CJ76" s="66" t="e">
        <f t="shared" si="41"/>
        <v>#DIV/0!</v>
      </c>
      <c r="CK76" s="66" t="e">
        <f t="shared" si="41"/>
        <v>#DIV/0!</v>
      </c>
      <c r="CL76" s="66" t="e">
        <f t="shared" si="41"/>
        <v>#DIV/0!</v>
      </c>
      <c r="CM76" s="66" t="e">
        <f t="shared" si="41"/>
        <v>#DIV/0!</v>
      </c>
      <c r="CN76" s="66" t="e">
        <f t="shared" si="41"/>
        <v>#DIV/0!</v>
      </c>
      <c r="CO76" s="66" t="e">
        <f t="shared" si="41"/>
        <v>#DIV/0!</v>
      </c>
      <c r="CP76" s="66" t="e">
        <f t="shared" si="41"/>
        <v>#DIV/0!</v>
      </c>
      <c r="CQ76" s="66" t="e">
        <f t="shared" si="41"/>
        <v>#DIV/0!</v>
      </c>
      <c r="CR76" s="66" t="e">
        <f t="shared" si="41"/>
        <v>#DIV/0!</v>
      </c>
      <c r="CS76" s="66" t="e">
        <f t="shared" si="41"/>
        <v>#DIV/0!</v>
      </c>
      <c r="CT76" s="66" t="e">
        <f t="shared" si="41"/>
        <v>#DIV/0!</v>
      </c>
      <c r="CU76" s="66" t="e">
        <f t="shared" si="41"/>
        <v>#DIV/0!</v>
      </c>
      <c r="CV76" s="66" t="e">
        <f t="shared" si="41"/>
        <v>#DIV/0!</v>
      </c>
      <c r="CW76" s="66" t="e">
        <f t="shared" si="41"/>
        <v>#DIV/0!</v>
      </c>
      <c r="CX76" s="66" t="e">
        <f t="shared" si="41"/>
        <v>#DIV/0!</v>
      </c>
      <c r="CY76" s="66" t="e">
        <f t="shared" si="41"/>
        <v>#DIV/0!</v>
      </c>
      <c r="CZ76" s="66" t="e">
        <f t="shared" si="41"/>
        <v>#DIV/0!</v>
      </c>
      <c r="DA76" s="66" t="e">
        <f t="shared" si="41"/>
        <v>#DIV/0!</v>
      </c>
      <c r="DB76" s="66" t="e">
        <f t="shared" si="41"/>
        <v>#DIV/0!</v>
      </c>
      <c r="DC76" s="66" t="e">
        <f t="shared" si="41"/>
        <v>#DIV/0!</v>
      </c>
      <c r="DD76" s="93" t="s">
        <v>9</v>
      </c>
    </row>
    <row r="77" spans="1:119" ht="14.25" customHeight="1">
      <c r="A77" s="103"/>
      <c r="E77" s="83"/>
      <c r="H77" s="83"/>
      <c r="I77" s="277" t="e">
        <f t="array" ref="I77">_xlfn.STDEV.P(IF($E$5:$E$35=$E76,I$5:I$35))</f>
        <v>#DIV/0!</v>
      </c>
      <c r="J77" s="277"/>
      <c r="K77" s="277"/>
      <c r="L77" s="277" t="e">
        <f t="array" ref="L77">_xlfn.STDEV.P(IF($E$5:$E$35=$E76,L$5:L$35))</f>
        <v>#DIV/0!</v>
      </c>
      <c r="M77" s="277"/>
      <c r="N77" s="278" t="e">
        <f t="array" ref="N77">_xlfn.STDEV.P(IF($E$5:$E$35=$E76,N$5:N$35))</f>
        <v>#DIV/0!</v>
      </c>
      <c r="O77" s="278" t="e">
        <f t="array" ref="O77">_xlfn.STDEV.P(IF($E$5:$E$35=$E76,O$5:O$35))</f>
        <v>#DIV/0!</v>
      </c>
      <c r="P77" s="278" t="e">
        <f t="array" ref="P77">_xlfn.STDEV.P(IF($E$5:$E$35=$E76,P$5:P$35))</f>
        <v>#DIV/0!</v>
      </c>
      <c r="Q77" s="277" t="e">
        <f t="array" ref="Q77">_xlfn.STDEV.P(IF($E$5:$E$35=$E76,Q$5:Q$35))</f>
        <v>#DIV/0!</v>
      </c>
      <c r="R77" s="65" t="s">
        <v>11</v>
      </c>
      <c r="S77" s="74" t="e">
        <f t="array" ref="S77">_xlfn.STDEV.P(IF($E$5:$E$35=$E76,S$5:S$35))</f>
        <v>#DIV/0!</v>
      </c>
      <c r="T77" s="74" t="e">
        <f t="array" ref="T77">_xlfn.STDEV.P(IF($E$5:$E$35=$E76,T$5:T$35))</f>
        <v>#DIV/0!</v>
      </c>
      <c r="U77" s="74" t="e">
        <f t="array" ref="U77">_xlfn.STDEV.P(IF($E$5:$E$35=$E76,U$5:U$35))</f>
        <v>#DIV/0!</v>
      </c>
      <c r="V77" s="74" t="e">
        <f t="array" ref="V77">_xlfn.STDEV.P(IF($E$5:$E$35=$E76,V$5:V$35))</f>
        <v>#DIV/0!</v>
      </c>
      <c r="W77" s="74" t="e">
        <f t="array" ref="W77">_xlfn.STDEV.P(IF($E$5:$E$35=$E76,W$5:W$35))</f>
        <v>#DIV/0!</v>
      </c>
      <c r="X77" s="74" t="e">
        <f t="array" ref="X77">_xlfn.STDEV.P(IF($E$5:$E$35=$E76,X$5:X$35))</f>
        <v>#DIV/0!</v>
      </c>
      <c r="Y77" s="74" t="e">
        <f t="array" ref="Y77">_xlfn.STDEV.P(IF($E$5:$E$35=$E76,Y$5:Y$35))</f>
        <v>#DIV/0!</v>
      </c>
      <c r="Z77" s="74" t="e">
        <f t="array" ref="Z77">_xlfn.STDEV.P(IF($E$5:$E$35=$E76,Z$5:Z$35))</f>
        <v>#DIV/0!</v>
      </c>
      <c r="AA77" s="74" t="e">
        <f t="array" ref="AA77">_xlfn.STDEV.P(IF($E$5:$E$35=$E76,AA$5:AA$35))</f>
        <v>#DIV/0!</v>
      </c>
      <c r="AB77" s="74" t="e">
        <f t="array" ref="AB77">_xlfn.STDEV.P(IF($E$5:$E$35=$E76,AB$5:AB$35))</f>
        <v>#DIV/0!</v>
      </c>
      <c r="AC77" s="74" t="e">
        <f t="array" ref="AC77">_xlfn.STDEV.P(IF($E$5:$E$35=$E76,AC$5:AC$35))</f>
        <v>#DIV/0!</v>
      </c>
      <c r="AD77" s="74" t="e">
        <f t="array" ref="AD77">_xlfn.STDEV.P(IF($E$5:$E$35=$E76,AD$5:AD$35))</f>
        <v>#DIV/0!</v>
      </c>
      <c r="AE77" s="74" t="e">
        <f t="array" ref="AE77">_xlfn.STDEV.P(IF($E$5:$E$35=$E76,AE$5:AE$35))</f>
        <v>#DIV/0!</v>
      </c>
      <c r="AF77" s="74" t="e">
        <f t="array" ref="AF77">_xlfn.STDEV.P(IF($E$5:$E$35=$E76,AF$5:AF$35))</f>
        <v>#DIV/0!</v>
      </c>
      <c r="AG77" s="74" t="e">
        <f t="array" ref="AG77">_xlfn.STDEV.P(IF($E$5:$E$35=$E76,AG$5:AG$35))</f>
        <v>#DIV/0!</v>
      </c>
      <c r="AH77" s="74" t="e">
        <f t="array" ref="AH77">_xlfn.STDEV.P(IF($E$5:$E$35=$E76,AH$5:AH$35))</f>
        <v>#DIV/0!</v>
      </c>
      <c r="AI77" s="74" t="e">
        <f t="array" ref="AI77">_xlfn.STDEV.P(IF($E$5:$E$35=$E76,AI$5:AI$35))</f>
        <v>#DIV/0!</v>
      </c>
      <c r="AJ77" s="74" t="e">
        <f t="array" ref="AJ77">_xlfn.STDEV.P(IF($E$5:$E$35=$E76,AJ$5:AJ$35))</f>
        <v>#DIV/0!</v>
      </c>
      <c r="AK77" s="74" t="e">
        <f t="array" ref="AK77">_xlfn.STDEV.P(IF($E$5:$E$35=$E76,AK$5:AK$35))</f>
        <v>#DIV/0!</v>
      </c>
      <c r="AL77" s="74" t="e">
        <f t="array" ref="AL77">_xlfn.STDEV.P(IF($E$5:$E$35=$E76,AL$5:AL$35))</f>
        <v>#DIV/0!</v>
      </c>
      <c r="AM77" s="74" t="e">
        <f t="array" ref="AM77">_xlfn.STDEV.P(IF($E$5:$E$35=$E76,AM$5:AM$35))</f>
        <v>#DIV/0!</v>
      </c>
      <c r="AN77" s="74" t="e">
        <f t="array" ref="AN77">_xlfn.STDEV.P(IF($E$5:$E$35=$E76,AN$5:AN$35))</f>
        <v>#DIV/0!</v>
      </c>
      <c r="AO77" s="74" t="e">
        <f t="array" ref="AO77">_xlfn.STDEV.P(IF($E$5:$E$35=$E76,AO$5:AO$35))</f>
        <v>#DIV/0!</v>
      </c>
      <c r="AP77" s="74" t="e">
        <f t="array" ref="AP77">_xlfn.STDEV.P(IF($E$5:$E$35=$E76,AP$5:AP$35))</f>
        <v>#DIV/0!</v>
      </c>
      <c r="AQ77" s="74" t="e">
        <f t="array" ref="AQ77">_xlfn.STDEV.P(IF($E$5:$E$35=$E76,AQ$5:AQ$35))</f>
        <v>#DIV/0!</v>
      </c>
      <c r="AR77" s="74" t="e">
        <f t="array" ref="AR77">_xlfn.STDEV.P(IF($E$5:$E$35=$E76,AR$5:AR$35))</f>
        <v>#DIV/0!</v>
      </c>
      <c r="AS77" s="74" t="e">
        <f t="array" ref="AS77">_xlfn.STDEV.P(IF($E$5:$E$35=$E76,AS$5:AS$35))</f>
        <v>#DIV/0!</v>
      </c>
      <c r="AT77" s="74" t="e">
        <f t="array" ref="AT77">_xlfn.STDEV.P(IF($E$5:$E$35=$E76,AT$5:AT$35))</f>
        <v>#DIV/0!</v>
      </c>
      <c r="AU77" s="74" t="e">
        <f t="array" ref="AU77">_xlfn.STDEV.P(IF($E$5:$E$35=$E76,AU$5:AU$35))</f>
        <v>#DIV/0!</v>
      </c>
      <c r="AV77" s="74" t="e">
        <f t="array" ref="AV77">_xlfn.STDEV.P(IF($E$5:$E$35=$E76,AV$5:AV$35))</f>
        <v>#DIV/0!</v>
      </c>
      <c r="AW77" s="74" t="e">
        <f t="array" ref="AW77">_xlfn.STDEV.P(IF($E$5:$E$35=$E76,AW$5:AW$35))</f>
        <v>#DIV/0!</v>
      </c>
      <c r="AX77" s="74" t="e">
        <f t="array" ref="AX77">_xlfn.STDEV.P(IF($E$5:$E$35=$E76,AX$5:AX$35))</f>
        <v>#DIV/0!</v>
      </c>
      <c r="AY77" s="74" t="e">
        <f t="array" ref="AY77">_xlfn.STDEV.P(IF($E$5:$E$35=$E76,AY$5:AY$35))</f>
        <v>#DIV/0!</v>
      </c>
      <c r="AZ77" s="74" t="e">
        <f t="array" ref="AZ77">_xlfn.STDEV.P(IF($E$5:$E$35=$E76,AZ$5:AZ$35))</f>
        <v>#DIV/0!</v>
      </c>
      <c r="BA77" s="74" t="e">
        <f t="array" ref="BA77">_xlfn.STDEV.P(IF($E$5:$E$35=$E76,BA$5:BA$35))</f>
        <v>#DIV/0!</v>
      </c>
      <c r="BB77" s="74" t="e">
        <f t="array" ref="BB77">_xlfn.STDEV.P(IF($E$5:$E$35=$E76,BB$5:BB$35))</f>
        <v>#DIV/0!</v>
      </c>
      <c r="BC77" s="74" t="e">
        <f t="array" ref="BC77">_xlfn.STDEV.P(IF($E$5:$E$35=$E76,BC$5:BC$35))</f>
        <v>#DIV/0!</v>
      </c>
      <c r="BD77" s="74" t="e">
        <f t="array" ref="BD77">_xlfn.STDEV.P(IF($E$5:$E$35=$E76,BD$5:BD$35))</f>
        <v>#DIV/0!</v>
      </c>
      <c r="BE77" s="74" t="e">
        <f t="array" ref="BE77">_xlfn.STDEV.P(IF($E$5:$E$35=$E76,BE$5:BE$35))</f>
        <v>#DIV/0!</v>
      </c>
      <c r="BF77" s="74" t="e">
        <f t="array" ref="BF77">_xlfn.STDEV.P(IF($E$5:$E$35=$E76,BF$5:BF$35))</f>
        <v>#DIV/0!</v>
      </c>
      <c r="BG77" s="74" t="e">
        <f t="array" ref="BG77">_xlfn.STDEV.P(IF($E$5:$E$35=$E76,BG$5:BG$35))</f>
        <v>#DIV/0!</v>
      </c>
      <c r="BH77" s="74" t="e">
        <f t="array" ref="BH77">_xlfn.STDEV.P(IF($E$5:$E$35=$E76,BH$5:BH$35))</f>
        <v>#DIV/0!</v>
      </c>
      <c r="BI77" s="74" t="e">
        <f t="array" ref="BI77">_xlfn.STDEV.P(IF($E$5:$E$35=$E76,BI$5:BI$35))</f>
        <v>#DIV/0!</v>
      </c>
      <c r="BJ77" s="74" t="e">
        <f t="array" ref="BJ77">_xlfn.STDEV.P(IF($E$5:$E$35=$E76,BJ$5:BJ$35))</f>
        <v>#DIV/0!</v>
      </c>
      <c r="BK77" s="94" t="s">
        <v>11</v>
      </c>
      <c r="BL77" s="67" t="e">
        <f t="array" ref="BL77">_xlfn.STDEV.P(IF($E$5:$E$35=$E76,BL$5:BL$35))</f>
        <v>#DIV/0!</v>
      </c>
      <c r="BM77" s="67" t="e">
        <f t="array" ref="BM77">_xlfn.STDEV.P(IF($E$5:$E$35=$E76,BM$5:BM$35))</f>
        <v>#DIV/0!</v>
      </c>
      <c r="BN77" s="67" t="e">
        <f t="array" ref="BN77">_xlfn.STDEV.P(IF($E$5:$E$35=$E76,BN$5:BN$35))</f>
        <v>#DIV/0!</v>
      </c>
      <c r="BO77" s="67" t="e">
        <f t="array" ref="BO77">_xlfn.STDEV.P(IF($E$5:$E$35=$E76,BO$5:BO$35))</f>
        <v>#DIV/0!</v>
      </c>
      <c r="BP77" s="67" t="e">
        <f t="array" ref="BP77">_xlfn.STDEV.P(IF($E$5:$E$35=$E76,BP$5:BP$35))</f>
        <v>#DIV/0!</v>
      </c>
      <c r="BQ77" s="67" t="e">
        <f t="array" ref="BQ77">_xlfn.STDEV.P(IF($E$5:$E$35=$E76,BQ$5:BQ$35))</f>
        <v>#DIV/0!</v>
      </c>
      <c r="BR77" s="67" t="e">
        <f t="array" ref="BR77">_xlfn.STDEV.P(IF($E$5:$E$35=$E76,BR$5:BR$35))</f>
        <v>#DIV/0!</v>
      </c>
      <c r="BS77" s="67" t="e">
        <f t="array" ref="BS77">_xlfn.STDEV.P(IF($E$5:$E$35=$E76,BS$5:BS$35))</f>
        <v>#DIV/0!</v>
      </c>
      <c r="BT77" s="67" t="e">
        <f t="array" ref="BT77">_xlfn.STDEV.P(IF($E$5:$E$35=$E76,BT$5:BT$35))</f>
        <v>#DIV/0!</v>
      </c>
      <c r="BU77" s="67" t="e">
        <f t="array" ref="BU77">_xlfn.STDEV.P(IF($E$5:$E$35=$E76,BU$5:BU$35))</f>
        <v>#DIV/0!</v>
      </c>
      <c r="BV77" s="67" t="e">
        <f t="array" ref="BV77">_xlfn.STDEV.P(IF($E$5:$E$35=$E76,BV$5:BV$35))</f>
        <v>#DIV/0!</v>
      </c>
      <c r="BW77" s="67" t="e">
        <f t="array" ref="BW77">_xlfn.STDEV.P(IF($E$5:$E$35=$E76,BW$5:BW$35))</f>
        <v>#DIV/0!</v>
      </c>
      <c r="BX77" s="67" t="e">
        <f t="array" ref="BX77">_xlfn.STDEV.P(IF($E$5:$E$35=$E76,BX$5:BX$35))</f>
        <v>#DIV/0!</v>
      </c>
      <c r="BY77" s="67" t="e">
        <f t="array" ref="BY77">_xlfn.STDEV.P(IF($E$5:$E$35=$E76,BY$5:BY$35))</f>
        <v>#DIV/0!</v>
      </c>
      <c r="BZ77" s="67" t="e">
        <f t="array" ref="BZ77">_xlfn.STDEV.P(IF($E$5:$E$35=$E76,BZ$5:BZ$35))</f>
        <v>#DIV/0!</v>
      </c>
      <c r="CA77" s="67" t="e">
        <f t="array" ref="CA77">_xlfn.STDEV.P(IF($E$5:$E$35=$E76,CA$5:CA$35))</f>
        <v>#DIV/0!</v>
      </c>
      <c r="CB77" s="67" t="e">
        <f t="array" ref="CB77">_xlfn.STDEV.P(IF($E$5:$E$35=$E76,CB$5:CB$35))</f>
        <v>#DIV/0!</v>
      </c>
      <c r="CC77" s="67" t="e">
        <f t="array" ref="CC77">_xlfn.STDEV.P(IF($E$5:$E$35=$E76,CC$5:CC$35))</f>
        <v>#DIV/0!</v>
      </c>
      <c r="CD77" s="67" t="e">
        <f t="array" ref="CD77">_xlfn.STDEV.P(IF($E$5:$E$35=$E76,CD$5:CD$35))</f>
        <v>#DIV/0!</v>
      </c>
      <c r="CE77" s="67" t="e">
        <f t="array" ref="CE77">_xlfn.STDEV.P(IF($E$5:$E$35=$E76,CE$5:CE$35))</f>
        <v>#DIV/0!</v>
      </c>
      <c r="CF77" s="67" t="e">
        <f t="array" ref="CF77">_xlfn.STDEV.P(IF($E$5:$E$35=$E76,CF$5:CF$35))</f>
        <v>#DIV/0!</v>
      </c>
      <c r="CG77" s="67" t="e">
        <f t="array" ref="CG77">_xlfn.STDEV.P(IF($E$5:$E$35=$E76,CG$5:CG$35))</f>
        <v>#DIV/0!</v>
      </c>
      <c r="CH77" s="67" t="e">
        <f t="array" ref="CH77">_xlfn.STDEV.P(IF($E$5:$E$35=$E76,CH$5:CH$35))</f>
        <v>#DIV/0!</v>
      </c>
      <c r="CI77" s="67" t="e">
        <f t="array" ref="CI77">_xlfn.STDEV.P(IF($E$5:$E$35=$E76,CI$5:CI$35))</f>
        <v>#DIV/0!</v>
      </c>
      <c r="CJ77" s="67" t="e">
        <f t="array" ref="CJ77">_xlfn.STDEV.P(IF($E$5:$E$35=$E76,CJ$5:CJ$35))</f>
        <v>#DIV/0!</v>
      </c>
      <c r="CK77" s="67" t="e">
        <f t="array" ref="CK77">_xlfn.STDEV.P(IF($E$5:$E$35=$E76,CK$5:CK$35))</f>
        <v>#DIV/0!</v>
      </c>
      <c r="CL77" s="67" t="e">
        <f t="array" ref="CL77">_xlfn.STDEV.P(IF($E$5:$E$35=$E76,CL$5:CL$35))</f>
        <v>#DIV/0!</v>
      </c>
      <c r="CM77" s="67" t="e">
        <f t="array" ref="CM77">_xlfn.STDEV.P(IF($E$5:$E$35=$E76,CM$5:CM$35))</f>
        <v>#DIV/0!</v>
      </c>
      <c r="CN77" s="67" t="e">
        <f t="array" ref="CN77">_xlfn.STDEV.P(IF($E$5:$E$35=$E76,CN$5:CN$35))</f>
        <v>#DIV/0!</v>
      </c>
      <c r="CO77" s="67" t="e">
        <f t="array" ref="CO77">_xlfn.STDEV.P(IF($E$5:$E$35=$E76,CO$5:CO$35))</f>
        <v>#DIV/0!</v>
      </c>
      <c r="CP77" s="67" t="e">
        <f t="array" ref="CP77">_xlfn.STDEV.P(IF($E$5:$E$35=$E76,CP$5:CP$35))</f>
        <v>#DIV/0!</v>
      </c>
      <c r="CQ77" s="67" t="e">
        <f t="array" ref="CQ77">_xlfn.STDEV.P(IF($E$5:$E$35=$E76,CQ$5:CQ$35))</f>
        <v>#DIV/0!</v>
      </c>
      <c r="CR77" s="67" t="e">
        <f t="array" ref="CR77">_xlfn.STDEV.P(IF($E$5:$E$35=$E76,CR$5:CR$35))</f>
        <v>#DIV/0!</v>
      </c>
      <c r="CS77" s="67" t="e">
        <f t="array" ref="CS77">_xlfn.STDEV.P(IF($E$5:$E$35=$E76,CS$5:CS$35))</f>
        <v>#DIV/0!</v>
      </c>
      <c r="CT77" s="67" t="e">
        <f t="array" ref="CT77">_xlfn.STDEV.P(IF($E$5:$E$35=$E76,CT$5:CT$35))</f>
        <v>#DIV/0!</v>
      </c>
      <c r="CU77" s="67" t="e">
        <f t="array" ref="CU77">_xlfn.STDEV.P(IF($E$5:$E$35=$E76,CU$5:CU$35))</f>
        <v>#DIV/0!</v>
      </c>
      <c r="CV77" s="67" t="e">
        <f t="array" ref="CV77">_xlfn.STDEV.P(IF($E$5:$E$35=$E76,CV$5:CV$35))</f>
        <v>#DIV/0!</v>
      </c>
      <c r="CW77" s="67" t="e">
        <f t="array" ref="CW77">_xlfn.STDEV.P(IF($E$5:$E$35=$E76,CW$5:CW$35))</f>
        <v>#DIV/0!</v>
      </c>
      <c r="CX77" s="67" t="e">
        <f t="array" ref="CX77">_xlfn.STDEV.P(IF($E$5:$E$35=$E76,CX$5:CX$35))</f>
        <v>#DIV/0!</v>
      </c>
      <c r="CY77" s="67" t="e">
        <f t="array" ref="CY77">_xlfn.STDEV.P(IF($E$5:$E$35=$E76,CY$5:CY$35))</f>
        <v>#DIV/0!</v>
      </c>
      <c r="CZ77" s="67" t="e">
        <f t="array" ref="CZ77">_xlfn.STDEV.P(IF($E$5:$E$35=$E76,CZ$5:CZ$35))</f>
        <v>#DIV/0!</v>
      </c>
      <c r="DA77" s="67" t="e">
        <f t="array" ref="DA77">_xlfn.STDEV.P(IF($E$5:$E$35=$E76,DA$5:DA$35))</f>
        <v>#DIV/0!</v>
      </c>
      <c r="DB77" s="67" t="e">
        <f t="array" ref="DB77">_xlfn.STDEV.P(IF($E$5:$E$35=$E76,DB$5:DB$35))</f>
        <v>#DIV/0!</v>
      </c>
      <c r="DC77" s="67" t="e">
        <f t="array" ref="DC77">_xlfn.STDEV.P(IF($E$5:$E$35=$E76,DC$5:DC$35))</f>
        <v>#DIV/0!</v>
      </c>
      <c r="DD77" s="94" t="s">
        <v>11</v>
      </c>
    </row>
    <row r="78" spans="1:119" ht="15">
      <c r="A78" s="103"/>
      <c r="E78" s="108"/>
      <c r="H78" s="45"/>
      <c r="J78" s="50"/>
      <c r="K78" s="50"/>
      <c r="N78" s="275"/>
      <c r="O78" s="275"/>
      <c r="P78" s="275"/>
      <c r="Q78" s="50"/>
    </row>
    <row r="79" spans="1:119" ht="14.25" customHeight="1">
      <c r="A79" s="103"/>
      <c r="E79" s="108" t="str">
        <f>'5GY EBRT Groups'!C17</f>
        <v>Group 12</v>
      </c>
      <c r="H79" s="108" t="str">
        <f>E79</f>
        <v>Group 12</v>
      </c>
      <c r="I79" s="277" t="e">
        <f>AVERAGEIF($E$5:$E$35,$E79,I$5:I$35)</f>
        <v>#DIV/0!</v>
      </c>
      <c r="J79" s="277"/>
      <c r="K79" s="277"/>
      <c r="L79" s="277" t="e">
        <f>AVERAGEIF($E$5:$E$35,$E79,L$5:L$35)</f>
        <v>#DIV/0!</v>
      </c>
      <c r="M79" s="277"/>
      <c r="N79" s="278" t="e">
        <f>AVERAGEIF($E$5:$E$35,$E79,N$5:N$35)</f>
        <v>#DIV/0!</v>
      </c>
      <c r="O79" s="278" t="e">
        <f>AVERAGEIF($E$5:$E$35,$E79,O$5:O$35)</f>
        <v>#DIV/0!</v>
      </c>
      <c r="P79" s="278" t="e">
        <f>AVERAGEIF($E$5:$E$35,$E79,P$5:P$35)</f>
        <v>#DIV/0!</v>
      </c>
      <c r="Q79" s="277" t="e">
        <f>AVERAGEIF($E$5:$E$35,$E79,Q$5:Q$35)</f>
        <v>#DIV/0!</v>
      </c>
      <c r="R79" s="65" t="s">
        <v>9</v>
      </c>
      <c r="S79" s="71" t="e">
        <f t="shared" ref="S79:BJ79" si="42">AVERAGEIF($E$5:$E$35,$E79,S$5:S$35)</f>
        <v>#DIV/0!</v>
      </c>
      <c r="T79" s="71" t="e">
        <f t="shared" si="42"/>
        <v>#DIV/0!</v>
      </c>
      <c r="U79" s="71" t="e">
        <f t="shared" si="42"/>
        <v>#DIV/0!</v>
      </c>
      <c r="V79" s="71" t="e">
        <f t="shared" si="42"/>
        <v>#DIV/0!</v>
      </c>
      <c r="W79" s="71" t="e">
        <f t="shared" si="42"/>
        <v>#DIV/0!</v>
      </c>
      <c r="X79" s="71" t="e">
        <f t="shared" si="42"/>
        <v>#DIV/0!</v>
      </c>
      <c r="Y79" s="71" t="e">
        <f t="shared" si="42"/>
        <v>#DIV/0!</v>
      </c>
      <c r="Z79" s="71" t="e">
        <f t="shared" si="42"/>
        <v>#DIV/0!</v>
      </c>
      <c r="AA79" s="71" t="e">
        <f t="shared" si="42"/>
        <v>#DIV/0!</v>
      </c>
      <c r="AB79" s="71" t="e">
        <f t="shared" si="42"/>
        <v>#DIV/0!</v>
      </c>
      <c r="AC79" s="71" t="e">
        <f t="shared" si="42"/>
        <v>#DIV/0!</v>
      </c>
      <c r="AD79" s="71" t="e">
        <f t="shared" si="42"/>
        <v>#DIV/0!</v>
      </c>
      <c r="AE79" s="71" t="e">
        <f t="shared" si="42"/>
        <v>#DIV/0!</v>
      </c>
      <c r="AF79" s="71" t="e">
        <f t="shared" si="42"/>
        <v>#DIV/0!</v>
      </c>
      <c r="AG79" s="71" t="e">
        <f t="shared" si="42"/>
        <v>#DIV/0!</v>
      </c>
      <c r="AH79" s="71" t="e">
        <f t="shared" si="42"/>
        <v>#DIV/0!</v>
      </c>
      <c r="AI79" s="71" t="e">
        <f t="shared" si="42"/>
        <v>#DIV/0!</v>
      </c>
      <c r="AJ79" s="71" t="e">
        <f t="shared" si="42"/>
        <v>#DIV/0!</v>
      </c>
      <c r="AK79" s="71" t="e">
        <f t="shared" si="42"/>
        <v>#DIV/0!</v>
      </c>
      <c r="AL79" s="71" t="e">
        <f t="shared" si="42"/>
        <v>#DIV/0!</v>
      </c>
      <c r="AM79" s="71" t="e">
        <f t="shared" si="42"/>
        <v>#DIV/0!</v>
      </c>
      <c r="AN79" s="71" t="e">
        <f t="shared" si="42"/>
        <v>#DIV/0!</v>
      </c>
      <c r="AO79" s="71" t="e">
        <f t="shared" si="42"/>
        <v>#DIV/0!</v>
      </c>
      <c r="AP79" s="71" t="e">
        <f t="shared" si="42"/>
        <v>#DIV/0!</v>
      </c>
      <c r="AQ79" s="71" t="e">
        <f t="shared" si="42"/>
        <v>#DIV/0!</v>
      </c>
      <c r="AR79" s="71" t="e">
        <f t="shared" si="42"/>
        <v>#DIV/0!</v>
      </c>
      <c r="AS79" s="71" t="e">
        <f t="shared" si="42"/>
        <v>#DIV/0!</v>
      </c>
      <c r="AT79" s="71" t="e">
        <f t="shared" si="42"/>
        <v>#DIV/0!</v>
      </c>
      <c r="AU79" s="71" t="e">
        <f t="shared" si="42"/>
        <v>#DIV/0!</v>
      </c>
      <c r="AV79" s="71" t="e">
        <f t="shared" si="42"/>
        <v>#DIV/0!</v>
      </c>
      <c r="AW79" s="71" t="e">
        <f t="shared" si="42"/>
        <v>#DIV/0!</v>
      </c>
      <c r="AX79" s="71" t="e">
        <f t="shared" si="42"/>
        <v>#DIV/0!</v>
      </c>
      <c r="AY79" s="71" t="e">
        <f t="shared" si="42"/>
        <v>#DIV/0!</v>
      </c>
      <c r="AZ79" s="71" t="e">
        <f t="shared" si="42"/>
        <v>#DIV/0!</v>
      </c>
      <c r="BA79" s="71" t="e">
        <f t="shared" si="42"/>
        <v>#DIV/0!</v>
      </c>
      <c r="BB79" s="71" t="e">
        <f t="shared" si="42"/>
        <v>#DIV/0!</v>
      </c>
      <c r="BC79" s="71" t="e">
        <f t="shared" si="42"/>
        <v>#DIV/0!</v>
      </c>
      <c r="BD79" s="71" t="e">
        <f t="shared" si="42"/>
        <v>#DIV/0!</v>
      </c>
      <c r="BE79" s="71" t="e">
        <f t="shared" si="42"/>
        <v>#DIV/0!</v>
      </c>
      <c r="BF79" s="71" t="e">
        <f t="shared" si="42"/>
        <v>#DIV/0!</v>
      </c>
      <c r="BG79" s="71" t="e">
        <f t="shared" si="42"/>
        <v>#DIV/0!</v>
      </c>
      <c r="BH79" s="71" t="e">
        <f t="shared" si="42"/>
        <v>#DIV/0!</v>
      </c>
      <c r="BI79" s="71" t="e">
        <f t="shared" si="42"/>
        <v>#DIV/0!</v>
      </c>
      <c r="BJ79" s="71" t="e">
        <f t="shared" si="42"/>
        <v>#DIV/0!</v>
      </c>
      <c r="BK79" s="93" t="s">
        <v>9</v>
      </c>
      <c r="BL79" s="66" t="e">
        <f t="shared" ref="BL79:DC79" si="43">AVERAGEIF($E$5:$E$35,$E79,BL$5:BL$35)</f>
        <v>#DIV/0!</v>
      </c>
      <c r="BM79" s="66" t="e">
        <f t="shared" si="43"/>
        <v>#DIV/0!</v>
      </c>
      <c r="BN79" s="66" t="e">
        <f t="shared" si="43"/>
        <v>#DIV/0!</v>
      </c>
      <c r="BO79" s="66" t="e">
        <f t="shared" si="43"/>
        <v>#DIV/0!</v>
      </c>
      <c r="BP79" s="66" t="e">
        <f t="shared" si="43"/>
        <v>#DIV/0!</v>
      </c>
      <c r="BQ79" s="66" t="e">
        <f t="shared" si="43"/>
        <v>#DIV/0!</v>
      </c>
      <c r="BR79" s="66" t="e">
        <f t="shared" si="43"/>
        <v>#DIV/0!</v>
      </c>
      <c r="BS79" s="66" t="e">
        <f t="shared" si="43"/>
        <v>#DIV/0!</v>
      </c>
      <c r="BT79" s="66" t="e">
        <f t="shared" si="43"/>
        <v>#DIV/0!</v>
      </c>
      <c r="BU79" s="66" t="e">
        <f t="shared" si="43"/>
        <v>#DIV/0!</v>
      </c>
      <c r="BV79" s="66" t="e">
        <f t="shared" si="43"/>
        <v>#DIV/0!</v>
      </c>
      <c r="BW79" s="66" t="e">
        <f t="shared" si="43"/>
        <v>#DIV/0!</v>
      </c>
      <c r="BX79" s="66" t="e">
        <f t="shared" si="43"/>
        <v>#DIV/0!</v>
      </c>
      <c r="BY79" s="66" t="e">
        <f t="shared" si="43"/>
        <v>#DIV/0!</v>
      </c>
      <c r="BZ79" s="66" t="e">
        <f t="shared" si="43"/>
        <v>#DIV/0!</v>
      </c>
      <c r="CA79" s="66" t="e">
        <f t="shared" si="43"/>
        <v>#DIV/0!</v>
      </c>
      <c r="CB79" s="66" t="e">
        <f t="shared" si="43"/>
        <v>#DIV/0!</v>
      </c>
      <c r="CC79" s="66" t="e">
        <f t="shared" si="43"/>
        <v>#DIV/0!</v>
      </c>
      <c r="CD79" s="66" t="e">
        <f t="shared" si="43"/>
        <v>#DIV/0!</v>
      </c>
      <c r="CE79" s="66" t="e">
        <f t="shared" si="43"/>
        <v>#DIV/0!</v>
      </c>
      <c r="CF79" s="66" t="e">
        <f t="shared" si="43"/>
        <v>#DIV/0!</v>
      </c>
      <c r="CG79" s="66" t="e">
        <f t="shared" si="43"/>
        <v>#DIV/0!</v>
      </c>
      <c r="CH79" s="66" t="e">
        <f t="shared" si="43"/>
        <v>#DIV/0!</v>
      </c>
      <c r="CI79" s="66" t="e">
        <f t="shared" si="43"/>
        <v>#DIV/0!</v>
      </c>
      <c r="CJ79" s="66" t="e">
        <f t="shared" si="43"/>
        <v>#DIV/0!</v>
      </c>
      <c r="CK79" s="66" t="e">
        <f t="shared" si="43"/>
        <v>#DIV/0!</v>
      </c>
      <c r="CL79" s="66" t="e">
        <f t="shared" si="43"/>
        <v>#DIV/0!</v>
      </c>
      <c r="CM79" s="66" t="e">
        <f t="shared" si="43"/>
        <v>#DIV/0!</v>
      </c>
      <c r="CN79" s="66" t="e">
        <f t="shared" si="43"/>
        <v>#DIV/0!</v>
      </c>
      <c r="CO79" s="66" t="e">
        <f t="shared" si="43"/>
        <v>#DIV/0!</v>
      </c>
      <c r="CP79" s="66" t="e">
        <f t="shared" si="43"/>
        <v>#DIV/0!</v>
      </c>
      <c r="CQ79" s="66" t="e">
        <f t="shared" si="43"/>
        <v>#DIV/0!</v>
      </c>
      <c r="CR79" s="66" t="e">
        <f t="shared" si="43"/>
        <v>#DIV/0!</v>
      </c>
      <c r="CS79" s="66" t="e">
        <f t="shared" si="43"/>
        <v>#DIV/0!</v>
      </c>
      <c r="CT79" s="66" t="e">
        <f t="shared" si="43"/>
        <v>#DIV/0!</v>
      </c>
      <c r="CU79" s="66" t="e">
        <f t="shared" si="43"/>
        <v>#DIV/0!</v>
      </c>
      <c r="CV79" s="66" t="e">
        <f t="shared" si="43"/>
        <v>#DIV/0!</v>
      </c>
      <c r="CW79" s="66" t="e">
        <f t="shared" si="43"/>
        <v>#DIV/0!</v>
      </c>
      <c r="CX79" s="66" t="e">
        <f t="shared" si="43"/>
        <v>#DIV/0!</v>
      </c>
      <c r="CY79" s="66" t="e">
        <f t="shared" si="43"/>
        <v>#DIV/0!</v>
      </c>
      <c r="CZ79" s="66" t="e">
        <f t="shared" si="43"/>
        <v>#DIV/0!</v>
      </c>
      <c r="DA79" s="66" t="e">
        <f t="shared" si="43"/>
        <v>#DIV/0!</v>
      </c>
      <c r="DB79" s="66" t="e">
        <f t="shared" si="43"/>
        <v>#DIV/0!</v>
      </c>
      <c r="DC79" s="66" t="e">
        <f t="shared" si="43"/>
        <v>#DIV/0!</v>
      </c>
      <c r="DD79" s="93" t="s">
        <v>9</v>
      </c>
    </row>
    <row r="80" spans="1:119" ht="14.25" customHeight="1">
      <c r="A80" s="103"/>
      <c r="E80" s="83"/>
      <c r="H80" s="83"/>
      <c r="I80" s="277" t="e">
        <f t="array" ref="I80">_xlfn.STDEV.P(IF($E$5:$E$35=$E79,I$5:I$35))</f>
        <v>#DIV/0!</v>
      </c>
      <c r="J80" s="277"/>
      <c r="K80" s="277"/>
      <c r="L80" s="277" t="e">
        <f t="array" ref="L80">_xlfn.STDEV.P(IF($E$5:$E$35=$E79,L$5:L$35))</f>
        <v>#DIV/0!</v>
      </c>
      <c r="M80" s="277"/>
      <c r="N80" s="278" t="e">
        <f t="array" ref="N80">_xlfn.STDEV.P(IF($E$5:$E$35=$E79,N$5:N$35))</f>
        <v>#DIV/0!</v>
      </c>
      <c r="O80" s="278" t="e">
        <f t="array" ref="O80">_xlfn.STDEV.P(IF($E$5:$E$35=$E79,O$5:O$35))</f>
        <v>#DIV/0!</v>
      </c>
      <c r="P80" s="278" t="e">
        <f t="array" ref="P80">_xlfn.STDEV.P(IF($E$5:$E$35=$E79,P$5:P$35))</f>
        <v>#DIV/0!</v>
      </c>
      <c r="Q80" s="277" t="e">
        <f t="array" ref="Q80">_xlfn.STDEV.P(IF($E$5:$E$35=$E79,Q$5:Q$35))</f>
        <v>#DIV/0!</v>
      </c>
      <c r="R80" s="65" t="s">
        <v>11</v>
      </c>
      <c r="S80" s="74" t="e">
        <f t="array" ref="S80">_xlfn.STDEV.P(IF($E$5:$E$35=$E79,S$5:S$35))</f>
        <v>#DIV/0!</v>
      </c>
      <c r="T80" s="74" t="e">
        <f t="array" ref="T80">_xlfn.STDEV.P(IF($E$5:$E$35=$E79,T$5:T$35))</f>
        <v>#DIV/0!</v>
      </c>
      <c r="U80" s="74" t="e">
        <f t="array" ref="U80">_xlfn.STDEV.P(IF($E$5:$E$35=$E79,U$5:U$35))</f>
        <v>#DIV/0!</v>
      </c>
      <c r="V80" s="74" t="e">
        <f t="array" ref="V80">_xlfn.STDEV.P(IF($E$5:$E$35=$E79,V$5:V$35))</f>
        <v>#DIV/0!</v>
      </c>
      <c r="W80" s="74" t="e">
        <f t="array" ref="W80">_xlfn.STDEV.P(IF($E$5:$E$35=$E79,W$5:W$35))</f>
        <v>#DIV/0!</v>
      </c>
      <c r="X80" s="74" t="e">
        <f t="array" ref="X80">_xlfn.STDEV.P(IF($E$5:$E$35=$E79,X$5:X$35))</f>
        <v>#DIV/0!</v>
      </c>
      <c r="Y80" s="74" t="e">
        <f t="array" ref="Y80">_xlfn.STDEV.P(IF($E$5:$E$35=$E79,Y$5:Y$35))</f>
        <v>#DIV/0!</v>
      </c>
      <c r="Z80" s="74" t="e">
        <f t="array" ref="Z80">_xlfn.STDEV.P(IF($E$5:$E$35=$E79,Z$5:Z$35))</f>
        <v>#DIV/0!</v>
      </c>
      <c r="AA80" s="74" t="e">
        <f t="array" ref="AA80">_xlfn.STDEV.P(IF($E$5:$E$35=$E79,AA$5:AA$35))</f>
        <v>#DIV/0!</v>
      </c>
      <c r="AB80" s="74" t="e">
        <f t="array" ref="AB80">_xlfn.STDEV.P(IF($E$5:$E$35=$E79,AB$5:AB$35))</f>
        <v>#DIV/0!</v>
      </c>
      <c r="AC80" s="74" t="e">
        <f t="array" ref="AC80">_xlfn.STDEV.P(IF($E$5:$E$35=$E79,AC$5:AC$35))</f>
        <v>#DIV/0!</v>
      </c>
      <c r="AD80" s="74" t="e">
        <f t="array" ref="AD80">_xlfn.STDEV.P(IF($E$5:$E$35=$E79,AD$5:AD$35))</f>
        <v>#DIV/0!</v>
      </c>
      <c r="AE80" s="74" t="e">
        <f t="array" ref="AE80">_xlfn.STDEV.P(IF($E$5:$E$35=$E79,AE$5:AE$35))</f>
        <v>#DIV/0!</v>
      </c>
      <c r="AF80" s="74" t="e">
        <f t="array" ref="AF80">_xlfn.STDEV.P(IF($E$5:$E$35=$E79,AF$5:AF$35))</f>
        <v>#DIV/0!</v>
      </c>
      <c r="AG80" s="74" t="e">
        <f t="array" ref="AG80">_xlfn.STDEV.P(IF($E$5:$E$35=$E79,AG$5:AG$35))</f>
        <v>#DIV/0!</v>
      </c>
      <c r="AH80" s="74" t="e">
        <f t="array" ref="AH80">_xlfn.STDEV.P(IF($E$5:$E$35=$E79,AH$5:AH$35))</f>
        <v>#DIV/0!</v>
      </c>
      <c r="AI80" s="74" t="e">
        <f t="array" ref="AI80">_xlfn.STDEV.P(IF($E$5:$E$35=$E79,AI$5:AI$35))</f>
        <v>#DIV/0!</v>
      </c>
      <c r="AJ80" s="74" t="e">
        <f t="array" ref="AJ80">_xlfn.STDEV.P(IF($E$5:$E$35=$E79,AJ$5:AJ$35))</f>
        <v>#DIV/0!</v>
      </c>
      <c r="AK80" s="74" t="e">
        <f t="array" ref="AK80">_xlfn.STDEV.P(IF($E$5:$E$35=$E79,AK$5:AK$35))</f>
        <v>#DIV/0!</v>
      </c>
      <c r="AL80" s="74" t="e">
        <f t="array" ref="AL80">_xlfn.STDEV.P(IF($E$5:$E$35=$E79,AL$5:AL$35))</f>
        <v>#DIV/0!</v>
      </c>
      <c r="AM80" s="74" t="e">
        <f t="array" ref="AM80">_xlfn.STDEV.P(IF($E$5:$E$35=$E79,AM$5:AM$35))</f>
        <v>#DIV/0!</v>
      </c>
      <c r="AN80" s="74" t="e">
        <f t="array" ref="AN80">_xlfn.STDEV.P(IF($E$5:$E$35=$E79,AN$5:AN$35))</f>
        <v>#DIV/0!</v>
      </c>
      <c r="AO80" s="74" t="e">
        <f t="array" ref="AO80">_xlfn.STDEV.P(IF($E$5:$E$35=$E79,AO$5:AO$35))</f>
        <v>#DIV/0!</v>
      </c>
      <c r="AP80" s="74" t="e">
        <f t="array" ref="AP80">_xlfn.STDEV.P(IF($E$5:$E$35=$E79,AP$5:AP$35))</f>
        <v>#DIV/0!</v>
      </c>
      <c r="AQ80" s="74" t="e">
        <f t="array" ref="AQ80">_xlfn.STDEV.P(IF($E$5:$E$35=$E79,AQ$5:AQ$35))</f>
        <v>#DIV/0!</v>
      </c>
      <c r="AR80" s="74" t="e">
        <f t="array" ref="AR80">_xlfn.STDEV.P(IF($E$5:$E$35=$E79,AR$5:AR$35))</f>
        <v>#DIV/0!</v>
      </c>
      <c r="AS80" s="74" t="e">
        <f t="array" ref="AS80">_xlfn.STDEV.P(IF($E$5:$E$35=$E79,AS$5:AS$35))</f>
        <v>#DIV/0!</v>
      </c>
      <c r="AT80" s="74" t="e">
        <f t="array" ref="AT80">_xlfn.STDEV.P(IF($E$5:$E$35=$E79,AT$5:AT$35))</f>
        <v>#DIV/0!</v>
      </c>
      <c r="AU80" s="74" t="e">
        <f t="array" ref="AU80">_xlfn.STDEV.P(IF($E$5:$E$35=$E79,AU$5:AU$35))</f>
        <v>#DIV/0!</v>
      </c>
      <c r="AV80" s="74" t="e">
        <f t="array" ref="AV80">_xlfn.STDEV.P(IF($E$5:$E$35=$E79,AV$5:AV$35))</f>
        <v>#DIV/0!</v>
      </c>
      <c r="AW80" s="74" t="e">
        <f t="array" ref="AW80">_xlfn.STDEV.P(IF($E$5:$E$35=$E79,AW$5:AW$35))</f>
        <v>#DIV/0!</v>
      </c>
      <c r="AX80" s="74" t="e">
        <f t="array" ref="AX80">_xlfn.STDEV.P(IF($E$5:$E$35=$E79,AX$5:AX$35))</f>
        <v>#DIV/0!</v>
      </c>
      <c r="AY80" s="74" t="e">
        <f t="array" ref="AY80">_xlfn.STDEV.P(IF($E$5:$E$35=$E79,AY$5:AY$35))</f>
        <v>#DIV/0!</v>
      </c>
      <c r="AZ80" s="74" t="e">
        <f t="array" ref="AZ80">_xlfn.STDEV.P(IF($E$5:$E$35=$E79,AZ$5:AZ$35))</f>
        <v>#DIV/0!</v>
      </c>
      <c r="BA80" s="74" t="e">
        <f t="array" ref="BA80">_xlfn.STDEV.P(IF($E$5:$E$35=$E79,BA$5:BA$35))</f>
        <v>#DIV/0!</v>
      </c>
      <c r="BB80" s="74" t="e">
        <f t="array" ref="BB80">_xlfn.STDEV.P(IF($E$5:$E$35=$E79,BB$5:BB$35))</f>
        <v>#DIV/0!</v>
      </c>
      <c r="BC80" s="74" t="e">
        <f t="array" ref="BC80">_xlfn.STDEV.P(IF($E$5:$E$35=$E79,BC$5:BC$35))</f>
        <v>#DIV/0!</v>
      </c>
      <c r="BD80" s="74" t="e">
        <f t="array" ref="BD80">_xlfn.STDEV.P(IF($E$5:$E$35=$E79,BD$5:BD$35))</f>
        <v>#DIV/0!</v>
      </c>
      <c r="BE80" s="74" t="e">
        <f t="array" ref="BE80">_xlfn.STDEV.P(IF($E$5:$E$35=$E79,BE$5:BE$35))</f>
        <v>#DIV/0!</v>
      </c>
      <c r="BF80" s="74" t="e">
        <f t="array" ref="BF80">_xlfn.STDEV.P(IF($E$5:$E$35=$E79,BF$5:BF$35))</f>
        <v>#DIV/0!</v>
      </c>
      <c r="BG80" s="74" t="e">
        <f t="array" ref="BG80">_xlfn.STDEV.P(IF($E$5:$E$35=$E79,BG$5:BG$35))</f>
        <v>#DIV/0!</v>
      </c>
      <c r="BH80" s="74" t="e">
        <f t="array" ref="BH80">_xlfn.STDEV.P(IF($E$5:$E$35=$E79,BH$5:BH$35))</f>
        <v>#DIV/0!</v>
      </c>
      <c r="BI80" s="74" t="e">
        <f t="array" ref="BI80">_xlfn.STDEV.P(IF($E$5:$E$35=$E79,BI$5:BI$35))</f>
        <v>#DIV/0!</v>
      </c>
      <c r="BJ80" s="74" t="e">
        <f t="array" ref="BJ80">_xlfn.STDEV.P(IF($E$5:$E$35=$E79,BJ$5:BJ$35))</f>
        <v>#DIV/0!</v>
      </c>
      <c r="BK80" s="94" t="s">
        <v>11</v>
      </c>
      <c r="BL80" s="67" t="e">
        <f t="array" ref="BL80">_xlfn.STDEV.P(IF($E$5:$E$35=$E79,BL$5:BL$35))</f>
        <v>#DIV/0!</v>
      </c>
      <c r="BM80" s="67" t="e">
        <f t="array" ref="BM80">_xlfn.STDEV.P(IF($E$5:$E$35=$E79,BM$5:BM$35))</f>
        <v>#DIV/0!</v>
      </c>
      <c r="BN80" s="67" t="e">
        <f t="array" ref="BN80">_xlfn.STDEV.P(IF($E$5:$E$35=$E79,BN$5:BN$35))</f>
        <v>#DIV/0!</v>
      </c>
      <c r="BO80" s="67" t="e">
        <f t="array" ref="BO80">_xlfn.STDEV.P(IF($E$5:$E$35=$E79,BO$5:BO$35))</f>
        <v>#DIV/0!</v>
      </c>
      <c r="BP80" s="67" t="e">
        <f t="array" ref="BP80">_xlfn.STDEV.P(IF($E$5:$E$35=$E79,BP$5:BP$35))</f>
        <v>#DIV/0!</v>
      </c>
      <c r="BQ80" s="67" t="e">
        <f t="array" ref="BQ80">_xlfn.STDEV.P(IF($E$5:$E$35=$E79,BQ$5:BQ$35))</f>
        <v>#DIV/0!</v>
      </c>
      <c r="BR80" s="67" t="e">
        <f t="array" ref="BR80">_xlfn.STDEV.P(IF($E$5:$E$35=$E79,BR$5:BR$35))</f>
        <v>#DIV/0!</v>
      </c>
      <c r="BS80" s="67" t="e">
        <f t="array" ref="BS80">_xlfn.STDEV.P(IF($E$5:$E$35=$E79,BS$5:BS$35))</f>
        <v>#DIV/0!</v>
      </c>
      <c r="BT80" s="67" t="e">
        <f t="array" ref="BT80">_xlfn.STDEV.P(IF($E$5:$E$35=$E79,BT$5:BT$35))</f>
        <v>#DIV/0!</v>
      </c>
      <c r="BU80" s="67" t="e">
        <f t="array" ref="BU80">_xlfn.STDEV.P(IF($E$5:$E$35=$E79,BU$5:BU$35))</f>
        <v>#DIV/0!</v>
      </c>
      <c r="BV80" s="67" t="e">
        <f t="array" ref="BV80">_xlfn.STDEV.P(IF($E$5:$E$35=$E79,BV$5:BV$35))</f>
        <v>#DIV/0!</v>
      </c>
      <c r="BW80" s="67" t="e">
        <f t="array" ref="BW80">_xlfn.STDEV.P(IF($E$5:$E$35=$E79,BW$5:BW$35))</f>
        <v>#DIV/0!</v>
      </c>
      <c r="BX80" s="67" t="e">
        <f t="array" ref="BX80">_xlfn.STDEV.P(IF($E$5:$E$35=$E79,BX$5:BX$35))</f>
        <v>#DIV/0!</v>
      </c>
      <c r="BY80" s="67" t="e">
        <f t="array" ref="BY80">_xlfn.STDEV.P(IF($E$5:$E$35=$E79,BY$5:BY$35))</f>
        <v>#DIV/0!</v>
      </c>
      <c r="BZ80" s="67" t="e">
        <f t="array" ref="BZ80">_xlfn.STDEV.P(IF($E$5:$E$35=$E79,BZ$5:BZ$35))</f>
        <v>#DIV/0!</v>
      </c>
      <c r="CA80" s="67" t="e">
        <f t="array" ref="CA80">_xlfn.STDEV.P(IF($E$5:$E$35=$E79,CA$5:CA$35))</f>
        <v>#DIV/0!</v>
      </c>
      <c r="CB80" s="67" t="e">
        <f t="array" ref="CB80">_xlfn.STDEV.P(IF($E$5:$E$35=$E79,CB$5:CB$35))</f>
        <v>#DIV/0!</v>
      </c>
      <c r="CC80" s="67" t="e">
        <f t="array" ref="CC80">_xlfn.STDEV.P(IF($E$5:$E$35=$E79,CC$5:CC$35))</f>
        <v>#DIV/0!</v>
      </c>
      <c r="CD80" s="67" t="e">
        <f t="array" ref="CD80">_xlfn.STDEV.P(IF($E$5:$E$35=$E79,CD$5:CD$35))</f>
        <v>#DIV/0!</v>
      </c>
      <c r="CE80" s="67" t="e">
        <f t="array" ref="CE80">_xlfn.STDEV.P(IF($E$5:$E$35=$E79,CE$5:CE$35))</f>
        <v>#DIV/0!</v>
      </c>
      <c r="CF80" s="67" t="e">
        <f t="array" ref="CF80">_xlfn.STDEV.P(IF($E$5:$E$35=$E79,CF$5:CF$35))</f>
        <v>#DIV/0!</v>
      </c>
      <c r="CG80" s="67" t="e">
        <f t="array" ref="CG80">_xlfn.STDEV.P(IF($E$5:$E$35=$E79,CG$5:CG$35))</f>
        <v>#DIV/0!</v>
      </c>
      <c r="CH80" s="67" t="e">
        <f t="array" ref="CH80">_xlfn.STDEV.P(IF($E$5:$E$35=$E79,CH$5:CH$35))</f>
        <v>#DIV/0!</v>
      </c>
      <c r="CI80" s="67" t="e">
        <f t="array" ref="CI80">_xlfn.STDEV.P(IF($E$5:$E$35=$E79,CI$5:CI$35))</f>
        <v>#DIV/0!</v>
      </c>
      <c r="CJ80" s="67" t="e">
        <f t="array" ref="CJ80">_xlfn.STDEV.P(IF($E$5:$E$35=$E79,CJ$5:CJ$35))</f>
        <v>#DIV/0!</v>
      </c>
      <c r="CK80" s="67" t="e">
        <f t="array" ref="CK80">_xlfn.STDEV.P(IF($E$5:$E$35=$E79,CK$5:CK$35))</f>
        <v>#DIV/0!</v>
      </c>
      <c r="CL80" s="67" t="e">
        <f t="array" ref="CL80">_xlfn.STDEV.P(IF($E$5:$E$35=$E79,CL$5:CL$35))</f>
        <v>#DIV/0!</v>
      </c>
      <c r="CM80" s="67" t="e">
        <f t="array" ref="CM80">_xlfn.STDEV.P(IF($E$5:$E$35=$E79,CM$5:CM$35))</f>
        <v>#DIV/0!</v>
      </c>
      <c r="CN80" s="67" t="e">
        <f t="array" ref="CN80">_xlfn.STDEV.P(IF($E$5:$E$35=$E79,CN$5:CN$35))</f>
        <v>#DIV/0!</v>
      </c>
      <c r="CO80" s="67" t="e">
        <f t="array" ref="CO80">_xlfn.STDEV.P(IF($E$5:$E$35=$E79,CO$5:CO$35))</f>
        <v>#DIV/0!</v>
      </c>
      <c r="CP80" s="67" t="e">
        <f t="array" ref="CP80">_xlfn.STDEV.P(IF($E$5:$E$35=$E79,CP$5:CP$35))</f>
        <v>#DIV/0!</v>
      </c>
      <c r="CQ80" s="67" t="e">
        <f t="array" ref="CQ80">_xlfn.STDEV.P(IF($E$5:$E$35=$E79,CQ$5:CQ$35))</f>
        <v>#DIV/0!</v>
      </c>
      <c r="CR80" s="67" t="e">
        <f t="array" ref="CR80">_xlfn.STDEV.P(IF($E$5:$E$35=$E79,CR$5:CR$35))</f>
        <v>#DIV/0!</v>
      </c>
      <c r="CS80" s="67" t="e">
        <f t="array" ref="CS80">_xlfn.STDEV.P(IF($E$5:$E$35=$E79,CS$5:CS$35))</f>
        <v>#DIV/0!</v>
      </c>
      <c r="CT80" s="67" t="e">
        <f t="array" ref="CT80">_xlfn.STDEV.P(IF($E$5:$E$35=$E79,CT$5:CT$35))</f>
        <v>#DIV/0!</v>
      </c>
      <c r="CU80" s="67" t="e">
        <f t="array" ref="CU80">_xlfn.STDEV.P(IF($E$5:$E$35=$E79,CU$5:CU$35))</f>
        <v>#DIV/0!</v>
      </c>
      <c r="CV80" s="67" t="e">
        <f t="array" ref="CV80">_xlfn.STDEV.P(IF($E$5:$E$35=$E79,CV$5:CV$35))</f>
        <v>#DIV/0!</v>
      </c>
      <c r="CW80" s="67" t="e">
        <f t="array" ref="CW80">_xlfn.STDEV.P(IF($E$5:$E$35=$E79,CW$5:CW$35))</f>
        <v>#DIV/0!</v>
      </c>
      <c r="CX80" s="67" t="e">
        <f t="array" ref="CX80">_xlfn.STDEV.P(IF($E$5:$E$35=$E79,CX$5:CX$35))</f>
        <v>#DIV/0!</v>
      </c>
      <c r="CY80" s="67" t="e">
        <f t="array" ref="CY80">_xlfn.STDEV.P(IF($E$5:$E$35=$E79,CY$5:CY$35))</f>
        <v>#DIV/0!</v>
      </c>
      <c r="CZ80" s="67" t="e">
        <f t="array" ref="CZ80">_xlfn.STDEV.P(IF($E$5:$E$35=$E79,CZ$5:CZ$35))</f>
        <v>#DIV/0!</v>
      </c>
      <c r="DA80" s="67" t="e">
        <f t="array" ref="DA80">_xlfn.STDEV.P(IF($E$5:$E$35=$E79,DA$5:DA$35))</f>
        <v>#DIV/0!</v>
      </c>
      <c r="DB80" s="67" t="e">
        <f t="array" ref="DB80">_xlfn.STDEV.P(IF($E$5:$E$35=$E79,DB$5:DB$35))</f>
        <v>#DIV/0!</v>
      </c>
      <c r="DC80" s="67" t="e">
        <f t="array" ref="DC80">_xlfn.STDEV.P(IF($E$5:$E$35=$E79,DC$5:DC$35))</f>
        <v>#DIV/0!</v>
      </c>
      <c r="DD80" s="94" t="s">
        <v>11</v>
      </c>
    </row>
    <row r="81" spans="1:108" ht="15">
      <c r="A81" s="103"/>
      <c r="E81" s="108"/>
      <c r="H81" s="45"/>
      <c r="J81" s="50"/>
      <c r="K81" s="50"/>
      <c r="N81" s="275"/>
      <c r="O81" s="275"/>
      <c r="P81" s="275"/>
      <c r="Q81" s="50"/>
    </row>
    <row r="82" spans="1:108" ht="14.25" customHeight="1">
      <c r="A82" s="103"/>
      <c r="E82" s="108" t="str">
        <f>'5GY EBRT Groups'!C18</f>
        <v>Group 13</v>
      </c>
      <c r="H82" s="108" t="str">
        <f>E82</f>
        <v>Group 13</v>
      </c>
      <c r="I82" s="277" t="e">
        <f>AVERAGEIF($E$5:$E$35,$E82,I$5:I$35)</f>
        <v>#DIV/0!</v>
      </c>
      <c r="J82" s="277"/>
      <c r="K82" s="277"/>
      <c r="L82" s="277" t="e">
        <f>AVERAGEIF($E$5:$E$35,$E82,L$5:L$35)</f>
        <v>#DIV/0!</v>
      </c>
      <c r="M82" s="277"/>
      <c r="N82" s="278" t="e">
        <f>AVERAGEIF($E$5:$E$35,$E82,N$5:N$35)</f>
        <v>#DIV/0!</v>
      </c>
      <c r="O82" s="278" t="e">
        <f>AVERAGEIF($E$5:$E$35,$E82,O$5:O$35)</f>
        <v>#DIV/0!</v>
      </c>
      <c r="P82" s="278" t="e">
        <f>AVERAGEIF($E$5:$E$35,$E82,P$5:P$35)</f>
        <v>#DIV/0!</v>
      </c>
      <c r="Q82" s="277" t="e">
        <f>AVERAGEIF($E$5:$E$35,$E82,Q$5:Q$35)</f>
        <v>#DIV/0!</v>
      </c>
      <c r="R82" s="65" t="s">
        <v>9</v>
      </c>
      <c r="S82" s="71" t="e">
        <f t="shared" ref="S82:BJ82" si="44">AVERAGEIF($E$5:$E$35,$E82,S$5:S$35)</f>
        <v>#DIV/0!</v>
      </c>
      <c r="T82" s="71" t="e">
        <f t="shared" si="44"/>
        <v>#DIV/0!</v>
      </c>
      <c r="U82" s="71" t="e">
        <f t="shared" si="44"/>
        <v>#DIV/0!</v>
      </c>
      <c r="V82" s="71" t="e">
        <f t="shared" si="44"/>
        <v>#DIV/0!</v>
      </c>
      <c r="W82" s="71" t="e">
        <f t="shared" si="44"/>
        <v>#DIV/0!</v>
      </c>
      <c r="X82" s="71" t="e">
        <f t="shared" si="44"/>
        <v>#DIV/0!</v>
      </c>
      <c r="Y82" s="71" t="e">
        <f t="shared" si="44"/>
        <v>#DIV/0!</v>
      </c>
      <c r="Z82" s="71" t="e">
        <f t="shared" si="44"/>
        <v>#DIV/0!</v>
      </c>
      <c r="AA82" s="71" t="e">
        <f t="shared" si="44"/>
        <v>#DIV/0!</v>
      </c>
      <c r="AB82" s="71" t="e">
        <f t="shared" si="44"/>
        <v>#DIV/0!</v>
      </c>
      <c r="AC82" s="71" t="e">
        <f t="shared" si="44"/>
        <v>#DIV/0!</v>
      </c>
      <c r="AD82" s="71" t="e">
        <f t="shared" si="44"/>
        <v>#DIV/0!</v>
      </c>
      <c r="AE82" s="71" t="e">
        <f t="shared" si="44"/>
        <v>#DIV/0!</v>
      </c>
      <c r="AF82" s="71" t="e">
        <f t="shared" si="44"/>
        <v>#DIV/0!</v>
      </c>
      <c r="AG82" s="71" t="e">
        <f t="shared" si="44"/>
        <v>#DIV/0!</v>
      </c>
      <c r="AH82" s="71" t="e">
        <f t="shared" si="44"/>
        <v>#DIV/0!</v>
      </c>
      <c r="AI82" s="71" t="e">
        <f t="shared" si="44"/>
        <v>#DIV/0!</v>
      </c>
      <c r="AJ82" s="71" t="e">
        <f t="shared" si="44"/>
        <v>#DIV/0!</v>
      </c>
      <c r="AK82" s="71" t="e">
        <f t="shared" si="44"/>
        <v>#DIV/0!</v>
      </c>
      <c r="AL82" s="71" t="e">
        <f t="shared" si="44"/>
        <v>#DIV/0!</v>
      </c>
      <c r="AM82" s="71" t="e">
        <f t="shared" si="44"/>
        <v>#DIV/0!</v>
      </c>
      <c r="AN82" s="71" t="e">
        <f t="shared" si="44"/>
        <v>#DIV/0!</v>
      </c>
      <c r="AO82" s="71" t="e">
        <f t="shared" si="44"/>
        <v>#DIV/0!</v>
      </c>
      <c r="AP82" s="71" t="e">
        <f t="shared" si="44"/>
        <v>#DIV/0!</v>
      </c>
      <c r="AQ82" s="71" t="e">
        <f t="shared" si="44"/>
        <v>#DIV/0!</v>
      </c>
      <c r="AR82" s="71" t="e">
        <f t="shared" si="44"/>
        <v>#DIV/0!</v>
      </c>
      <c r="AS82" s="71" t="e">
        <f t="shared" si="44"/>
        <v>#DIV/0!</v>
      </c>
      <c r="AT82" s="71" t="e">
        <f t="shared" si="44"/>
        <v>#DIV/0!</v>
      </c>
      <c r="AU82" s="71" t="e">
        <f t="shared" si="44"/>
        <v>#DIV/0!</v>
      </c>
      <c r="AV82" s="71" t="e">
        <f t="shared" si="44"/>
        <v>#DIV/0!</v>
      </c>
      <c r="AW82" s="71" t="e">
        <f t="shared" si="44"/>
        <v>#DIV/0!</v>
      </c>
      <c r="AX82" s="71" t="e">
        <f t="shared" si="44"/>
        <v>#DIV/0!</v>
      </c>
      <c r="AY82" s="71" t="e">
        <f t="shared" si="44"/>
        <v>#DIV/0!</v>
      </c>
      <c r="AZ82" s="71" t="e">
        <f t="shared" si="44"/>
        <v>#DIV/0!</v>
      </c>
      <c r="BA82" s="71" t="e">
        <f t="shared" si="44"/>
        <v>#DIV/0!</v>
      </c>
      <c r="BB82" s="71" t="e">
        <f t="shared" si="44"/>
        <v>#DIV/0!</v>
      </c>
      <c r="BC82" s="71" t="e">
        <f t="shared" si="44"/>
        <v>#DIV/0!</v>
      </c>
      <c r="BD82" s="71" t="e">
        <f t="shared" si="44"/>
        <v>#DIV/0!</v>
      </c>
      <c r="BE82" s="71" t="e">
        <f t="shared" si="44"/>
        <v>#DIV/0!</v>
      </c>
      <c r="BF82" s="71" t="e">
        <f t="shared" si="44"/>
        <v>#DIV/0!</v>
      </c>
      <c r="BG82" s="71" t="e">
        <f t="shared" si="44"/>
        <v>#DIV/0!</v>
      </c>
      <c r="BH82" s="71" t="e">
        <f t="shared" si="44"/>
        <v>#DIV/0!</v>
      </c>
      <c r="BI82" s="71" t="e">
        <f t="shared" si="44"/>
        <v>#DIV/0!</v>
      </c>
      <c r="BJ82" s="71" t="e">
        <f t="shared" si="44"/>
        <v>#DIV/0!</v>
      </c>
      <c r="BK82" s="93" t="s">
        <v>9</v>
      </c>
      <c r="BL82" s="66" t="e">
        <f t="shared" ref="BL82:DC82" si="45">AVERAGEIF($E$5:$E$35,$E82,BL$5:BL$35)</f>
        <v>#DIV/0!</v>
      </c>
      <c r="BM82" s="66" t="e">
        <f t="shared" si="45"/>
        <v>#DIV/0!</v>
      </c>
      <c r="BN82" s="66" t="e">
        <f t="shared" si="45"/>
        <v>#DIV/0!</v>
      </c>
      <c r="BO82" s="66" t="e">
        <f t="shared" si="45"/>
        <v>#DIV/0!</v>
      </c>
      <c r="BP82" s="66" t="e">
        <f t="shared" si="45"/>
        <v>#DIV/0!</v>
      </c>
      <c r="BQ82" s="66" t="e">
        <f t="shared" si="45"/>
        <v>#DIV/0!</v>
      </c>
      <c r="BR82" s="66" t="e">
        <f t="shared" si="45"/>
        <v>#DIV/0!</v>
      </c>
      <c r="BS82" s="66" t="e">
        <f t="shared" si="45"/>
        <v>#DIV/0!</v>
      </c>
      <c r="BT82" s="66" t="e">
        <f t="shared" si="45"/>
        <v>#DIV/0!</v>
      </c>
      <c r="BU82" s="66" t="e">
        <f t="shared" si="45"/>
        <v>#DIV/0!</v>
      </c>
      <c r="BV82" s="66" t="e">
        <f t="shared" si="45"/>
        <v>#DIV/0!</v>
      </c>
      <c r="BW82" s="66" t="e">
        <f t="shared" si="45"/>
        <v>#DIV/0!</v>
      </c>
      <c r="BX82" s="66" t="e">
        <f t="shared" si="45"/>
        <v>#DIV/0!</v>
      </c>
      <c r="BY82" s="66" t="e">
        <f t="shared" si="45"/>
        <v>#DIV/0!</v>
      </c>
      <c r="BZ82" s="66" t="e">
        <f t="shared" si="45"/>
        <v>#DIV/0!</v>
      </c>
      <c r="CA82" s="66" t="e">
        <f t="shared" si="45"/>
        <v>#DIV/0!</v>
      </c>
      <c r="CB82" s="66" t="e">
        <f t="shared" si="45"/>
        <v>#DIV/0!</v>
      </c>
      <c r="CC82" s="66" t="e">
        <f t="shared" si="45"/>
        <v>#DIV/0!</v>
      </c>
      <c r="CD82" s="66" t="e">
        <f t="shared" si="45"/>
        <v>#DIV/0!</v>
      </c>
      <c r="CE82" s="66" t="e">
        <f t="shared" si="45"/>
        <v>#DIV/0!</v>
      </c>
      <c r="CF82" s="66" t="e">
        <f t="shared" si="45"/>
        <v>#DIV/0!</v>
      </c>
      <c r="CG82" s="66" t="e">
        <f t="shared" si="45"/>
        <v>#DIV/0!</v>
      </c>
      <c r="CH82" s="66" t="e">
        <f t="shared" si="45"/>
        <v>#DIV/0!</v>
      </c>
      <c r="CI82" s="66" t="e">
        <f t="shared" si="45"/>
        <v>#DIV/0!</v>
      </c>
      <c r="CJ82" s="66" t="e">
        <f t="shared" si="45"/>
        <v>#DIV/0!</v>
      </c>
      <c r="CK82" s="66" t="e">
        <f t="shared" si="45"/>
        <v>#DIV/0!</v>
      </c>
      <c r="CL82" s="66" t="e">
        <f t="shared" si="45"/>
        <v>#DIV/0!</v>
      </c>
      <c r="CM82" s="66" t="e">
        <f t="shared" si="45"/>
        <v>#DIV/0!</v>
      </c>
      <c r="CN82" s="66" t="e">
        <f t="shared" si="45"/>
        <v>#DIV/0!</v>
      </c>
      <c r="CO82" s="66" t="e">
        <f t="shared" si="45"/>
        <v>#DIV/0!</v>
      </c>
      <c r="CP82" s="66" t="e">
        <f t="shared" si="45"/>
        <v>#DIV/0!</v>
      </c>
      <c r="CQ82" s="66" t="e">
        <f t="shared" si="45"/>
        <v>#DIV/0!</v>
      </c>
      <c r="CR82" s="66" t="e">
        <f t="shared" si="45"/>
        <v>#DIV/0!</v>
      </c>
      <c r="CS82" s="66" t="e">
        <f t="shared" si="45"/>
        <v>#DIV/0!</v>
      </c>
      <c r="CT82" s="66" t="e">
        <f t="shared" si="45"/>
        <v>#DIV/0!</v>
      </c>
      <c r="CU82" s="66" t="e">
        <f t="shared" si="45"/>
        <v>#DIV/0!</v>
      </c>
      <c r="CV82" s="66" t="e">
        <f t="shared" si="45"/>
        <v>#DIV/0!</v>
      </c>
      <c r="CW82" s="66" t="e">
        <f t="shared" si="45"/>
        <v>#DIV/0!</v>
      </c>
      <c r="CX82" s="66" t="e">
        <f t="shared" si="45"/>
        <v>#DIV/0!</v>
      </c>
      <c r="CY82" s="66" t="e">
        <f t="shared" si="45"/>
        <v>#DIV/0!</v>
      </c>
      <c r="CZ82" s="66" t="e">
        <f t="shared" si="45"/>
        <v>#DIV/0!</v>
      </c>
      <c r="DA82" s="66" t="e">
        <f t="shared" si="45"/>
        <v>#DIV/0!</v>
      </c>
      <c r="DB82" s="66" t="e">
        <f t="shared" si="45"/>
        <v>#DIV/0!</v>
      </c>
      <c r="DC82" s="66" t="e">
        <f t="shared" si="45"/>
        <v>#DIV/0!</v>
      </c>
      <c r="DD82" s="93" t="s">
        <v>9</v>
      </c>
    </row>
    <row r="83" spans="1:108" ht="14.25" customHeight="1">
      <c r="A83" s="103"/>
      <c r="E83" s="83"/>
      <c r="H83" s="83"/>
      <c r="I83" s="277" t="e">
        <f t="array" ref="I83">_xlfn.STDEV.P(IF($E$5:$E$35=$E82,I$5:I$35))</f>
        <v>#DIV/0!</v>
      </c>
      <c r="J83" s="277"/>
      <c r="K83" s="277"/>
      <c r="L83" s="277" t="e">
        <f t="array" ref="L83">_xlfn.STDEV.P(IF($E$5:$E$35=$E82,L$5:L$35))</f>
        <v>#DIV/0!</v>
      </c>
      <c r="M83" s="277"/>
      <c r="N83" s="278" t="e">
        <f t="array" ref="N83">_xlfn.STDEV.P(IF($E$5:$E$35=$E82,N$5:N$35))</f>
        <v>#DIV/0!</v>
      </c>
      <c r="O83" s="278" t="e">
        <f t="array" ref="O83">_xlfn.STDEV.P(IF($E$5:$E$35=$E82,O$5:O$35))</f>
        <v>#DIV/0!</v>
      </c>
      <c r="P83" s="278" t="e">
        <f t="array" ref="P83">_xlfn.STDEV.P(IF($E$5:$E$35=$E82,P$5:P$35))</f>
        <v>#DIV/0!</v>
      </c>
      <c r="Q83" s="277" t="e">
        <f t="array" ref="Q83">_xlfn.STDEV.P(IF($E$5:$E$35=$E82,Q$5:Q$35))</f>
        <v>#DIV/0!</v>
      </c>
      <c r="R83" s="65" t="s">
        <v>11</v>
      </c>
      <c r="S83" s="74" t="e">
        <f t="array" ref="S83">_xlfn.STDEV.P(IF($E$5:$E$35=$E82,S$5:S$35))</f>
        <v>#DIV/0!</v>
      </c>
      <c r="T83" s="74" t="e">
        <f t="array" ref="T83">_xlfn.STDEV.P(IF($E$5:$E$35=$E82,T$5:T$35))</f>
        <v>#DIV/0!</v>
      </c>
      <c r="U83" s="74" t="e">
        <f t="array" ref="U83">_xlfn.STDEV.P(IF($E$5:$E$35=$E82,U$5:U$35))</f>
        <v>#DIV/0!</v>
      </c>
      <c r="V83" s="74" t="e">
        <f t="array" ref="V83">_xlfn.STDEV.P(IF($E$5:$E$35=$E82,V$5:V$35))</f>
        <v>#DIV/0!</v>
      </c>
      <c r="W83" s="74" t="e">
        <f t="array" ref="W83">_xlfn.STDEV.P(IF($E$5:$E$35=$E82,W$5:W$35))</f>
        <v>#DIV/0!</v>
      </c>
      <c r="X83" s="74" t="e">
        <f t="array" ref="X83">_xlfn.STDEV.P(IF($E$5:$E$35=$E82,X$5:X$35))</f>
        <v>#DIV/0!</v>
      </c>
      <c r="Y83" s="74" t="e">
        <f t="array" ref="Y83">_xlfn.STDEV.P(IF($E$5:$E$35=$E82,Y$5:Y$35))</f>
        <v>#DIV/0!</v>
      </c>
      <c r="Z83" s="74" t="e">
        <f t="array" ref="Z83">_xlfn.STDEV.P(IF($E$5:$E$35=$E82,Z$5:Z$35))</f>
        <v>#DIV/0!</v>
      </c>
      <c r="AA83" s="74" t="e">
        <f t="array" ref="AA83">_xlfn.STDEV.P(IF($E$5:$E$35=$E82,AA$5:AA$35))</f>
        <v>#DIV/0!</v>
      </c>
      <c r="AB83" s="74" t="e">
        <f t="array" ref="AB83">_xlfn.STDEV.P(IF($E$5:$E$35=$E82,AB$5:AB$35))</f>
        <v>#DIV/0!</v>
      </c>
      <c r="AC83" s="74" t="e">
        <f t="array" ref="AC83">_xlfn.STDEV.P(IF($E$5:$E$35=$E82,AC$5:AC$35))</f>
        <v>#DIV/0!</v>
      </c>
      <c r="AD83" s="74" t="e">
        <f t="array" ref="AD83">_xlfn.STDEV.P(IF($E$5:$E$35=$E82,AD$5:AD$35))</f>
        <v>#DIV/0!</v>
      </c>
      <c r="AE83" s="74" t="e">
        <f t="array" ref="AE83">_xlfn.STDEV.P(IF($E$5:$E$35=$E82,AE$5:AE$35))</f>
        <v>#DIV/0!</v>
      </c>
      <c r="AF83" s="74" t="e">
        <f t="array" ref="AF83">_xlfn.STDEV.P(IF($E$5:$E$35=$E82,AF$5:AF$35))</f>
        <v>#DIV/0!</v>
      </c>
      <c r="AG83" s="74" t="e">
        <f t="array" ref="AG83">_xlfn.STDEV.P(IF($E$5:$E$35=$E82,AG$5:AG$35))</f>
        <v>#DIV/0!</v>
      </c>
      <c r="AH83" s="74" t="e">
        <f t="array" ref="AH83">_xlfn.STDEV.P(IF($E$5:$E$35=$E82,AH$5:AH$35))</f>
        <v>#DIV/0!</v>
      </c>
      <c r="AI83" s="74" t="e">
        <f t="array" ref="AI83">_xlfn.STDEV.P(IF($E$5:$E$35=$E82,AI$5:AI$35))</f>
        <v>#DIV/0!</v>
      </c>
      <c r="AJ83" s="74" t="e">
        <f t="array" ref="AJ83">_xlfn.STDEV.P(IF($E$5:$E$35=$E82,AJ$5:AJ$35))</f>
        <v>#DIV/0!</v>
      </c>
      <c r="AK83" s="74" t="e">
        <f t="array" ref="AK83">_xlfn.STDEV.P(IF($E$5:$E$35=$E82,AK$5:AK$35))</f>
        <v>#DIV/0!</v>
      </c>
      <c r="AL83" s="74" t="e">
        <f t="array" ref="AL83">_xlfn.STDEV.P(IF($E$5:$E$35=$E82,AL$5:AL$35))</f>
        <v>#DIV/0!</v>
      </c>
      <c r="AM83" s="74" t="e">
        <f t="array" ref="AM83">_xlfn.STDEV.P(IF($E$5:$E$35=$E82,AM$5:AM$35))</f>
        <v>#DIV/0!</v>
      </c>
      <c r="AN83" s="74" t="e">
        <f t="array" ref="AN83">_xlfn.STDEV.P(IF($E$5:$E$35=$E82,AN$5:AN$35))</f>
        <v>#DIV/0!</v>
      </c>
      <c r="AO83" s="74" t="e">
        <f t="array" ref="AO83">_xlfn.STDEV.P(IF($E$5:$E$35=$E82,AO$5:AO$35))</f>
        <v>#DIV/0!</v>
      </c>
      <c r="AP83" s="74" t="e">
        <f t="array" ref="AP83">_xlfn.STDEV.P(IF($E$5:$E$35=$E82,AP$5:AP$35))</f>
        <v>#DIV/0!</v>
      </c>
      <c r="AQ83" s="74" t="e">
        <f t="array" ref="AQ83">_xlfn.STDEV.P(IF($E$5:$E$35=$E82,AQ$5:AQ$35))</f>
        <v>#DIV/0!</v>
      </c>
      <c r="AR83" s="74" t="e">
        <f t="array" ref="AR83">_xlfn.STDEV.P(IF($E$5:$E$35=$E82,AR$5:AR$35))</f>
        <v>#DIV/0!</v>
      </c>
      <c r="AS83" s="74" t="e">
        <f t="array" ref="AS83">_xlfn.STDEV.P(IF($E$5:$E$35=$E82,AS$5:AS$35))</f>
        <v>#DIV/0!</v>
      </c>
      <c r="AT83" s="74" t="e">
        <f t="array" ref="AT83">_xlfn.STDEV.P(IF($E$5:$E$35=$E82,AT$5:AT$35))</f>
        <v>#DIV/0!</v>
      </c>
      <c r="AU83" s="74" t="e">
        <f t="array" ref="AU83">_xlfn.STDEV.P(IF($E$5:$E$35=$E82,AU$5:AU$35))</f>
        <v>#DIV/0!</v>
      </c>
      <c r="AV83" s="74" t="e">
        <f t="array" ref="AV83">_xlfn.STDEV.P(IF($E$5:$E$35=$E82,AV$5:AV$35))</f>
        <v>#DIV/0!</v>
      </c>
      <c r="AW83" s="74" t="e">
        <f t="array" ref="AW83">_xlfn.STDEV.P(IF($E$5:$E$35=$E82,AW$5:AW$35))</f>
        <v>#DIV/0!</v>
      </c>
      <c r="AX83" s="74" t="e">
        <f t="array" ref="AX83">_xlfn.STDEV.P(IF($E$5:$E$35=$E82,AX$5:AX$35))</f>
        <v>#DIV/0!</v>
      </c>
      <c r="AY83" s="74" t="e">
        <f t="array" ref="AY83">_xlfn.STDEV.P(IF($E$5:$E$35=$E82,AY$5:AY$35))</f>
        <v>#DIV/0!</v>
      </c>
      <c r="AZ83" s="74" t="e">
        <f t="array" ref="AZ83">_xlfn.STDEV.P(IF($E$5:$E$35=$E82,AZ$5:AZ$35))</f>
        <v>#DIV/0!</v>
      </c>
      <c r="BA83" s="74" t="e">
        <f t="array" ref="BA83">_xlfn.STDEV.P(IF($E$5:$E$35=$E82,BA$5:BA$35))</f>
        <v>#DIV/0!</v>
      </c>
      <c r="BB83" s="74" t="e">
        <f t="array" ref="BB83">_xlfn.STDEV.P(IF($E$5:$E$35=$E82,BB$5:BB$35))</f>
        <v>#DIV/0!</v>
      </c>
      <c r="BC83" s="74" t="e">
        <f t="array" ref="BC83">_xlfn.STDEV.P(IF($E$5:$E$35=$E82,BC$5:BC$35))</f>
        <v>#DIV/0!</v>
      </c>
      <c r="BD83" s="74" t="e">
        <f t="array" ref="BD83">_xlfn.STDEV.P(IF($E$5:$E$35=$E82,BD$5:BD$35))</f>
        <v>#DIV/0!</v>
      </c>
      <c r="BE83" s="74" t="e">
        <f t="array" ref="BE83">_xlfn.STDEV.P(IF($E$5:$E$35=$E82,BE$5:BE$35))</f>
        <v>#DIV/0!</v>
      </c>
      <c r="BF83" s="74" t="e">
        <f t="array" ref="BF83">_xlfn.STDEV.P(IF($E$5:$E$35=$E82,BF$5:BF$35))</f>
        <v>#DIV/0!</v>
      </c>
      <c r="BG83" s="74" t="e">
        <f t="array" ref="BG83">_xlfn.STDEV.P(IF($E$5:$E$35=$E82,BG$5:BG$35))</f>
        <v>#DIV/0!</v>
      </c>
      <c r="BH83" s="74" t="e">
        <f t="array" ref="BH83">_xlfn.STDEV.P(IF($E$5:$E$35=$E82,BH$5:BH$35))</f>
        <v>#DIV/0!</v>
      </c>
      <c r="BI83" s="74" t="e">
        <f t="array" ref="BI83">_xlfn.STDEV.P(IF($E$5:$E$35=$E82,BI$5:BI$35))</f>
        <v>#DIV/0!</v>
      </c>
      <c r="BJ83" s="74" t="e">
        <f t="array" ref="BJ83">_xlfn.STDEV.P(IF($E$5:$E$35=$E82,BJ$5:BJ$35))</f>
        <v>#DIV/0!</v>
      </c>
      <c r="BK83" s="94" t="s">
        <v>11</v>
      </c>
      <c r="BL83" s="67" t="e">
        <f t="array" ref="BL83">_xlfn.STDEV.P(IF($E$5:$E$35=$E82,BL$5:BL$35))</f>
        <v>#DIV/0!</v>
      </c>
      <c r="BM83" s="67" t="e">
        <f t="array" ref="BM83">_xlfn.STDEV.P(IF($E$5:$E$35=$E82,BM$5:BM$35))</f>
        <v>#DIV/0!</v>
      </c>
      <c r="BN83" s="67" t="e">
        <f t="array" ref="BN83">_xlfn.STDEV.P(IF($E$5:$E$35=$E82,BN$5:BN$35))</f>
        <v>#DIV/0!</v>
      </c>
      <c r="BO83" s="67" t="e">
        <f t="array" ref="BO83">_xlfn.STDEV.P(IF($E$5:$E$35=$E82,BO$5:BO$35))</f>
        <v>#DIV/0!</v>
      </c>
      <c r="BP83" s="67" t="e">
        <f t="array" ref="BP83">_xlfn.STDEV.P(IF($E$5:$E$35=$E82,BP$5:BP$35))</f>
        <v>#DIV/0!</v>
      </c>
      <c r="BQ83" s="67" t="e">
        <f t="array" ref="BQ83">_xlfn.STDEV.P(IF($E$5:$E$35=$E82,BQ$5:BQ$35))</f>
        <v>#DIV/0!</v>
      </c>
      <c r="BR83" s="67" t="e">
        <f t="array" ref="BR83">_xlfn.STDEV.P(IF($E$5:$E$35=$E82,BR$5:BR$35))</f>
        <v>#DIV/0!</v>
      </c>
      <c r="BS83" s="67" t="e">
        <f t="array" ref="BS83">_xlfn.STDEV.P(IF($E$5:$E$35=$E82,BS$5:BS$35))</f>
        <v>#DIV/0!</v>
      </c>
      <c r="BT83" s="67" t="e">
        <f t="array" ref="BT83">_xlfn.STDEV.P(IF($E$5:$E$35=$E82,BT$5:BT$35))</f>
        <v>#DIV/0!</v>
      </c>
      <c r="BU83" s="67" t="e">
        <f t="array" ref="BU83">_xlfn.STDEV.P(IF($E$5:$E$35=$E82,BU$5:BU$35))</f>
        <v>#DIV/0!</v>
      </c>
      <c r="BV83" s="67" t="e">
        <f t="array" ref="BV83">_xlfn.STDEV.P(IF($E$5:$E$35=$E82,BV$5:BV$35))</f>
        <v>#DIV/0!</v>
      </c>
      <c r="BW83" s="67" t="e">
        <f t="array" ref="BW83">_xlfn.STDEV.P(IF($E$5:$E$35=$E82,BW$5:BW$35))</f>
        <v>#DIV/0!</v>
      </c>
      <c r="BX83" s="67" t="e">
        <f t="array" ref="BX83">_xlfn.STDEV.P(IF($E$5:$E$35=$E82,BX$5:BX$35))</f>
        <v>#DIV/0!</v>
      </c>
      <c r="BY83" s="67" t="e">
        <f t="array" ref="BY83">_xlfn.STDEV.P(IF($E$5:$E$35=$E82,BY$5:BY$35))</f>
        <v>#DIV/0!</v>
      </c>
      <c r="BZ83" s="67" t="e">
        <f t="array" ref="BZ83">_xlfn.STDEV.P(IF($E$5:$E$35=$E82,BZ$5:BZ$35))</f>
        <v>#DIV/0!</v>
      </c>
      <c r="CA83" s="67" t="e">
        <f t="array" ref="CA83">_xlfn.STDEV.P(IF($E$5:$E$35=$E82,CA$5:CA$35))</f>
        <v>#DIV/0!</v>
      </c>
      <c r="CB83" s="67" t="e">
        <f t="array" ref="CB83">_xlfn.STDEV.P(IF($E$5:$E$35=$E82,CB$5:CB$35))</f>
        <v>#DIV/0!</v>
      </c>
      <c r="CC83" s="67" t="e">
        <f t="array" ref="CC83">_xlfn.STDEV.P(IF($E$5:$E$35=$E82,CC$5:CC$35))</f>
        <v>#DIV/0!</v>
      </c>
      <c r="CD83" s="67" t="e">
        <f t="array" ref="CD83">_xlfn.STDEV.P(IF($E$5:$E$35=$E82,CD$5:CD$35))</f>
        <v>#DIV/0!</v>
      </c>
      <c r="CE83" s="67" t="e">
        <f t="array" ref="CE83">_xlfn.STDEV.P(IF($E$5:$E$35=$E82,CE$5:CE$35))</f>
        <v>#DIV/0!</v>
      </c>
      <c r="CF83" s="67" t="e">
        <f t="array" ref="CF83">_xlfn.STDEV.P(IF($E$5:$E$35=$E82,CF$5:CF$35))</f>
        <v>#DIV/0!</v>
      </c>
      <c r="CG83" s="67" t="e">
        <f t="array" ref="CG83">_xlfn.STDEV.P(IF($E$5:$E$35=$E82,CG$5:CG$35))</f>
        <v>#DIV/0!</v>
      </c>
      <c r="CH83" s="67" t="e">
        <f t="array" ref="CH83">_xlfn.STDEV.P(IF($E$5:$E$35=$E82,CH$5:CH$35))</f>
        <v>#DIV/0!</v>
      </c>
      <c r="CI83" s="67" t="e">
        <f t="array" ref="CI83">_xlfn.STDEV.P(IF($E$5:$E$35=$E82,CI$5:CI$35))</f>
        <v>#DIV/0!</v>
      </c>
      <c r="CJ83" s="67" t="e">
        <f t="array" ref="CJ83">_xlfn.STDEV.P(IF($E$5:$E$35=$E82,CJ$5:CJ$35))</f>
        <v>#DIV/0!</v>
      </c>
      <c r="CK83" s="67" t="e">
        <f t="array" ref="CK83">_xlfn.STDEV.P(IF($E$5:$E$35=$E82,CK$5:CK$35))</f>
        <v>#DIV/0!</v>
      </c>
      <c r="CL83" s="67" t="e">
        <f t="array" ref="CL83">_xlfn.STDEV.P(IF($E$5:$E$35=$E82,CL$5:CL$35))</f>
        <v>#DIV/0!</v>
      </c>
      <c r="CM83" s="67" t="e">
        <f t="array" ref="CM83">_xlfn.STDEV.P(IF($E$5:$E$35=$E82,CM$5:CM$35))</f>
        <v>#DIV/0!</v>
      </c>
      <c r="CN83" s="67" t="e">
        <f t="array" ref="CN83">_xlfn.STDEV.P(IF($E$5:$E$35=$E82,CN$5:CN$35))</f>
        <v>#DIV/0!</v>
      </c>
      <c r="CO83" s="67" t="e">
        <f t="array" ref="CO83">_xlfn.STDEV.P(IF($E$5:$E$35=$E82,CO$5:CO$35))</f>
        <v>#DIV/0!</v>
      </c>
      <c r="CP83" s="67" t="e">
        <f t="array" ref="CP83">_xlfn.STDEV.P(IF($E$5:$E$35=$E82,CP$5:CP$35))</f>
        <v>#DIV/0!</v>
      </c>
      <c r="CQ83" s="67" t="e">
        <f t="array" ref="CQ83">_xlfn.STDEV.P(IF($E$5:$E$35=$E82,CQ$5:CQ$35))</f>
        <v>#DIV/0!</v>
      </c>
      <c r="CR83" s="67" t="e">
        <f t="array" ref="CR83">_xlfn.STDEV.P(IF($E$5:$E$35=$E82,CR$5:CR$35))</f>
        <v>#DIV/0!</v>
      </c>
      <c r="CS83" s="67" t="e">
        <f t="array" ref="CS83">_xlfn.STDEV.P(IF($E$5:$E$35=$E82,CS$5:CS$35))</f>
        <v>#DIV/0!</v>
      </c>
      <c r="CT83" s="67" t="e">
        <f t="array" ref="CT83">_xlfn.STDEV.P(IF($E$5:$E$35=$E82,CT$5:CT$35))</f>
        <v>#DIV/0!</v>
      </c>
      <c r="CU83" s="67" t="e">
        <f t="array" ref="CU83">_xlfn.STDEV.P(IF($E$5:$E$35=$E82,CU$5:CU$35))</f>
        <v>#DIV/0!</v>
      </c>
      <c r="CV83" s="67" t="e">
        <f t="array" ref="CV83">_xlfn.STDEV.P(IF($E$5:$E$35=$E82,CV$5:CV$35))</f>
        <v>#DIV/0!</v>
      </c>
      <c r="CW83" s="67" t="e">
        <f t="array" ref="CW83">_xlfn.STDEV.P(IF($E$5:$E$35=$E82,CW$5:CW$35))</f>
        <v>#DIV/0!</v>
      </c>
      <c r="CX83" s="67" t="e">
        <f t="array" ref="CX83">_xlfn.STDEV.P(IF($E$5:$E$35=$E82,CX$5:CX$35))</f>
        <v>#DIV/0!</v>
      </c>
      <c r="CY83" s="67" t="e">
        <f t="array" ref="CY83">_xlfn.STDEV.P(IF($E$5:$E$35=$E82,CY$5:CY$35))</f>
        <v>#DIV/0!</v>
      </c>
      <c r="CZ83" s="67" t="e">
        <f t="array" ref="CZ83">_xlfn.STDEV.P(IF($E$5:$E$35=$E82,CZ$5:CZ$35))</f>
        <v>#DIV/0!</v>
      </c>
      <c r="DA83" s="67" t="e">
        <f t="array" ref="DA83">_xlfn.STDEV.P(IF($E$5:$E$35=$E82,DA$5:DA$35))</f>
        <v>#DIV/0!</v>
      </c>
      <c r="DB83" s="67" t="e">
        <f t="array" ref="DB83">_xlfn.STDEV.P(IF($E$5:$E$35=$E82,DB$5:DB$35))</f>
        <v>#DIV/0!</v>
      </c>
      <c r="DC83" s="67" t="e">
        <f t="array" ref="DC83">_xlfn.STDEV.P(IF($E$5:$E$35=$E82,DC$5:DC$35))</f>
        <v>#DIV/0!</v>
      </c>
      <c r="DD83" s="94" t="s">
        <v>11</v>
      </c>
    </row>
    <row r="84" spans="1:108" ht="15">
      <c r="A84" s="103"/>
      <c r="E84" s="108"/>
      <c r="H84" s="45"/>
      <c r="J84" s="50"/>
      <c r="K84" s="50"/>
      <c r="N84" s="275"/>
      <c r="O84" s="275"/>
      <c r="P84" s="275"/>
      <c r="Q84" s="50"/>
    </row>
    <row r="85" spans="1:108" ht="14.25" customHeight="1">
      <c r="A85" s="103"/>
      <c r="E85" s="108" t="str">
        <f>'5GY EBRT Groups'!C19</f>
        <v>Group 14</v>
      </c>
      <c r="H85" s="108" t="str">
        <f>E85</f>
        <v>Group 14</v>
      </c>
      <c r="I85" s="277" t="e">
        <f>AVERAGEIF($E$5:$E$35,$E85,I$5:I$35)</f>
        <v>#DIV/0!</v>
      </c>
      <c r="J85" s="277"/>
      <c r="K85" s="277"/>
      <c r="L85" s="277" t="e">
        <f>AVERAGEIF($E$5:$E$35,$E85,L$5:L$35)</f>
        <v>#DIV/0!</v>
      </c>
      <c r="M85" s="277"/>
      <c r="N85" s="278" t="e">
        <f>AVERAGEIF($E$5:$E$35,$E85,N$5:N$35)</f>
        <v>#DIV/0!</v>
      </c>
      <c r="O85" s="278" t="e">
        <f>AVERAGEIF($E$5:$E$35,$E85,O$5:O$35)</f>
        <v>#DIV/0!</v>
      </c>
      <c r="P85" s="278" t="e">
        <f>AVERAGEIF($E$5:$E$35,$E85,P$5:P$35)</f>
        <v>#DIV/0!</v>
      </c>
      <c r="Q85" s="277" t="e">
        <f>AVERAGEIF($E$5:$E$35,$E85,Q$5:Q$35)</f>
        <v>#DIV/0!</v>
      </c>
      <c r="R85" s="65" t="s">
        <v>9</v>
      </c>
      <c r="S85" s="71" t="e">
        <f t="shared" ref="S85:BJ85" si="46">AVERAGEIF($E$5:$E$35,$E85,S$5:S$35)</f>
        <v>#DIV/0!</v>
      </c>
      <c r="T85" s="71" t="e">
        <f t="shared" si="46"/>
        <v>#DIV/0!</v>
      </c>
      <c r="U85" s="71" t="e">
        <f t="shared" si="46"/>
        <v>#DIV/0!</v>
      </c>
      <c r="V85" s="71" t="e">
        <f t="shared" si="46"/>
        <v>#DIV/0!</v>
      </c>
      <c r="W85" s="71" t="e">
        <f t="shared" si="46"/>
        <v>#DIV/0!</v>
      </c>
      <c r="X85" s="71" t="e">
        <f t="shared" si="46"/>
        <v>#DIV/0!</v>
      </c>
      <c r="Y85" s="71" t="e">
        <f t="shared" si="46"/>
        <v>#DIV/0!</v>
      </c>
      <c r="Z85" s="71" t="e">
        <f t="shared" si="46"/>
        <v>#DIV/0!</v>
      </c>
      <c r="AA85" s="71" t="e">
        <f t="shared" si="46"/>
        <v>#DIV/0!</v>
      </c>
      <c r="AB85" s="71" t="e">
        <f t="shared" si="46"/>
        <v>#DIV/0!</v>
      </c>
      <c r="AC85" s="71" t="e">
        <f t="shared" si="46"/>
        <v>#DIV/0!</v>
      </c>
      <c r="AD85" s="71" t="e">
        <f t="shared" si="46"/>
        <v>#DIV/0!</v>
      </c>
      <c r="AE85" s="71" t="e">
        <f t="shared" si="46"/>
        <v>#DIV/0!</v>
      </c>
      <c r="AF85" s="71" t="e">
        <f t="shared" si="46"/>
        <v>#DIV/0!</v>
      </c>
      <c r="AG85" s="71" t="e">
        <f t="shared" si="46"/>
        <v>#DIV/0!</v>
      </c>
      <c r="AH85" s="71" t="e">
        <f t="shared" si="46"/>
        <v>#DIV/0!</v>
      </c>
      <c r="AI85" s="71" t="e">
        <f t="shared" si="46"/>
        <v>#DIV/0!</v>
      </c>
      <c r="AJ85" s="71" t="e">
        <f t="shared" si="46"/>
        <v>#DIV/0!</v>
      </c>
      <c r="AK85" s="71" t="e">
        <f t="shared" si="46"/>
        <v>#DIV/0!</v>
      </c>
      <c r="AL85" s="71" t="e">
        <f t="shared" si="46"/>
        <v>#DIV/0!</v>
      </c>
      <c r="AM85" s="71" t="e">
        <f t="shared" si="46"/>
        <v>#DIV/0!</v>
      </c>
      <c r="AN85" s="71" t="e">
        <f t="shared" si="46"/>
        <v>#DIV/0!</v>
      </c>
      <c r="AO85" s="71" t="e">
        <f t="shared" si="46"/>
        <v>#DIV/0!</v>
      </c>
      <c r="AP85" s="71" t="e">
        <f t="shared" si="46"/>
        <v>#DIV/0!</v>
      </c>
      <c r="AQ85" s="71" t="e">
        <f t="shared" si="46"/>
        <v>#DIV/0!</v>
      </c>
      <c r="AR85" s="71" t="e">
        <f t="shared" si="46"/>
        <v>#DIV/0!</v>
      </c>
      <c r="AS85" s="71" t="e">
        <f t="shared" si="46"/>
        <v>#DIV/0!</v>
      </c>
      <c r="AT85" s="71" t="e">
        <f t="shared" si="46"/>
        <v>#DIV/0!</v>
      </c>
      <c r="AU85" s="71" t="e">
        <f t="shared" si="46"/>
        <v>#DIV/0!</v>
      </c>
      <c r="AV85" s="71" t="e">
        <f t="shared" si="46"/>
        <v>#DIV/0!</v>
      </c>
      <c r="AW85" s="71" t="e">
        <f t="shared" si="46"/>
        <v>#DIV/0!</v>
      </c>
      <c r="AX85" s="71" t="e">
        <f t="shared" si="46"/>
        <v>#DIV/0!</v>
      </c>
      <c r="AY85" s="71" t="e">
        <f t="shared" si="46"/>
        <v>#DIV/0!</v>
      </c>
      <c r="AZ85" s="71" t="e">
        <f t="shared" si="46"/>
        <v>#DIV/0!</v>
      </c>
      <c r="BA85" s="71" t="e">
        <f t="shared" si="46"/>
        <v>#DIV/0!</v>
      </c>
      <c r="BB85" s="71" t="e">
        <f t="shared" si="46"/>
        <v>#DIV/0!</v>
      </c>
      <c r="BC85" s="71" t="e">
        <f t="shared" si="46"/>
        <v>#DIV/0!</v>
      </c>
      <c r="BD85" s="71" t="e">
        <f t="shared" si="46"/>
        <v>#DIV/0!</v>
      </c>
      <c r="BE85" s="71" t="e">
        <f t="shared" si="46"/>
        <v>#DIV/0!</v>
      </c>
      <c r="BF85" s="71" t="e">
        <f t="shared" si="46"/>
        <v>#DIV/0!</v>
      </c>
      <c r="BG85" s="71" t="e">
        <f t="shared" si="46"/>
        <v>#DIV/0!</v>
      </c>
      <c r="BH85" s="71" t="e">
        <f t="shared" si="46"/>
        <v>#DIV/0!</v>
      </c>
      <c r="BI85" s="71" t="e">
        <f t="shared" si="46"/>
        <v>#DIV/0!</v>
      </c>
      <c r="BJ85" s="71" t="e">
        <f t="shared" si="46"/>
        <v>#DIV/0!</v>
      </c>
      <c r="BK85" s="93" t="s">
        <v>9</v>
      </c>
      <c r="BL85" s="66" t="e">
        <f t="shared" ref="BL85:DC85" si="47">AVERAGEIF($E$5:$E$35,$E85,BL$5:BL$35)</f>
        <v>#DIV/0!</v>
      </c>
      <c r="BM85" s="66" t="e">
        <f t="shared" si="47"/>
        <v>#DIV/0!</v>
      </c>
      <c r="BN85" s="66" t="e">
        <f t="shared" si="47"/>
        <v>#DIV/0!</v>
      </c>
      <c r="BO85" s="66" t="e">
        <f t="shared" si="47"/>
        <v>#DIV/0!</v>
      </c>
      <c r="BP85" s="66" t="e">
        <f t="shared" si="47"/>
        <v>#DIV/0!</v>
      </c>
      <c r="BQ85" s="66" t="e">
        <f t="shared" si="47"/>
        <v>#DIV/0!</v>
      </c>
      <c r="BR85" s="66" t="e">
        <f t="shared" si="47"/>
        <v>#DIV/0!</v>
      </c>
      <c r="BS85" s="66" t="e">
        <f t="shared" si="47"/>
        <v>#DIV/0!</v>
      </c>
      <c r="BT85" s="66" t="e">
        <f t="shared" si="47"/>
        <v>#DIV/0!</v>
      </c>
      <c r="BU85" s="66" t="e">
        <f t="shared" si="47"/>
        <v>#DIV/0!</v>
      </c>
      <c r="BV85" s="66" t="e">
        <f t="shared" si="47"/>
        <v>#DIV/0!</v>
      </c>
      <c r="BW85" s="66" t="e">
        <f t="shared" si="47"/>
        <v>#DIV/0!</v>
      </c>
      <c r="BX85" s="66" t="e">
        <f t="shared" si="47"/>
        <v>#DIV/0!</v>
      </c>
      <c r="BY85" s="66" t="e">
        <f t="shared" si="47"/>
        <v>#DIV/0!</v>
      </c>
      <c r="BZ85" s="66" t="e">
        <f t="shared" si="47"/>
        <v>#DIV/0!</v>
      </c>
      <c r="CA85" s="66" t="e">
        <f t="shared" si="47"/>
        <v>#DIV/0!</v>
      </c>
      <c r="CB85" s="66" t="e">
        <f t="shared" si="47"/>
        <v>#DIV/0!</v>
      </c>
      <c r="CC85" s="66" t="e">
        <f t="shared" si="47"/>
        <v>#DIV/0!</v>
      </c>
      <c r="CD85" s="66" t="e">
        <f t="shared" si="47"/>
        <v>#DIV/0!</v>
      </c>
      <c r="CE85" s="66" t="e">
        <f t="shared" si="47"/>
        <v>#DIV/0!</v>
      </c>
      <c r="CF85" s="66" t="e">
        <f t="shared" si="47"/>
        <v>#DIV/0!</v>
      </c>
      <c r="CG85" s="66" t="e">
        <f t="shared" si="47"/>
        <v>#DIV/0!</v>
      </c>
      <c r="CH85" s="66" t="e">
        <f t="shared" si="47"/>
        <v>#DIV/0!</v>
      </c>
      <c r="CI85" s="66" t="e">
        <f t="shared" si="47"/>
        <v>#DIV/0!</v>
      </c>
      <c r="CJ85" s="66" t="e">
        <f t="shared" si="47"/>
        <v>#DIV/0!</v>
      </c>
      <c r="CK85" s="66" t="e">
        <f t="shared" si="47"/>
        <v>#DIV/0!</v>
      </c>
      <c r="CL85" s="66" t="e">
        <f t="shared" si="47"/>
        <v>#DIV/0!</v>
      </c>
      <c r="CM85" s="66" t="e">
        <f t="shared" si="47"/>
        <v>#DIV/0!</v>
      </c>
      <c r="CN85" s="66" t="e">
        <f t="shared" si="47"/>
        <v>#DIV/0!</v>
      </c>
      <c r="CO85" s="66" t="e">
        <f t="shared" si="47"/>
        <v>#DIV/0!</v>
      </c>
      <c r="CP85" s="66" t="e">
        <f t="shared" si="47"/>
        <v>#DIV/0!</v>
      </c>
      <c r="CQ85" s="66" t="e">
        <f t="shared" si="47"/>
        <v>#DIV/0!</v>
      </c>
      <c r="CR85" s="66" t="e">
        <f t="shared" si="47"/>
        <v>#DIV/0!</v>
      </c>
      <c r="CS85" s="66" t="e">
        <f t="shared" si="47"/>
        <v>#DIV/0!</v>
      </c>
      <c r="CT85" s="66" t="e">
        <f t="shared" si="47"/>
        <v>#DIV/0!</v>
      </c>
      <c r="CU85" s="66" t="e">
        <f t="shared" si="47"/>
        <v>#DIV/0!</v>
      </c>
      <c r="CV85" s="66" t="e">
        <f t="shared" si="47"/>
        <v>#DIV/0!</v>
      </c>
      <c r="CW85" s="66" t="e">
        <f t="shared" si="47"/>
        <v>#DIV/0!</v>
      </c>
      <c r="CX85" s="66" t="e">
        <f t="shared" si="47"/>
        <v>#DIV/0!</v>
      </c>
      <c r="CY85" s="66" t="e">
        <f t="shared" si="47"/>
        <v>#DIV/0!</v>
      </c>
      <c r="CZ85" s="66" t="e">
        <f t="shared" si="47"/>
        <v>#DIV/0!</v>
      </c>
      <c r="DA85" s="66" t="e">
        <f t="shared" si="47"/>
        <v>#DIV/0!</v>
      </c>
      <c r="DB85" s="66" t="e">
        <f t="shared" si="47"/>
        <v>#DIV/0!</v>
      </c>
      <c r="DC85" s="66" t="e">
        <f t="shared" si="47"/>
        <v>#DIV/0!</v>
      </c>
      <c r="DD85" s="93" t="s">
        <v>9</v>
      </c>
    </row>
    <row r="86" spans="1:108" ht="14.25" customHeight="1">
      <c r="A86" s="103"/>
      <c r="E86" s="83"/>
      <c r="H86" s="83"/>
      <c r="I86" s="277" t="e">
        <f t="array" ref="I86">_xlfn.STDEV.P(IF($E$5:$E$35=$E85,I$5:I$35))</f>
        <v>#DIV/0!</v>
      </c>
      <c r="J86" s="277"/>
      <c r="K86" s="277"/>
      <c r="L86" s="277" t="e">
        <f t="array" ref="L86">_xlfn.STDEV.P(IF($E$5:$E$35=$E85,L$5:L$35))</f>
        <v>#DIV/0!</v>
      </c>
      <c r="M86" s="277"/>
      <c r="N86" s="278" t="e">
        <f t="array" ref="N86">_xlfn.STDEV.P(IF($E$5:$E$35=$E85,N$5:N$35))</f>
        <v>#DIV/0!</v>
      </c>
      <c r="O86" s="278" t="e">
        <f t="array" ref="O86">_xlfn.STDEV.P(IF($E$5:$E$35=$E85,O$5:O$35))</f>
        <v>#DIV/0!</v>
      </c>
      <c r="P86" s="278" t="e">
        <f t="array" ref="P86">_xlfn.STDEV.P(IF($E$5:$E$35=$E85,P$5:P$35))</f>
        <v>#DIV/0!</v>
      </c>
      <c r="Q86" s="277" t="e">
        <f t="array" ref="Q86">_xlfn.STDEV.P(IF($E$5:$E$35=$E85,Q$5:Q$35))</f>
        <v>#DIV/0!</v>
      </c>
      <c r="R86" s="65" t="s">
        <v>11</v>
      </c>
      <c r="S86" s="74" t="e">
        <f t="array" ref="S86">_xlfn.STDEV.P(IF($E$5:$E$35=$E85,S$5:S$35))</f>
        <v>#DIV/0!</v>
      </c>
      <c r="T86" s="74" t="e">
        <f t="array" ref="T86">_xlfn.STDEV.P(IF($E$5:$E$35=$E85,T$5:T$35))</f>
        <v>#DIV/0!</v>
      </c>
      <c r="U86" s="74" t="e">
        <f t="array" ref="U86">_xlfn.STDEV.P(IF($E$5:$E$35=$E85,U$5:U$35))</f>
        <v>#DIV/0!</v>
      </c>
      <c r="V86" s="74" t="e">
        <f t="array" ref="V86">_xlfn.STDEV.P(IF($E$5:$E$35=$E85,V$5:V$35))</f>
        <v>#DIV/0!</v>
      </c>
      <c r="W86" s="74" t="e">
        <f t="array" ref="W86">_xlfn.STDEV.P(IF($E$5:$E$35=$E85,W$5:W$35))</f>
        <v>#DIV/0!</v>
      </c>
      <c r="X86" s="74" t="e">
        <f t="array" ref="X86">_xlfn.STDEV.P(IF($E$5:$E$35=$E85,X$5:X$35))</f>
        <v>#DIV/0!</v>
      </c>
      <c r="Y86" s="74" t="e">
        <f t="array" ref="Y86">_xlfn.STDEV.P(IF($E$5:$E$35=$E85,Y$5:Y$35))</f>
        <v>#DIV/0!</v>
      </c>
      <c r="Z86" s="74" t="e">
        <f t="array" ref="Z86">_xlfn.STDEV.P(IF($E$5:$E$35=$E85,Z$5:Z$35))</f>
        <v>#DIV/0!</v>
      </c>
      <c r="AA86" s="74" t="e">
        <f t="array" ref="AA86">_xlfn.STDEV.P(IF($E$5:$E$35=$E85,AA$5:AA$35))</f>
        <v>#DIV/0!</v>
      </c>
      <c r="AB86" s="74" t="e">
        <f t="array" ref="AB86">_xlfn.STDEV.P(IF($E$5:$E$35=$E85,AB$5:AB$35))</f>
        <v>#DIV/0!</v>
      </c>
      <c r="AC86" s="74" t="e">
        <f t="array" ref="AC86">_xlfn.STDEV.P(IF($E$5:$E$35=$E85,AC$5:AC$35))</f>
        <v>#DIV/0!</v>
      </c>
      <c r="AD86" s="74" t="e">
        <f t="array" ref="AD86">_xlfn.STDEV.P(IF($E$5:$E$35=$E85,AD$5:AD$35))</f>
        <v>#DIV/0!</v>
      </c>
      <c r="AE86" s="74" t="e">
        <f t="array" ref="AE86">_xlfn.STDEV.P(IF($E$5:$E$35=$E85,AE$5:AE$35))</f>
        <v>#DIV/0!</v>
      </c>
      <c r="AF86" s="74" t="e">
        <f t="array" ref="AF86">_xlfn.STDEV.P(IF($E$5:$E$35=$E85,AF$5:AF$35))</f>
        <v>#DIV/0!</v>
      </c>
      <c r="AG86" s="74" t="e">
        <f t="array" ref="AG86">_xlfn.STDEV.P(IF($E$5:$E$35=$E85,AG$5:AG$35))</f>
        <v>#DIV/0!</v>
      </c>
      <c r="AH86" s="74" t="e">
        <f t="array" ref="AH86">_xlfn.STDEV.P(IF($E$5:$E$35=$E85,AH$5:AH$35))</f>
        <v>#DIV/0!</v>
      </c>
      <c r="AI86" s="74" t="e">
        <f t="array" ref="AI86">_xlfn.STDEV.P(IF($E$5:$E$35=$E85,AI$5:AI$35))</f>
        <v>#DIV/0!</v>
      </c>
      <c r="AJ86" s="74" t="e">
        <f t="array" ref="AJ86">_xlfn.STDEV.P(IF($E$5:$E$35=$E85,AJ$5:AJ$35))</f>
        <v>#DIV/0!</v>
      </c>
      <c r="AK86" s="74" t="e">
        <f t="array" ref="AK86">_xlfn.STDEV.P(IF($E$5:$E$35=$E85,AK$5:AK$35))</f>
        <v>#DIV/0!</v>
      </c>
      <c r="AL86" s="74" t="e">
        <f t="array" ref="AL86">_xlfn.STDEV.P(IF($E$5:$E$35=$E85,AL$5:AL$35))</f>
        <v>#DIV/0!</v>
      </c>
      <c r="AM86" s="74" t="e">
        <f t="array" ref="AM86">_xlfn.STDEV.P(IF($E$5:$E$35=$E85,AM$5:AM$35))</f>
        <v>#DIV/0!</v>
      </c>
      <c r="AN86" s="74" t="e">
        <f t="array" ref="AN86">_xlfn.STDEV.P(IF($E$5:$E$35=$E85,AN$5:AN$35))</f>
        <v>#DIV/0!</v>
      </c>
      <c r="AO86" s="74" t="e">
        <f t="array" ref="AO86">_xlfn.STDEV.P(IF($E$5:$E$35=$E85,AO$5:AO$35))</f>
        <v>#DIV/0!</v>
      </c>
      <c r="AP86" s="74" t="e">
        <f t="array" ref="AP86">_xlfn.STDEV.P(IF($E$5:$E$35=$E85,AP$5:AP$35))</f>
        <v>#DIV/0!</v>
      </c>
      <c r="AQ86" s="74" t="e">
        <f t="array" ref="AQ86">_xlfn.STDEV.P(IF($E$5:$E$35=$E85,AQ$5:AQ$35))</f>
        <v>#DIV/0!</v>
      </c>
      <c r="AR86" s="74" t="e">
        <f t="array" ref="AR86">_xlfn.STDEV.P(IF($E$5:$E$35=$E85,AR$5:AR$35))</f>
        <v>#DIV/0!</v>
      </c>
      <c r="AS86" s="74" t="e">
        <f t="array" ref="AS86">_xlfn.STDEV.P(IF($E$5:$E$35=$E85,AS$5:AS$35))</f>
        <v>#DIV/0!</v>
      </c>
      <c r="AT86" s="74" t="e">
        <f t="array" ref="AT86">_xlfn.STDEV.P(IF($E$5:$E$35=$E85,AT$5:AT$35))</f>
        <v>#DIV/0!</v>
      </c>
      <c r="AU86" s="74" t="e">
        <f t="array" ref="AU86">_xlfn.STDEV.P(IF($E$5:$E$35=$E85,AU$5:AU$35))</f>
        <v>#DIV/0!</v>
      </c>
      <c r="AV86" s="74" t="e">
        <f t="array" ref="AV86">_xlfn.STDEV.P(IF($E$5:$E$35=$E85,AV$5:AV$35))</f>
        <v>#DIV/0!</v>
      </c>
      <c r="AW86" s="74" t="e">
        <f t="array" ref="AW86">_xlfn.STDEV.P(IF($E$5:$E$35=$E85,AW$5:AW$35))</f>
        <v>#DIV/0!</v>
      </c>
      <c r="AX86" s="74" t="e">
        <f t="array" ref="AX86">_xlfn.STDEV.P(IF($E$5:$E$35=$E85,AX$5:AX$35))</f>
        <v>#DIV/0!</v>
      </c>
      <c r="AY86" s="74" t="e">
        <f t="array" ref="AY86">_xlfn.STDEV.P(IF($E$5:$E$35=$E85,AY$5:AY$35))</f>
        <v>#DIV/0!</v>
      </c>
      <c r="AZ86" s="74" t="e">
        <f t="array" ref="AZ86">_xlfn.STDEV.P(IF($E$5:$E$35=$E85,AZ$5:AZ$35))</f>
        <v>#DIV/0!</v>
      </c>
      <c r="BA86" s="74" t="e">
        <f t="array" ref="BA86">_xlfn.STDEV.P(IF($E$5:$E$35=$E85,BA$5:BA$35))</f>
        <v>#DIV/0!</v>
      </c>
      <c r="BB86" s="74" t="e">
        <f t="array" ref="BB86">_xlfn.STDEV.P(IF($E$5:$E$35=$E85,BB$5:BB$35))</f>
        <v>#DIV/0!</v>
      </c>
      <c r="BC86" s="74" t="e">
        <f t="array" ref="BC86">_xlfn.STDEV.P(IF($E$5:$E$35=$E85,BC$5:BC$35))</f>
        <v>#DIV/0!</v>
      </c>
      <c r="BD86" s="74" t="e">
        <f t="array" ref="BD86">_xlfn.STDEV.P(IF($E$5:$E$35=$E85,BD$5:BD$35))</f>
        <v>#DIV/0!</v>
      </c>
      <c r="BE86" s="74" t="e">
        <f t="array" ref="BE86">_xlfn.STDEV.P(IF($E$5:$E$35=$E85,BE$5:BE$35))</f>
        <v>#DIV/0!</v>
      </c>
      <c r="BF86" s="74" t="e">
        <f t="array" ref="BF86">_xlfn.STDEV.P(IF($E$5:$E$35=$E85,BF$5:BF$35))</f>
        <v>#DIV/0!</v>
      </c>
      <c r="BG86" s="74" t="e">
        <f t="array" ref="BG86">_xlfn.STDEV.P(IF($E$5:$E$35=$E85,BG$5:BG$35))</f>
        <v>#DIV/0!</v>
      </c>
      <c r="BH86" s="74" t="e">
        <f t="array" ref="BH86">_xlfn.STDEV.P(IF($E$5:$E$35=$E85,BH$5:BH$35))</f>
        <v>#DIV/0!</v>
      </c>
      <c r="BI86" s="74" t="e">
        <f t="array" ref="BI86">_xlfn.STDEV.P(IF($E$5:$E$35=$E85,BI$5:BI$35))</f>
        <v>#DIV/0!</v>
      </c>
      <c r="BJ86" s="74" t="e">
        <f t="array" ref="BJ86">_xlfn.STDEV.P(IF($E$5:$E$35=$E85,BJ$5:BJ$35))</f>
        <v>#DIV/0!</v>
      </c>
      <c r="BK86" s="94" t="s">
        <v>11</v>
      </c>
      <c r="BL86" s="67" t="e">
        <f t="array" ref="BL86">_xlfn.STDEV.P(IF($E$5:$E$35=$E85,BL$5:BL$35))</f>
        <v>#DIV/0!</v>
      </c>
      <c r="BM86" s="67" t="e">
        <f t="array" ref="BM86">_xlfn.STDEV.P(IF($E$5:$E$35=$E85,BM$5:BM$35))</f>
        <v>#DIV/0!</v>
      </c>
      <c r="BN86" s="67" t="e">
        <f t="array" ref="BN86">_xlfn.STDEV.P(IF($E$5:$E$35=$E85,BN$5:BN$35))</f>
        <v>#DIV/0!</v>
      </c>
      <c r="BO86" s="67" t="e">
        <f t="array" ref="BO86">_xlfn.STDEV.P(IF($E$5:$E$35=$E85,BO$5:BO$35))</f>
        <v>#DIV/0!</v>
      </c>
      <c r="BP86" s="67" t="e">
        <f t="array" ref="BP86">_xlfn.STDEV.P(IF($E$5:$E$35=$E85,BP$5:BP$35))</f>
        <v>#DIV/0!</v>
      </c>
      <c r="BQ86" s="67" t="e">
        <f t="array" ref="BQ86">_xlfn.STDEV.P(IF($E$5:$E$35=$E85,BQ$5:BQ$35))</f>
        <v>#DIV/0!</v>
      </c>
      <c r="BR86" s="67" t="e">
        <f t="array" ref="BR86">_xlfn.STDEV.P(IF($E$5:$E$35=$E85,BR$5:BR$35))</f>
        <v>#DIV/0!</v>
      </c>
      <c r="BS86" s="67" t="e">
        <f t="array" ref="BS86">_xlfn.STDEV.P(IF($E$5:$E$35=$E85,BS$5:BS$35))</f>
        <v>#DIV/0!</v>
      </c>
      <c r="BT86" s="67" t="e">
        <f t="array" ref="BT86">_xlfn.STDEV.P(IF($E$5:$E$35=$E85,BT$5:BT$35))</f>
        <v>#DIV/0!</v>
      </c>
      <c r="BU86" s="67" t="e">
        <f t="array" ref="BU86">_xlfn.STDEV.P(IF($E$5:$E$35=$E85,BU$5:BU$35))</f>
        <v>#DIV/0!</v>
      </c>
      <c r="BV86" s="67" t="e">
        <f t="array" ref="BV86">_xlfn.STDEV.P(IF($E$5:$E$35=$E85,BV$5:BV$35))</f>
        <v>#DIV/0!</v>
      </c>
      <c r="BW86" s="67" t="e">
        <f t="array" ref="BW86">_xlfn.STDEV.P(IF($E$5:$E$35=$E85,BW$5:BW$35))</f>
        <v>#DIV/0!</v>
      </c>
      <c r="BX86" s="67" t="e">
        <f t="array" ref="BX86">_xlfn.STDEV.P(IF($E$5:$E$35=$E85,BX$5:BX$35))</f>
        <v>#DIV/0!</v>
      </c>
      <c r="BY86" s="67" t="e">
        <f t="array" ref="BY86">_xlfn.STDEV.P(IF($E$5:$E$35=$E85,BY$5:BY$35))</f>
        <v>#DIV/0!</v>
      </c>
      <c r="BZ86" s="67" t="e">
        <f t="array" ref="BZ86">_xlfn.STDEV.P(IF($E$5:$E$35=$E85,BZ$5:BZ$35))</f>
        <v>#DIV/0!</v>
      </c>
      <c r="CA86" s="67" t="e">
        <f t="array" ref="CA86">_xlfn.STDEV.P(IF($E$5:$E$35=$E85,CA$5:CA$35))</f>
        <v>#DIV/0!</v>
      </c>
      <c r="CB86" s="67" t="e">
        <f t="array" ref="CB86">_xlfn.STDEV.P(IF($E$5:$E$35=$E85,CB$5:CB$35))</f>
        <v>#DIV/0!</v>
      </c>
      <c r="CC86" s="67" t="e">
        <f t="array" ref="CC86">_xlfn.STDEV.P(IF($E$5:$E$35=$E85,CC$5:CC$35))</f>
        <v>#DIV/0!</v>
      </c>
      <c r="CD86" s="67" t="e">
        <f t="array" ref="CD86">_xlfn.STDEV.P(IF($E$5:$E$35=$E85,CD$5:CD$35))</f>
        <v>#DIV/0!</v>
      </c>
      <c r="CE86" s="67" t="e">
        <f t="array" ref="CE86">_xlfn.STDEV.P(IF($E$5:$E$35=$E85,CE$5:CE$35))</f>
        <v>#DIV/0!</v>
      </c>
      <c r="CF86" s="67" t="e">
        <f t="array" ref="CF86">_xlfn.STDEV.P(IF($E$5:$E$35=$E85,CF$5:CF$35))</f>
        <v>#DIV/0!</v>
      </c>
      <c r="CG86" s="67" t="e">
        <f t="array" ref="CG86">_xlfn.STDEV.P(IF($E$5:$E$35=$E85,CG$5:CG$35))</f>
        <v>#DIV/0!</v>
      </c>
      <c r="CH86" s="67" t="e">
        <f t="array" ref="CH86">_xlfn.STDEV.P(IF($E$5:$E$35=$E85,CH$5:CH$35))</f>
        <v>#DIV/0!</v>
      </c>
      <c r="CI86" s="67" t="e">
        <f t="array" ref="CI86">_xlfn.STDEV.P(IF($E$5:$E$35=$E85,CI$5:CI$35))</f>
        <v>#DIV/0!</v>
      </c>
      <c r="CJ86" s="67" t="e">
        <f t="array" ref="CJ86">_xlfn.STDEV.P(IF($E$5:$E$35=$E85,CJ$5:CJ$35))</f>
        <v>#DIV/0!</v>
      </c>
      <c r="CK86" s="67" t="e">
        <f t="array" ref="CK86">_xlfn.STDEV.P(IF($E$5:$E$35=$E85,CK$5:CK$35))</f>
        <v>#DIV/0!</v>
      </c>
      <c r="CL86" s="67" t="e">
        <f t="array" ref="CL86">_xlfn.STDEV.P(IF($E$5:$E$35=$E85,CL$5:CL$35))</f>
        <v>#DIV/0!</v>
      </c>
      <c r="CM86" s="67" t="e">
        <f t="array" ref="CM86">_xlfn.STDEV.P(IF($E$5:$E$35=$E85,CM$5:CM$35))</f>
        <v>#DIV/0!</v>
      </c>
      <c r="CN86" s="67" t="e">
        <f t="array" ref="CN86">_xlfn.STDEV.P(IF($E$5:$E$35=$E85,CN$5:CN$35))</f>
        <v>#DIV/0!</v>
      </c>
      <c r="CO86" s="67" t="e">
        <f t="array" ref="CO86">_xlfn.STDEV.P(IF($E$5:$E$35=$E85,CO$5:CO$35))</f>
        <v>#DIV/0!</v>
      </c>
      <c r="CP86" s="67" t="e">
        <f t="array" ref="CP86">_xlfn.STDEV.P(IF($E$5:$E$35=$E85,CP$5:CP$35))</f>
        <v>#DIV/0!</v>
      </c>
      <c r="CQ86" s="67" t="e">
        <f t="array" ref="CQ86">_xlfn.STDEV.P(IF($E$5:$E$35=$E85,CQ$5:CQ$35))</f>
        <v>#DIV/0!</v>
      </c>
      <c r="CR86" s="67" t="e">
        <f t="array" ref="CR86">_xlfn.STDEV.P(IF($E$5:$E$35=$E85,CR$5:CR$35))</f>
        <v>#DIV/0!</v>
      </c>
      <c r="CS86" s="67" t="e">
        <f t="array" ref="CS86">_xlfn.STDEV.P(IF($E$5:$E$35=$E85,CS$5:CS$35))</f>
        <v>#DIV/0!</v>
      </c>
      <c r="CT86" s="67" t="e">
        <f t="array" ref="CT86">_xlfn.STDEV.P(IF($E$5:$E$35=$E85,CT$5:CT$35))</f>
        <v>#DIV/0!</v>
      </c>
      <c r="CU86" s="67" t="e">
        <f t="array" ref="CU86">_xlfn.STDEV.P(IF($E$5:$E$35=$E85,CU$5:CU$35))</f>
        <v>#DIV/0!</v>
      </c>
      <c r="CV86" s="67" t="e">
        <f t="array" ref="CV86">_xlfn.STDEV.P(IF($E$5:$E$35=$E85,CV$5:CV$35))</f>
        <v>#DIV/0!</v>
      </c>
      <c r="CW86" s="67" t="e">
        <f t="array" ref="CW86">_xlfn.STDEV.P(IF($E$5:$E$35=$E85,CW$5:CW$35))</f>
        <v>#DIV/0!</v>
      </c>
      <c r="CX86" s="67" t="e">
        <f t="array" ref="CX86">_xlfn.STDEV.P(IF($E$5:$E$35=$E85,CX$5:CX$35))</f>
        <v>#DIV/0!</v>
      </c>
      <c r="CY86" s="67" t="e">
        <f t="array" ref="CY86">_xlfn.STDEV.P(IF($E$5:$E$35=$E85,CY$5:CY$35))</f>
        <v>#DIV/0!</v>
      </c>
      <c r="CZ86" s="67" t="e">
        <f t="array" ref="CZ86">_xlfn.STDEV.P(IF($E$5:$E$35=$E85,CZ$5:CZ$35))</f>
        <v>#DIV/0!</v>
      </c>
      <c r="DA86" s="67" t="e">
        <f t="array" ref="DA86">_xlfn.STDEV.P(IF($E$5:$E$35=$E85,DA$5:DA$35))</f>
        <v>#DIV/0!</v>
      </c>
      <c r="DB86" s="67" t="e">
        <f t="array" ref="DB86">_xlfn.STDEV.P(IF($E$5:$E$35=$E85,DB$5:DB$35))</f>
        <v>#DIV/0!</v>
      </c>
      <c r="DC86" s="67" t="e">
        <f t="array" ref="DC86">_xlfn.STDEV.P(IF($E$5:$E$35=$E85,DC$5:DC$35))</f>
        <v>#DIV/0!</v>
      </c>
      <c r="DD86" s="94" t="s">
        <v>11</v>
      </c>
    </row>
    <row r="87" spans="1:108">
      <c r="J87" s="50"/>
      <c r="K87" s="50"/>
      <c r="N87" s="275"/>
      <c r="O87" s="275"/>
      <c r="P87" s="275"/>
      <c r="Q87" s="50"/>
    </row>
    <row r="88" spans="1:108" ht="14.25" customHeight="1">
      <c r="A88" s="103"/>
      <c r="E88" s="108" t="str">
        <f>'5GY EBRT Groups'!C20</f>
        <v>Group 15</v>
      </c>
      <c r="H88" s="108" t="str">
        <f>E88</f>
        <v>Group 15</v>
      </c>
      <c r="I88" s="277" t="e">
        <f>AVERAGEIF($E$5:$E$35,$E88,I$5:I$35)</f>
        <v>#DIV/0!</v>
      </c>
      <c r="J88" s="277"/>
      <c r="K88" s="277"/>
      <c r="L88" s="277" t="e">
        <f>AVERAGEIF($E$5:$E$35,$E88,L$5:L$35)</f>
        <v>#DIV/0!</v>
      </c>
      <c r="M88" s="277"/>
      <c r="N88" s="278" t="e">
        <f>AVERAGEIF($E$5:$E$35,$E88,N$5:N$35)</f>
        <v>#DIV/0!</v>
      </c>
      <c r="O88" s="278" t="e">
        <f>AVERAGEIF($E$5:$E$35,$E88,O$5:O$35)</f>
        <v>#DIV/0!</v>
      </c>
      <c r="P88" s="278" t="e">
        <f>AVERAGEIF($E$5:$E$35,$E88,P$5:P$35)</f>
        <v>#DIV/0!</v>
      </c>
      <c r="Q88" s="277" t="e">
        <f>AVERAGEIF($E$5:$E$35,$E88,Q$5:Q$35)</f>
        <v>#DIV/0!</v>
      </c>
      <c r="R88" s="65" t="s">
        <v>9</v>
      </c>
      <c r="S88" s="71" t="e">
        <f t="shared" ref="S88:BJ88" si="48">AVERAGEIF($E$5:$E$35,$E88,S$5:S$35)</f>
        <v>#DIV/0!</v>
      </c>
      <c r="T88" s="71" t="e">
        <f t="shared" si="48"/>
        <v>#DIV/0!</v>
      </c>
      <c r="U88" s="71" t="e">
        <f t="shared" si="48"/>
        <v>#DIV/0!</v>
      </c>
      <c r="V88" s="71" t="e">
        <f t="shared" si="48"/>
        <v>#DIV/0!</v>
      </c>
      <c r="W88" s="71" t="e">
        <f t="shared" si="48"/>
        <v>#DIV/0!</v>
      </c>
      <c r="X88" s="71" t="e">
        <f t="shared" si="48"/>
        <v>#DIV/0!</v>
      </c>
      <c r="Y88" s="71" t="e">
        <f t="shared" si="48"/>
        <v>#DIV/0!</v>
      </c>
      <c r="Z88" s="71" t="e">
        <f t="shared" si="48"/>
        <v>#DIV/0!</v>
      </c>
      <c r="AA88" s="71" t="e">
        <f t="shared" si="48"/>
        <v>#DIV/0!</v>
      </c>
      <c r="AB88" s="71" t="e">
        <f t="shared" si="48"/>
        <v>#DIV/0!</v>
      </c>
      <c r="AC88" s="71" t="e">
        <f t="shared" si="48"/>
        <v>#DIV/0!</v>
      </c>
      <c r="AD88" s="71" t="e">
        <f t="shared" si="48"/>
        <v>#DIV/0!</v>
      </c>
      <c r="AE88" s="71" t="e">
        <f t="shared" si="48"/>
        <v>#DIV/0!</v>
      </c>
      <c r="AF88" s="71" t="e">
        <f t="shared" si="48"/>
        <v>#DIV/0!</v>
      </c>
      <c r="AG88" s="71" t="e">
        <f t="shared" si="48"/>
        <v>#DIV/0!</v>
      </c>
      <c r="AH88" s="71" t="e">
        <f t="shared" si="48"/>
        <v>#DIV/0!</v>
      </c>
      <c r="AI88" s="71" t="e">
        <f t="shared" si="48"/>
        <v>#DIV/0!</v>
      </c>
      <c r="AJ88" s="71" t="e">
        <f t="shared" si="48"/>
        <v>#DIV/0!</v>
      </c>
      <c r="AK88" s="71" t="e">
        <f t="shared" si="48"/>
        <v>#DIV/0!</v>
      </c>
      <c r="AL88" s="71" t="e">
        <f t="shared" si="48"/>
        <v>#DIV/0!</v>
      </c>
      <c r="AM88" s="71" t="e">
        <f t="shared" si="48"/>
        <v>#DIV/0!</v>
      </c>
      <c r="AN88" s="71" t="e">
        <f t="shared" si="48"/>
        <v>#DIV/0!</v>
      </c>
      <c r="AO88" s="71" t="e">
        <f t="shared" si="48"/>
        <v>#DIV/0!</v>
      </c>
      <c r="AP88" s="71" t="e">
        <f t="shared" si="48"/>
        <v>#DIV/0!</v>
      </c>
      <c r="AQ88" s="71" t="e">
        <f t="shared" si="48"/>
        <v>#DIV/0!</v>
      </c>
      <c r="AR88" s="71" t="e">
        <f t="shared" si="48"/>
        <v>#DIV/0!</v>
      </c>
      <c r="AS88" s="71" t="e">
        <f t="shared" si="48"/>
        <v>#DIV/0!</v>
      </c>
      <c r="AT88" s="71" t="e">
        <f t="shared" si="48"/>
        <v>#DIV/0!</v>
      </c>
      <c r="AU88" s="71" t="e">
        <f t="shared" si="48"/>
        <v>#DIV/0!</v>
      </c>
      <c r="AV88" s="71" t="e">
        <f t="shared" si="48"/>
        <v>#DIV/0!</v>
      </c>
      <c r="AW88" s="71" t="e">
        <f t="shared" si="48"/>
        <v>#DIV/0!</v>
      </c>
      <c r="AX88" s="71" t="e">
        <f t="shared" si="48"/>
        <v>#DIV/0!</v>
      </c>
      <c r="AY88" s="71" t="e">
        <f t="shared" si="48"/>
        <v>#DIV/0!</v>
      </c>
      <c r="AZ88" s="71" t="e">
        <f t="shared" si="48"/>
        <v>#DIV/0!</v>
      </c>
      <c r="BA88" s="71" t="e">
        <f t="shared" si="48"/>
        <v>#DIV/0!</v>
      </c>
      <c r="BB88" s="71" t="e">
        <f t="shared" si="48"/>
        <v>#DIV/0!</v>
      </c>
      <c r="BC88" s="71" t="e">
        <f t="shared" si="48"/>
        <v>#DIV/0!</v>
      </c>
      <c r="BD88" s="71" t="e">
        <f t="shared" si="48"/>
        <v>#DIV/0!</v>
      </c>
      <c r="BE88" s="71" t="e">
        <f t="shared" si="48"/>
        <v>#DIV/0!</v>
      </c>
      <c r="BF88" s="71" t="e">
        <f t="shared" si="48"/>
        <v>#DIV/0!</v>
      </c>
      <c r="BG88" s="71" t="e">
        <f t="shared" si="48"/>
        <v>#DIV/0!</v>
      </c>
      <c r="BH88" s="71" t="e">
        <f t="shared" si="48"/>
        <v>#DIV/0!</v>
      </c>
      <c r="BI88" s="71" t="e">
        <f t="shared" si="48"/>
        <v>#DIV/0!</v>
      </c>
      <c r="BJ88" s="71" t="e">
        <f t="shared" si="48"/>
        <v>#DIV/0!</v>
      </c>
      <c r="BK88" s="93" t="s">
        <v>9</v>
      </c>
      <c r="BL88" s="66" t="e">
        <f t="shared" ref="BL88:DC88" si="49">AVERAGEIF($E$5:$E$35,$E88,BL$5:BL$35)</f>
        <v>#DIV/0!</v>
      </c>
      <c r="BM88" s="66" t="e">
        <f t="shared" si="49"/>
        <v>#DIV/0!</v>
      </c>
      <c r="BN88" s="66" t="e">
        <f t="shared" si="49"/>
        <v>#DIV/0!</v>
      </c>
      <c r="BO88" s="66" t="e">
        <f t="shared" si="49"/>
        <v>#DIV/0!</v>
      </c>
      <c r="BP88" s="66" t="e">
        <f t="shared" si="49"/>
        <v>#DIV/0!</v>
      </c>
      <c r="BQ88" s="66" t="e">
        <f t="shared" si="49"/>
        <v>#DIV/0!</v>
      </c>
      <c r="BR88" s="66" t="e">
        <f t="shared" si="49"/>
        <v>#DIV/0!</v>
      </c>
      <c r="BS88" s="66" t="e">
        <f t="shared" si="49"/>
        <v>#DIV/0!</v>
      </c>
      <c r="BT88" s="66" t="e">
        <f t="shared" si="49"/>
        <v>#DIV/0!</v>
      </c>
      <c r="BU88" s="66" t="e">
        <f t="shared" si="49"/>
        <v>#DIV/0!</v>
      </c>
      <c r="BV88" s="66" t="e">
        <f t="shared" si="49"/>
        <v>#DIV/0!</v>
      </c>
      <c r="BW88" s="66" t="e">
        <f t="shared" si="49"/>
        <v>#DIV/0!</v>
      </c>
      <c r="BX88" s="66" t="e">
        <f t="shared" si="49"/>
        <v>#DIV/0!</v>
      </c>
      <c r="BY88" s="66" t="e">
        <f t="shared" si="49"/>
        <v>#DIV/0!</v>
      </c>
      <c r="BZ88" s="66" t="e">
        <f t="shared" si="49"/>
        <v>#DIV/0!</v>
      </c>
      <c r="CA88" s="66" t="e">
        <f t="shared" si="49"/>
        <v>#DIV/0!</v>
      </c>
      <c r="CB88" s="66" t="e">
        <f t="shared" si="49"/>
        <v>#DIV/0!</v>
      </c>
      <c r="CC88" s="66" t="e">
        <f t="shared" si="49"/>
        <v>#DIV/0!</v>
      </c>
      <c r="CD88" s="66" t="e">
        <f t="shared" si="49"/>
        <v>#DIV/0!</v>
      </c>
      <c r="CE88" s="66" t="e">
        <f t="shared" si="49"/>
        <v>#DIV/0!</v>
      </c>
      <c r="CF88" s="66" t="e">
        <f t="shared" si="49"/>
        <v>#DIV/0!</v>
      </c>
      <c r="CG88" s="66" t="e">
        <f t="shared" si="49"/>
        <v>#DIV/0!</v>
      </c>
      <c r="CH88" s="66" t="e">
        <f t="shared" si="49"/>
        <v>#DIV/0!</v>
      </c>
      <c r="CI88" s="66" t="e">
        <f t="shared" si="49"/>
        <v>#DIV/0!</v>
      </c>
      <c r="CJ88" s="66" t="e">
        <f t="shared" si="49"/>
        <v>#DIV/0!</v>
      </c>
      <c r="CK88" s="66" t="e">
        <f t="shared" si="49"/>
        <v>#DIV/0!</v>
      </c>
      <c r="CL88" s="66" t="e">
        <f t="shared" si="49"/>
        <v>#DIV/0!</v>
      </c>
      <c r="CM88" s="66" t="e">
        <f t="shared" si="49"/>
        <v>#DIV/0!</v>
      </c>
      <c r="CN88" s="66" t="e">
        <f t="shared" si="49"/>
        <v>#DIV/0!</v>
      </c>
      <c r="CO88" s="66" t="e">
        <f t="shared" si="49"/>
        <v>#DIV/0!</v>
      </c>
      <c r="CP88" s="66" t="e">
        <f t="shared" si="49"/>
        <v>#DIV/0!</v>
      </c>
      <c r="CQ88" s="66" t="e">
        <f t="shared" si="49"/>
        <v>#DIV/0!</v>
      </c>
      <c r="CR88" s="66" t="e">
        <f t="shared" si="49"/>
        <v>#DIV/0!</v>
      </c>
      <c r="CS88" s="66" t="e">
        <f t="shared" si="49"/>
        <v>#DIV/0!</v>
      </c>
      <c r="CT88" s="66" t="e">
        <f t="shared" si="49"/>
        <v>#DIV/0!</v>
      </c>
      <c r="CU88" s="66" t="e">
        <f t="shared" si="49"/>
        <v>#DIV/0!</v>
      </c>
      <c r="CV88" s="66" t="e">
        <f t="shared" si="49"/>
        <v>#DIV/0!</v>
      </c>
      <c r="CW88" s="66" t="e">
        <f t="shared" si="49"/>
        <v>#DIV/0!</v>
      </c>
      <c r="CX88" s="66" t="e">
        <f t="shared" si="49"/>
        <v>#DIV/0!</v>
      </c>
      <c r="CY88" s="66" t="e">
        <f t="shared" si="49"/>
        <v>#DIV/0!</v>
      </c>
      <c r="CZ88" s="66" t="e">
        <f t="shared" si="49"/>
        <v>#DIV/0!</v>
      </c>
      <c r="DA88" s="66" t="e">
        <f t="shared" si="49"/>
        <v>#DIV/0!</v>
      </c>
      <c r="DB88" s="66" t="e">
        <f t="shared" si="49"/>
        <v>#DIV/0!</v>
      </c>
      <c r="DC88" s="66" t="e">
        <f t="shared" si="49"/>
        <v>#DIV/0!</v>
      </c>
      <c r="DD88" s="93" t="s">
        <v>9</v>
      </c>
    </row>
    <row r="89" spans="1:108" ht="14.25" customHeight="1">
      <c r="A89" s="103"/>
      <c r="E89" s="83"/>
      <c r="H89" s="83"/>
      <c r="I89" s="277" t="e">
        <f t="array" ref="I89">_xlfn.STDEV.P(IF($E$5:$E$35=$E88,I$5:I$35))</f>
        <v>#DIV/0!</v>
      </c>
      <c r="J89" s="277"/>
      <c r="K89" s="277"/>
      <c r="L89" s="277" t="e">
        <f t="array" ref="L89">_xlfn.STDEV.P(IF($E$5:$E$35=$E88,L$5:L$35))</f>
        <v>#DIV/0!</v>
      </c>
      <c r="M89" s="277"/>
      <c r="N89" s="278" t="e">
        <f t="array" ref="N89">_xlfn.STDEV.P(IF($E$5:$E$35=$E88,N$5:N$35))</f>
        <v>#DIV/0!</v>
      </c>
      <c r="O89" s="278" t="e">
        <f t="array" ref="O89">_xlfn.STDEV.P(IF($E$5:$E$35=$E88,O$5:O$35))</f>
        <v>#DIV/0!</v>
      </c>
      <c r="P89" s="278" t="e">
        <f t="array" ref="P89">_xlfn.STDEV.P(IF($E$5:$E$35=$E88,P$5:P$35))</f>
        <v>#DIV/0!</v>
      </c>
      <c r="Q89" s="277" t="e">
        <f t="array" ref="Q89">_xlfn.STDEV.P(IF($E$5:$E$35=$E88,Q$5:Q$35))</f>
        <v>#DIV/0!</v>
      </c>
      <c r="R89" s="65" t="s">
        <v>11</v>
      </c>
      <c r="S89" s="74" t="e">
        <f t="array" ref="S89">_xlfn.STDEV.P(IF($E$5:$E$35=$E88,S$5:S$35))</f>
        <v>#DIV/0!</v>
      </c>
      <c r="T89" s="74" t="e">
        <f t="array" ref="T89">_xlfn.STDEV.P(IF($E$5:$E$35=$E88,T$5:T$35))</f>
        <v>#DIV/0!</v>
      </c>
      <c r="U89" s="74" t="e">
        <f t="array" ref="U89">_xlfn.STDEV.P(IF($E$5:$E$35=$E88,U$5:U$35))</f>
        <v>#DIV/0!</v>
      </c>
      <c r="V89" s="74" t="e">
        <f t="array" ref="V89">_xlfn.STDEV.P(IF($E$5:$E$35=$E88,V$5:V$35))</f>
        <v>#DIV/0!</v>
      </c>
      <c r="W89" s="74" t="e">
        <f t="array" ref="W89">_xlfn.STDEV.P(IF($E$5:$E$35=$E88,W$5:W$35))</f>
        <v>#DIV/0!</v>
      </c>
      <c r="X89" s="74" t="e">
        <f t="array" ref="X89">_xlfn.STDEV.P(IF($E$5:$E$35=$E88,X$5:X$35))</f>
        <v>#DIV/0!</v>
      </c>
      <c r="Y89" s="74" t="e">
        <f t="array" ref="Y89">_xlfn.STDEV.P(IF($E$5:$E$35=$E88,Y$5:Y$35))</f>
        <v>#DIV/0!</v>
      </c>
      <c r="Z89" s="74" t="e">
        <f t="array" ref="Z89">_xlfn.STDEV.P(IF($E$5:$E$35=$E88,Z$5:Z$35))</f>
        <v>#DIV/0!</v>
      </c>
      <c r="AA89" s="74" t="e">
        <f t="array" ref="AA89">_xlfn.STDEV.P(IF($E$5:$E$35=$E88,AA$5:AA$35))</f>
        <v>#DIV/0!</v>
      </c>
      <c r="AB89" s="74" t="e">
        <f t="array" ref="AB89">_xlfn.STDEV.P(IF($E$5:$E$35=$E88,AB$5:AB$35))</f>
        <v>#DIV/0!</v>
      </c>
      <c r="AC89" s="74" t="e">
        <f t="array" ref="AC89">_xlfn.STDEV.P(IF($E$5:$E$35=$E88,AC$5:AC$35))</f>
        <v>#DIV/0!</v>
      </c>
      <c r="AD89" s="74" t="e">
        <f t="array" ref="AD89">_xlfn.STDEV.P(IF($E$5:$E$35=$E88,AD$5:AD$35))</f>
        <v>#DIV/0!</v>
      </c>
      <c r="AE89" s="74" t="e">
        <f t="array" ref="AE89">_xlfn.STDEV.P(IF($E$5:$E$35=$E88,AE$5:AE$35))</f>
        <v>#DIV/0!</v>
      </c>
      <c r="AF89" s="74" t="e">
        <f t="array" ref="AF89">_xlfn.STDEV.P(IF($E$5:$E$35=$E88,AF$5:AF$35))</f>
        <v>#DIV/0!</v>
      </c>
      <c r="AG89" s="74" t="e">
        <f t="array" ref="AG89">_xlfn.STDEV.P(IF($E$5:$E$35=$E88,AG$5:AG$35))</f>
        <v>#DIV/0!</v>
      </c>
      <c r="AH89" s="74" t="e">
        <f t="array" ref="AH89">_xlfn.STDEV.P(IF($E$5:$E$35=$E88,AH$5:AH$35))</f>
        <v>#DIV/0!</v>
      </c>
      <c r="AI89" s="74" t="e">
        <f t="array" ref="AI89">_xlfn.STDEV.P(IF($E$5:$E$35=$E88,AI$5:AI$35))</f>
        <v>#DIV/0!</v>
      </c>
      <c r="AJ89" s="74" t="e">
        <f t="array" ref="AJ89">_xlfn.STDEV.P(IF($E$5:$E$35=$E88,AJ$5:AJ$35))</f>
        <v>#DIV/0!</v>
      </c>
      <c r="AK89" s="74" t="e">
        <f t="array" ref="AK89">_xlfn.STDEV.P(IF($E$5:$E$35=$E88,AK$5:AK$35))</f>
        <v>#DIV/0!</v>
      </c>
      <c r="AL89" s="74" t="e">
        <f t="array" ref="AL89">_xlfn.STDEV.P(IF($E$5:$E$35=$E88,AL$5:AL$35))</f>
        <v>#DIV/0!</v>
      </c>
      <c r="AM89" s="74" t="e">
        <f t="array" ref="AM89">_xlfn.STDEV.P(IF($E$5:$E$35=$E88,AM$5:AM$35))</f>
        <v>#DIV/0!</v>
      </c>
      <c r="AN89" s="74" t="e">
        <f t="array" ref="AN89">_xlfn.STDEV.P(IF($E$5:$E$35=$E88,AN$5:AN$35))</f>
        <v>#DIV/0!</v>
      </c>
      <c r="AO89" s="74" t="e">
        <f t="array" ref="AO89">_xlfn.STDEV.P(IF($E$5:$E$35=$E88,AO$5:AO$35))</f>
        <v>#DIV/0!</v>
      </c>
      <c r="AP89" s="74" t="e">
        <f t="array" ref="AP89">_xlfn.STDEV.P(IF($E$5:$E$35=$E88,AP$5:AP$35))</f>
        <v>#DIV/0!</v>
      </c>
      <c r="AQ89" s="74" t="e">
        <f t="array" ref="AQ89">_xlfn.STDEV.P(IF($E$5:$E$35=$E88,AQ$5:AQ$35))</f>
        <v>#DIV/0!</v>
      </c>
      <c r="AR89" s="74" t="e">
        <f t="array" ref="AR89">_xlfn.STDEV.P(IF($E$5:$E$35=$E88,AR$5:AR$35))</f>
        <v>#DIV/0!</v>
      </c>
      <c r="AS89" s="74" t="e">
        <f t="array" ref="AS89">_xlfn.STDEV.P(IF($E$5:$E$35=$E88,AS$5:AS$35))</f>
        <v>#DIV/0!</v>
      </c>
      <c r="AT89" s="74" t="e">
        <f t="array" ref="AT89">_xlfn.STDEV.P(IF($E$5:$E$35=$E88,AT$5:AT$35))</f>
        <v>#DIV/0!</v>
      </c>
      <c r="AU89" s="74" t="e">
        <f t="array" ref="AU89">_xlfn.STDEV.P(IF($E$5:$E$35=$E88,AU$5:AU$35))</f>
        <v>#DIV/0!</v>
      </c>
      <c r="AV89" s="74" t="e">
        <f t="array" ref="AV89">_xlfn.STDEV.P(IF($E$5:$E$35=$E88,AV$5:AV$35))</f>
        <v>#DIV/0!</v>
      </c>
      <c r="AW89" s="74" t="e">
        <f t="array" ref="AW89">_xlfn.STDEV.P(IF($E$5:$E$35=$E88,AW$5:AW$35))</f>
        <v>#DIV/0!</v>
      </c>
      <c r="AX89" s="74" t="e">
        <f t="array" ref="AX89">_xlfn.STDEV.P(IF($E$5:$E$35=$E88,AX$5:AX$35))</f>
        <v>#DIV/0!</v>
      </c>
      <c r="AY89" s="74" t="e">
        <f t="array" ref="AY89">_xlfn.STDEV.P(IF($E$5:$E$35=$E88,AY$5:AY$35))</f>
        <v>#DIV/0!</v>
      </c>
      <c r="AZ89" s="74" t="e">
        <f t="array" ref="AZ89">_xlfn.STDEV.P(IF($E$5:$E$35=$E88,AZ$5:AZ$35))</f>
        <v>#DIV/0!</v>
      </c>
      <c r="BA89" s="74" t="e">
        <f t="array" ref="BA89">_xlfn.STDEV.P(IF($E$5:$E$35=$E88,BA$5:BA$35))</f>
        <v>#DIV/0!</v>
      </c>
      <c r="BB89" s="74" t="e">
        <f t="array" ref="BB89">_xlfn.STDEV.P(IF($E$5:$E$35=$E88,BB$5:BB$35))</f>
        <v>#DIV/0!</v>
      </c>
      <c r="BC89" s="74" t="e">
        <f t="array" ref="BC89">_xlfn.STDEV.P(IF($E$5:$E$35=$E88,BC$5:BC$35))</f>
        <v>#DIV/0!</v>
      </c>
      <c r="BD89" s="74" t="e">
        <f t="array" ref="BD89">_xlfn.STDEV.P(IF($E$5:$E$35=$E88,BD$5:BD$35))</f>
        <v>#DIV/0!</v>
      </c>
      <c r="BE89" s="74" t="e">
        <f t="array" ref="BE89">_xlfn.STDEV.P(IF($E$5:$E$35=$E88,BE$5:BE$35))</f>
        <v>#DIV/0!</v>
      </c>
      <c r="BF89" s="74" t="e">
        <f t="array" ref="BF89">_xlfn.STDEV.P(IF($E$5:$E$35=$E88,BF$5:BF$35))</f>
        <v>#DIV/0!</v>
      </c>
      <c r="BG89" s="74" t="e">
        <f t="array" ref="BG89">_xlfn.STDEV.P(IF($E$5:$E$35=$E88,BG$5:BG$35))</f>
        <v>#DIV/0!</v>
      </c>
      <c r="BH89" s="74" t="e">
        <f t="array" ref="BH89">_xlfn.STDEV.P(IF($E$5:$E$35=$E88,BH$5:BH$35))</f>
        <v>#DIV/0!</v>
      </c>
      <c r="BI89" s="74" t="e">
        <f t="array" ref="BI89">_xlfn.STDEV.P(IF($E$5:$E$35=$E88,BI$5:BI$35))</f>
        <v>#DIV/0!</v>
      </c>
      <c r="BJ89" s="74" t="e">
        <f t="array" ref="BJ89">_xlfn.STDEV.P(IF($E$5:$E$35=$E88,BJ$5:BJ$35))</f>
        <v>#DIV/0!</v>
      </c>
      <c r="BK89" s="94" t="s">
        <v>11</v>
      </c>
      <c r="BL89" s="67" t="e">
        <f t="array" ref="BL89">_xlfn.STDEV.P(IF($E$5:$E$35=$E88,BL$5:BL$35))</f>
        <v>#DIV/0!</v>
      </c>
      <c r="BM89" s="67" t="e">
        <f t="array" ref="BM89">_xlfn.STDEV.P(IF($E$5:$E$35=$E88,BM$5:BM$35))</f>
        <v>#DIV/0!</v>
      </c>
      <c r="BN89" s="67" t="e">
        <f t="array" ref="BN89">_xlfn.STDEV.P(IF($E$5:$E$35=$E88,BN$5:BN$35))</f>
        <v>#DIV/0!</v>
      </c>
      <c r="BO89" s="67" t="e">
        <f t="array" ref="BO89">_xlfn.STDEV.P(IF($E$5:$E$35=$E88,BO$5:BO$35))</f>
        <v>#DIV/0!</v>
      </c>
      <c r="BP89" s="67" t="e">
        <f t="array" ref="BP89">_xlfn.STDEV.P(IF($E$5:$E$35=$E88,BP$5:BP$35))</f>
        <v>#DIV/0!</v>
      </c>
      <c r="BQ89" s="67" t="e">
        <f t="array" ref="BQ89">_xlfn.STDEV.P(IF($E$5:$E$35=$E88,BQ$5:BQ$35))</f>
        <v>#DIV/0!</v>
      </c>
      <c r="BR89" s="67" t="e">
        <f t="array" ref="BR89">_xlfn.STDEV.P(IF($E$5:$E$35=$E88,BR$5:BR$35))</f>
        <v>#DIV/0!</v>
      </c>
      <c r="BS89" s="67" t="e">
        <f t="array" ref="BS89">_xlfn.STDEV.P(IF($E$5:$E$35=$E88,BS$5:BS$35))</f>
        <v>#DIV/0!</v>
      </c>
      <c r="BT89" s="67" t="e">
        <f t="array" ref="BT89">_xlfn.STDEV.P(IF($E$5:$E$35=$E88,BT$5:BT$35))</f>
        <v>#DIV/0!</v>
      </c>
      <c r="BU89" s="67" t="e">
        <f t="array" ref="BU89">_xlfn.STDEV.P(IF($E$5:$E$35=$E88,BU$5:BU$35))</f>
        <v>#DIV/0!</v>
      </c>
      <c r="BV89" s="67" t="e">
        <f t="array" ref="BV89">_xlfn.STDEV.P(IF($E$5:$E$35=$E88,BV$5:BV$35))</f>
        <v>#DIV/0!</v>
      </c>
      <c r="BW89" s="67" t="e">
        <f t="array" ref="BW89">_xlfn.STDEV.P(IF($E$5:$E$35=$E88,BW$5:BW$35))</f>
        <v>#DIV/0!</v>
      </c>
      <c r="BX89" s="67" t="e">
        <f t="array" ref="BX89">_xlfn.STDEV.P(IF($E$5:$E$35=$E88,BX$5:BX$35))</f>
        <v>#DIV/0!</v>
      </c>
      <c r="BY89" s="67" t="e">
        <f t="array" ref="BY89">_xlfn.STDEV.P(IF($E$5:$E$35=$E88,BY$5:BY$35))</f>
        <v>#DIV/0!</v>
      </c>
      <c r="BZ89" s="67" t="e">
        <f t="array" ref="BZ89">_xlfn.STDEV.P(IF($E$5:$E$35=$E88,BZ$5:BZ$35))</f>
        <v>#DIV/0!</v>
      </c>
      <c r="CA89" s="67" t="e">
        <f t="array" ref="CA89">_xlfn.STDEV.P(IF($E$5:$E$35=$E88,CA$5:CA$35))</f>
        <v>#DIV/0!</v>
      </c>
      <c r="CB89" s="67" t="e">
        <f t="array" ref="CB89">_xlfn.STDEV.P(IF($E$5:$E$35=$E88,CB$5:CB$35))</f>
        <v>#DIV/0!</v>
      </c>
      <c r="CC89" s="67" t="e">
        <f t="array" ref="CC89">_xlfn.STDEV.P(IF($E$5:$E$35=$E88,CC$5:CC$35))</f>
        <v>#DIV/0!</v>
      </c>
      <c r="CD89" s="67" t="e">
        <f t="array" ref="CD89">_xlfn.STDEV.P(IF($E$5:$E$35=$E88,CD$5:CD$35))</f>
        <v>#DIV/0!</v>
      </c>
      <c r="CE89" s="67" t="e">
        <f t="array" ref="CE89">_xlfn.STDEV.P(IF($E$5:$E$35=$E88,CE$5:CE$35))</f>
        <v>#DIV/0!</v>
      </c>
      <c r="CF89" s="67" t="e">
        <f t="array" ref="CF89">_xlfn.STDEV.P(IF($E$5:$E$35=$E88,CF$5:CF$35))</f>
        <v>#DIV/0!</v>
      </c>
      <c r="CG89" s="67" t="e">
        <f t="array" ref="CG89">_xlfn.STDEV.P(IF($E$5:$E$35=$E88,CG$5:CG$35))</f>
        <v>#DIV/0!</v>
      </c>
      <c r="CH89" s="67" t="e">
        <f t="array" ref="CH89">_xlfn.STDEV.P(IF($E$5:$E$35=$E88,CH$5:CH$35))</f>
        <v>#DIV/0!</v>
      </c>
      <c r="CI89" s="67" t="e">
        <f t="array" ref="CI89">_xlfn.STDEV.P(IF($E$5:$E$35=$E88,CI$5:CI$35))</f>
        <v>#DIV/0!</v>
      </c>
      <c r="CJ89" s="67" t="e">
        <f t="array" ref="CJ89">_xlfn.STDEV.P(IF($E$5:$E$35=$E88,CJ$5:CJ$35))</f>
        <v>#DIV/0!</v>
      </c>
      <c r="CK89" s="67" t="e">
        <f t="array" ref="CK89">_xlfn.STDEV.P(IF($E$5:$E$35=$E88,CK$5:CK$35))</f>
        <v>#DIV/0!</v>
      </c>
      <c r="CL89" s="67" t="e">
        <f t="array" ref="CL89">_xlfn.STDEV.P(IF($E$5:$E$35=$E88,CL$5:CL$35))</f>
        <v>#DIV/0!</v>
      </c>
      <c r="CM89" s="67" t="e">
        <f t="array" ref="CM89">_xlfn.STDEV.P(IF($E$5:$E$35=$E88,CM$5:CM$35))</f>
        <v>#DIV/0!</v>
      </c>
      <c r="CN89" s="67" t="e">
        <f t="array" ref="CN89">_xlfn.STDEV.P(IF($E$5:$E$35=$E88,CN$5:CN$35))</f>
        <v>#DIV/0!</v>
      </c>
      <c r="CO89" s="67" t="e">
        <f t="array" ref="CO89">_xlfn.STDEV.P(IF($E$5:$E$35=$E88,CO$5:CO$35))</f>
        <v>#DIV/0!</v>
      </c>
      <c r="CP89" s="67" t="e">
        <f t="array" ref="CP89">_xlfn.STDEV.P(IF($E$5:$E$35=$E88,CP$5:CP$35))</f>
        <v>#DIV/0!</v>
      </c>
      <c r="CQ89" s="67" t="e">
        <f t="array" ref="CQ89">_xlfn.STDEV.P(IF($E$5:$E$35=$E88,CQ$5:CQ$35))</f>
        <v>#DIV/0!</v>
      </c>
      <c r="CR89" s="67" t="e">
        <f t="array" ref="CR89">_xlfn.STDEV.P(IF($E$5:$E$35=$E88,CR$5:CR$35))</f>
        <v>#DIV/0!</v>
      </c>
      <c r="CS89" s="67" t="e">
        <f t="array" ref="CS89">_xlfn.STDEV.P(IF($E$5:$E$35=$E88,CS$5:CS$35))</f>
        <v>#DIV/0!</v>
      </c>
      <c r="CT89" s="67" t="e">
        <f t="array" ref="CT89">_xlfn.STDEV.P(IF($E$5:$E$35=$E88,CT$5:CT$35))</f>
        <v>#DIV/0!</v>
      </c>
      <c r="CU89" s="67" t="e">
        <f t="array" ref="CU89">_xlfn.STDEV.P(IF($E$5:$E$35=$E88,CU$5:CU$35))</f>
        <v>#DIV/0!</v>
      </c>
      <c r="CV89" s="67" t="e">
        <f t="array" ref="CV89">_xlfn.STDEV.P(IF($E$5:$E$35=$E88,CV$5:CV$35))</f>
        <v>#DIV/0!</v>
      </c>
      <c r="CW89" s="67" t="e">
        <f t="array" ref="CW89">_xlfn.STDEV.P(IF($E$5:$E$35=$E88,CW$5:CW$35))</f>
        <v>#DIV/0!</v>
      </c>
      <c r="CX89" s="67" t="e">
        <f t="array" ref="CX89">_xlfn.STDEV.P(IF($E$5:$E$35=$E88,CX$5:CX$35))</f>
        <v>#DIV/0!</v>
      </c>
      <c r="CY89" s="67" t="e">
        <f t="array" ref="CY89">_xlfn.STDEV.P(IF($E$5:$E$35=$E88,CY$5:CY$35))</f>
        <v>#DIV/0!</v>
      </c>
      <c r="CZ89" s="67" t="e">
        <f t="array" ref="CZ89">_xlfn.STDEV.P(IF($E$5:$E$35=$E88,CZ$5:CZ$35))</f>
        <v>#DIV/0!</v>
      </c>
      <c r="DA89" s="67" t="e">
        <f t="array" ref="DA89">_xlfn.STDEV.P(IF($E$5:$E$35=$E88,DA$5:DA$35))</f>
        <v>#DIV/0!</v>
      </c>
      <c r="DB89" s="67" t="e">
        <f t="array" ref="DB89">_xlfn.STDEV.P(IF($E$5:$E$35=$E88,DB$5:DB$35))</f>
        <v>#DIV/0!</v>
      </c>
      <c r="DC89" s="67" t="e">
        <f t="array" ref="DC89">_xlfn.STDEV.P(IF($E$5:$E$35=$E88,DC$5:DC$35))</f>
        <v>#DIV/0!</v>
      </c>
      <c r="DD89" s="94" t="s">
        <v>11</v>
      </c>
    </row>
    <row r="90" spans="1:108" ht="15">
      <c r="A90" s="103"/>
      <c r="E90" s="108"/>
      <c r="H90" s="45"/>
      <c r="J90" s="50"/>
      <c r="K90" s="50"/>
      <c r="N90" s="275"/>
      <c r="O90" s="275"/>
      <c r="P90" s="275"/>
      <c r="Q90" s="50"/>
    </row>
    <row r="91" spans="1:108" ht="14.25" customHeight="1">
      <c r="A91" s="103"/>
      <c r="E91" s="108" t="str">
        <f>'5GY EBRT Groups'!C21</f>
        <v>Group 16</v>
      </c>
      <c r="H91" s="108" t="str">
        <f>E91</f>
        <v>Group 16</v>
      </c>
      <c r="I91" s="277" t="e">
        <f>AVERAGEIF($E$5:$E$35,$E91,I$5:I$35)</f>
        <v>#DIV/0!</v>
      </c>
      <c r="J91" s="277"/>
      <c r="K91" s="277"/>
      <c r="L91" s="277" t="e">
        <f>AVERAGEIF($E$5:$E$35,$E91,L$5:L$35)</f>
        <v>#DIV/0!</v>
      </c>
      <c r="M91" s="277"/>
      <c r="N91" s="278" t="e">
        <f>AVERAGEIF($E$5:$E$35,$E91,N$5:N$35)</f>
        <v>#DIV/0!</v>
      </c>
      <c r="O91" s="278" t="e">
        <f>AVERAGEIF($E$5:$E$35,$E91,O$5:O$35)</f>
        <v>#DIV/0!</v>
      </c>
      <c r="P91" s="278" t="e">
        <f>AVERAGEIF($E$5:$E$35,$E91,P$5:P$35)</f>
        <v>#DIV/0!</v>
      </c>
      <c r="Q91" s="277" t="e">
        <f>AVERAGEIF($E$5:$E$35,$E91,Q$5:Q$35)</f>
        <v>#DIV/0!</v>
      </c>
      <c r="R91" s="65" t="s">
        <v>9</v>
      </c>
      <c r="S91" s="71" t="e">
        <f t="shared" ref="S91:BJ91" si="50">AVERAGEIF($E$5:$E$35,$E91,S$5:S$35)</f>
        <v>#DIV/0!</v>
      </c>
      <c r="T91" s="71" t="e">
        <f t="shared" si="50"/>
        <v>#DIV/0!</v>
      </c>
      <c r="U91" s="71" t="e">
        <f t="shared" si="50"/>
        <v>#DIV/0!</v>
      </c>
      <c r="V91" s="71" t="e">
        <f t="shared" si="50"/>
        <v>#DIV/0!</v>
      </c>
      <c r="W91" s="71" t="e">
        <f t="shared" si="50"/>
        <v>#DIV/0!</v>
      </c>
      <c r="X91" s="71" t="e">
        <f t="shared" si="50"/>
        <v>#DIV/0!</v>
      </c>
      <c r="Y91" s="71" t="e">
        <f t="shared" si="50"/>
        <v>#DIV/0!</v>
      </c>
      <c r="Z91" s="71" t="e">
        <f t="shared" si="50"/>
        <v>#DIV/0!</v>
      </c>
      <c r="AA91" s="71" t="e">
        <f t="shared" si="50"/>
        <v>#DIV/0!</v>
      </c>
      <c r="AB91" s="71" t="e">
        <f t="shared" si="50"/>
        <v>#DIV/0!</v>
      </c>
      <c r="AC91" s="71" t="e">
        <f t="shared" si="50"/>
        <v>#DIV/0!</v>
      </c>
      <c r="AD91" s="71" t="e">
        <f t="shared" si="50"/>
        <v>#DIV/0!</v>
      </c>
      <c r="AE91" s="71" t="e">
        <f t="shared" si="50"/>
        <v>#DIV/0!</v>
      </c>
      <c r="AF91" s="71" t="e">
        <f t="shared" si="50"/>
        <v>#DIV/0!</v>
      </c>
      <c r="AG91" s="71" t="e">
        <f t="shared" si="50"/>
        <v>#DIV/0!</v>
      </c>
      <c r="AH91" s="71" t="e">
        <f t="shared" si="50"/>
        <v>#DIV/0!</v>
      </c>
      <c r="AI91" s="71" t="e">
        <f t="shared" si="50"/>
        <v>#DIV/0!</v>
      </c>
      <c r="AJ91" s="71" t="e">
        <f t="shared" si="50"/>
        <v>#DIV/0!</v>
      </c>
      <c r="AK91" s="71" t="e">
        <f t="shared" si="50"/>
        <v>#DIV/0!</v>
      </c>
      <c r="AL91" s="71" t="e">
        <f t="shared" si="50"/>
        <v>#DIV/0!</v>
      </c>
      <c r="AM91" s="71" t="e">
        <f t="shared" si="50"/>
        <v>#DIV/0!</v>
      </c>
      <c r="AN91" s="71" t="e">
        <f t="shared" si="50"/>
        <v>#DIV/0!</v>
      </c>
      <c r="AO91" s="71" t="e">
        <f t="shared" si="50"/>
        <v>#DIV/0!</v>
      </c>
      <c r="AP91" s="71" t="e">
        <f t="shared" si="50"/>
        <v>#DIV/0!</v>
      </c>
      <c r="AQ91" s="71" t="e">
        <f t="shared" si="50"/>
        <v>#DIV/0!</v>
      </c>
      <c r="AR91" s="71" t="e">
        <f t="shared" si="50"/>
        <v>#DIV/0!</v>
      </c>
      <c r="AS91" s="71" t="e">
        <f t="shared" si="50"/>
        <v>#DIV/0!</v>
      </c>
      <c r="AT91" s="71" t="e">
        <f t="shared" si="50"/>
        <v>#DIV/0!</v>
      </c>
      <c r="AU91" s="71" t="e">
        <f t="shared" si="50"/>
        <v>#DIV/0!</v>
      </c>
      <c r="AV91" s="71" t="e">
        <f t="shared" si="50"/>
        <v>#DIV/0!</v>
      </c>
      <c r="AW91" s="71" t="e">
        <f t="shared" si="50"/>
        <v>#DIV/0!</v>
      </c>
      <c r="AX91" s="71" t="e">
        <f t="shared" si="50"/>
        <v>#DIV/0!</v>
      </c>
      <c r="AY91" s="71" t="e">
        <f t="shared" si="50"/>
        <v>#DIV/0!</v>
      </c>
      <c r="AZ91" s="71" t="e">
        <f t="shared" si="50"/>
        <v>#DIV/0!</v>
      </c>
      <c r="BA91" s="71" t="e">
        <f t="shared" si="50"/>
        <v>#DIV/0!</v>
      </c>
      <c r="BB91" s="71" t="e">
        <f t="shared" si="50"/>
        <v>#DIV/0!</v>
      </c>
      <c r="BC91" s="71" t="e">
        <f t="shared" si="50"/>
        <v>#DIV/0!</v>
      </c>
      <c r="BD91" s="71" t="e">
        <f t="shared" si="50"/>
        <v>#DIV/0!</v>
      </c>
      <c r="BE91" s="71" t="e">
        <f t="shared" si="50"/>
        <v>#DIV/0!</v>
      </c>
      <c r="BF91" s="71" t="e">
        <f t="shared" si="50"/>
        <v>#DIV/0!</v>
      </c>
      <c r="BG91" s="71" t="e">
        <f t="shared" si="50"/>
        <v>#DIV/0!</v>
      </c>
      <c r="BH91" s="71" t="e">
        <f t="shared" si="50"/>
        <v>#DIV/0!</v>
      </c>
      <c r="BI91" s="71" t="e">
        <f t="shared" si="50"/>
        <v>#DIV/0!</v>
      </c>
      <c r="BJ91" s="71" t="e">
        <f t="shared" si="50"/>
        <v>#DIV/0!</v>
      </c>
      <c r="BK91" s="93" t="s">
        <v>9</v>
      </c>
      <c r="BL91" s="66" t="e">
        <f t="shared" ref="BL91:DC91" si="51">AVERAGEIF($E$5:$E$35,$E91,BL$5:BL$35)</f>
        <v>#DIV/0!</v>
      </c>
      <c r="BM91" s="66" t="e">
        <f t="shared" si="51"/>
        <v>#DIV/0!</v>
      </c>
      <c r="BN91" s="66" t="e">
        <f t="shared" si="51"/>
        <v>#DIV/0!</v>
      </c>
      <c r="BO91" s="66" t="e">
        <f t="shared" si="51"/>
        <v>#DIV/0!</v>
      </c>
      <c r="BP91" s="66" t="e">
        <f t="shared" si="51"/>
        <v>#DIV/0!</v>
      </c>
      <c r="BQ91" s="66" t="e">
        <f t="shared" si="51"/>
        <v>#DIV/0!</v>
      </c>
      <c r="BR91" s="66" t="e">
        <f t="shared" si="51"/>
        <v>#DIV/0!</v>
      </c>
      <c r="BS91" s="66" t="e">
        <f t="shared" si="51"/>
        <v>#DIV/0!</v>
      </c>
      <c r="BT91" s="66" t="e">
        <f t="shared" si="51"/>
        <v>#DIV/0!</v>
      </c>
      <c r="BU91" s="66" t="e">
        <f t="shared" si="51"/>
        <v>#DIV/0!</v>
      </c>
      <c r="BV91" s="66" t="e">
        <f t="shared" si="51"/>
        <v>#DIV/0!</v>
      </c>
      <c r="BW91" s="66" t="e">
        <f t="shared" si="51"/>
        <v>#DIV/0!</v>
      </c>
      <c r="BX91" s="66" t="e">
        <f t="shared" si="51"/>
        <v>#DIV/0!</v>
      </c>
      <c r="BY91" s="66" t="e">
        <f t="shared" si="51"/>
        <v>#DIV/0!</v>
      </c>
      <c r="BZ91" s="66" t="e">
        <f t="shared" si="51"/>
        <v>#DIV/0!</v>
      </c>
      <c r="CA91" s="66" t="e">
        <f t="shared" si="51"/>
        <v>#DIV/0!</v>
      </c>
      <c r="CB91" s="66" t="e">
        <f t="shared" si="51"/>
        <v>#DIV/0!</v>
      </c>
      <c r="CC91" s="66" t="e">
        <f t="shared" si="51"/>
        <v>#DIV/0!</v>
      </c>
      <c r="CD91" s="66" t="e">
        <f t="shared" si="51"/>
        <v>#DIV/0!</v>
      </c>
      <c r="CE91" s="66" t="e">
        <f t="shared" si="51"/>
        <v>#DIV/0!</v>
      </c>
      <c r="CF91" s="66" t="e">
        <f t="shared" si="51"/>
        <v>#DIV/0!</v>
      </c>
      <c r="CG91" s="66" t="e">
        <f t="shared" si="51"/>
        <v>#DIV/0!</v>
      </c>
      <c r="CH91" s="66" t="e">
        <f t="shared" si="51"/>
        <v>#DIV/0!</v>
      </c>
      <c r="CI91" s="66" t="e">
        <f t="shared" si="51"/>
        <v>#DIV/0!</v>
      </c>
      <c r="CJ91" s="66" t="e">
        <f t="shared" si="51"/>
        <v>#DIV/0!</v>
      </c>
      <c r="CK91" s="66" t="e">
        <f t="shared" si="51"/>
        <v>#DIV/0!</v>
      </c>
      <c r="CL91" s="66" t="e">
        <f t="shared" si="51"/>
        <v>#DIV/0!</v>
      </c>
      <c r="CM91" s="66" t="e">
        <f t="shared" si="51"/>
        <v>#DIV/0!</v>
      </c>
      <c r="CN91" s="66" t="e">
        <f t="shared" si="51"/>
        <v>#DIV/0!</v>
      </c>
      <c r="CO91" s="66" t="e">
        <f t="shared" si="51"/>
        <v>#DIV/0!</v>
      </c>
      <c r="CP91" s="66" t="e">
        <f t="shared" si="51"/>
        <v>#DIV/0!</v>
      </c>
      <c r="CQ91" s="66" t="e">
        <f t="shared" si="51"/>
        <v>#DIV/0!</v>
      </c>
      <c r="CR91" s="66" t="e">
        <f t="shared" si="51"/>
        <v>#DIV/0!</v>
      </c>
      <c r="CS91" s="66" t="e">
        <f t="shared" si="51"/>
        <v>#DIV/0!</v>
      </c>
      <c r="CT91" s="66" t="e">
        <f t="shared" si="51"/>
        <v>#DIV/0!</v>
      </c>
      <c r="CU91" s="66" t="e">
        <f t="shared" si="51"/>
        <v>#DIV/0!</v>
      </c>
      <c r="CV91" s="66" t="e">
        <f t="shared" si="51"/>
        <v>#DIV/0!</v>
      </c>
      <c r="CW91" s="66" t="e">
        <f t="shared" si="51"/>
        <v>#DIV/0!</v>
      </c>
      <c r="CX91" s="66" t="e">
        <f t="shared" si="51"/>
        <v>#DIV/0!</v>
      </c>
      <c r="CY91" s="66" t="e">
        <f t="shared" si="51"/>
        <v>#DIV/0!</v>
      </c>
      <c r="CZ91" s="66" t="e">
        <f t="shared" si="51"/>
        <v>#DIV/0!</v>
      </c>
      <c r="DA91" s="66" t="e">
        <f t="shared" si="51"/>
        <v>#DIV/0!</v>
      </c>
      <c r="DB91" s="66" t="e">
        <f t="shared" si="51"/>
        <v>#DIV/0!</v>
      </c>
      <c r="DC91" s="66" t="e">
        <f t="shared" si="51"/>
        <v>#DIV/0!</v>
      </c>
      <c r="DD91" s="93" t="s">
        <v>9</v>
      </c>
    </row>
    <row r="92" spans="1:108" ht="14.25" customHeight="1">
      <c r="A92" s="103"/>
      <c r="E92" s="83"/>
      <c r="H92" s="83"/>
      <c r="I92" s="277" t="e">
        <f t="array" ref="I92">_xlfn.STDEV.P(IF($E$5:$E$35=$E91,I$5:I$35))</f>
        <v>#DIV/0!</v>
      </c>
      <c r="J92" s="277"/>
      <c r="K92" s="277"/>
      <c r="L92" s="277" t="e">
        <f t="array" ref="L92">_xlfn.STDEV.P(IF($E$5:$E$35=$E91,L$5:L$35))</f>
        <v>#DIV/0!</v>
      </c>
      <c r="M92" s="277"/>
      <c r="N92" s="278" t="e">
        <f t="array" ref="N92">_xlfn.STDEV.P(IF($E$5:$E$35=$E91,N$5:N$35))</f>
        <v>#DIV/0!</v>
      </c>
      <c r="O92" s="278" t="e">
        <f t="array" ref="O92">_xlfn.STDEV.P(IF($E$5:$E$35=$E91,O$5:O$35))</f>
        <v>#DIV/0!</v>
      </c>
      <c r="P92" s="278" t="e">
        <f t="array" ref="P92">_xlfn.STDEV.P(IF($E$5:$E$35=$E91,P$5:P$35))</f>
        <v>#DIV/0!</v>
      </c>
      <c r="Q92" s="277" t="e">
        <f t="array" ref="Q92">_xlfn.STDEV.P(IF($E$5:$E$35=$E91,Q$5:Q$35))</f>
        <v>#DIV/0!</v>
      </c>
      <c r="R92" s="65" t="s">
        <v>11</v>
      </c>
      <c r="S92" s="74" t="e">
        <f t="array" ref="S92">_xlfn.STDEV.P(IF($E$5:$E$35=$E91,S$5:S$35))</f>
        <v>#DIV/0!</v>
      </c>
      <c r="T92" s="74" t="e">
        <f t="array" ref="T92">_xlfn.STDEV.P(IF($E$5:$E$35=$E91,T$5:T$35))</f>
        <v>#DIV/0!</v>
      </c>
      <c r="U92" s="74" t="e">
        <f t="array" ref="U92">_xlfn.STDEV.P(IF($E$5:$E$35=$E91,U$5:U$35))</f>
        <v>#DIV/0!</v>
      </c>
      <c r="V92" s="74" t="e">
        <f t="array" ref="V92">_xlfn.STDEV.P(IF($E$5:$E$35=$E91,V$5:V$35))</f>
        <v>#DIV/0!</v>
      </c>
      <c r="W92" s="74" t="e">
        <f t="array" ref="W92">_xlfn.STDEV.P(IF($E$5:$E$35=$E91,W$5:W$35))</f>
        <v>#DIV/0!</v>
      </c>
      <c r="X92" s="74" t="e">
        <f t="array" ref="X92">_xlfn.STDEV.P(IF($E$5:$E$35=$E91,X$5:X$35))</f>
        <v>#DIV/0!</v>
      </c>
      <c r="Y92" s="74" t="e">
        <f t="array" ref="Y92">_xlfn.STDEV.P(IF($E$5:$E$35=$E91,Y$5:Y$35))</f>
        <v>#DIV/0!</v>
      </c>
      <c r="Z92" s="74" t="e">
        <f t="array" ref="Z92">_xlfn.STDEV.P(IF($E$5:$E$35=$E91,Z$5:Z$35))</f>
        <v>#DIV/0!</v>
      </c>
      <c r="AA92" s="74" t="e">
        <f t="array" ref="AA92">_xlfn.STDEV.P(IF($E$5:$E$35=$E91,AA$5:AA$35))</f>
        <v>#DIV/0!</v>
      </c>
      <c r="AB92" s="74" t="e">
        <f t="array" ref="AB92">_xlfn.STDEV.P(IF($E$5:$E$35=$E91,AB$5:AB$35))</f>
        <v>#DIV/0!</v>
      </c>
      <c r="AC92" s="74" t="e">
        <f t="array" ref="AC92">_xlfn.STDEV.P(IF($E$5:$E$35=$E91,AC$5:AC$35))</f>
        <v>#DIV/0!</v>
      </c>
      <c r="AD92" s="74" t="e">
        <f t="array" ref="AD92">_xlfn.STDEV.P(IF($E$5:$E$35=$E91,AD$5:AD$35))</f>
        <v>#DIV/0!</v>
      </c>
      <c r="AE92" s="74" t="e">
        <f t="array" ref="AE92">_xlfn.STDEV.P(IF($E$5:$E$35=$E91,AE$5:AE$35))</f>
        <v>#DIV/0!</v>
      </c>
      <c r="AF92" s="74" t="e">
        <f t="array" ref="AF92">_xlfn.STDEV.P(IF($E$5:$E$35=$E91,AF$5:AF$35))</f>
        <v>#DIV/0!</v>
      </c>
      <c r="AG92" s="74" t="e">
        <f t="array" ref="AG92">_xlfn.STDEV.P(IF($E$5:$E$35=$E91,AG$5:AG$35))</f>
        <v>#DIV/0!</v>
      </c>
      <c r="AH92" s="74" t="e">
        <f t="array" ref="AH92">_xlfn.STDEV.P(IF($E$5:$E$35=$E91,AH$5:AH$35))</f>
        <v>#DIV/0!</v>
      </c>
      <c r="AI92" s="74" t="e">
        <f t="array" ref="AI92">_xlfn.STDEV.P(IF($E$5:$E$35=$E91,AI$5:AI$35))</f>
        <v>#DIV/0!</v>
      </c>
      <c r="AJ92" s="74" t="e">
        <f t="array" ref="AJ92">_xlfn.STDEV.P(IF($E$5:$E$35=$E91,AJ$5:AJ$35))</f>
        <v>#DIV/0!</v>
      </c>
      <c r="AK92" s="74" t="e">
        <f t="array" ref="AK92">_xlfn.STDEV.P(IF($E$5:$E$35=$E91,AK$5:AK$35))</f>
        <v>#DIV/0!</v>
      </c>
      <c r="AL92" s="74" t="e">
        <f t="array" ref="AL92">_xlfn.STDEV.P(IF($E$5:$E$35=$E91,AL$5:AL$35))</f>
        <v>#DIV/0!</v>
      </c>
      <c r="AM92" s="74" t="e">
        <f t="array" ref="AM92">_xlfn.STDEV.P(IF($E$5:$E$35=$E91,AM$5:AM$35))</f>
        <v>#DIV/0!</v>
      </c>
      <c r="AN92" s="74" t="e">
        <f t="array" ref="AN92">_xlfn.STDEV.P(IF($E$5:$E$35=$E91,AN$5:AN$35))</f>
        <v>#DIV/0!</v>
      </c>
      <c r="AO92" s="74" t="e">
        <f t="array" ref="AO92">_xlfn.STDEV.P(IF($E$5:$E$35=$E91,AO$5:AO$35))</f>
        <v>#DIV/0!</v>
      </c>
      <c r="AP92" s="74" t="e">
        <f t="array" ref="AP92">_xlfn.STDEV.P(IF($E$5:$E$35=$E91,AP$5:AP$35))</f>
        <v>#DIV/0!</v>
      </c>
      <c r="AQ92" s="74" t="e">
        <f t="array" ref="AQ92">_xlfn.STDEV.P(IF($E$5:$E$35=$E91,AQ$5:AQ$35))</f>
        <v>#DIV/0!</v>
      </c>
      <c r="AR92" s="74" t="e">
        <f t="array" ref="AR92">_xlfn.STDEV.P(IF($E$5:$E$35=$E91,AR$5:AR$35))</f>
        <v>#DIV/0!</v>
      </c>
      <c r="AS92" s="74" t="e">
        <f t="array" ref="AS92">_xlfn.STDEV.P(IF($E$5:$E$35=$E91,AS$5:AS$35))</f>
        <v>#DIV/0!</v>
      </c>
      <c r="AT92" s="74" t="e">
        <f t="array" ref="AT92">_xlfn.STDEV.P(IF($E$5:$E$35=$E91,AT$5:AT$35))</f>
        <v>#DIV/0!</v>
      </c>
      <c r="AU92" s="74" t="e">
        <f t="array" ref="AU92">_xlfn.STDEV.P(IF($E$5:$E$35=$E91,AU$5:AU$35))</f>
        <v>#DIV/0!</v>
      </c>
      <c r="AV92" s="74" t="e">
        <f t="array" ref="AV92">_xlfn.STDEV.P(IF($E$5:$E$35=$E91,AV$5:AV$35))</f>
        <v>#DIV/0!</v>
      </c>
      <c r="AW92" s="74" t="e">
        <f t="array" ref="AW92">_xlfn.STDEV.P(IF($E$5:$E$35=$E91,AW$5:AW$35))</f>
        <v>#DIV/0!</v>
      </c>
      <c r="AX92" s="74" t="e">
        <f t="array" ref="AX92">_xlfn.STDEV.P(IF($E$5:$E$35=$E91,AX$5:AX$35))</f>
        <v>#DIV/0!</v>
      </c>
      <c r="AY92" s="74" t="e">
        <f t="array" ref="AY92">_xlfn.STDEV.P(IF($E$5:$E$35=$E91,AY$5:AY$35))</f>
        <v>#DIV/0!</v>
      </c>
      <c r="AZ92" s="74" t="e">
        <f t="array" ref="AZ92">_xlfn.STDEV.P(IF($E$5:$E$35=$E91,AZ$5:AZ$35))</f>
        <v>#DIV/0!</v>
      </c>
      <c r="BA92" s="74" t="e">
        <f t="array" ref="BA92">_xlfn.STDEV.P(IF($E$5:$E$35=$E91,BA$5:BA$35))</f>
        <v>#DIV/0!</v>
      </c>
      <c r="BB92" s="74" t="e">
        <f t="array" ref="BB92">_xlfn.STDEV.P(IF($E$5:$E$35=$E91,BB$5:BB$35))</f>
        <v>#DIV/0!</v>
      </c>
      <c r="BC92" s="74" t="e">
        <f t="array" ref="BC92">_xlfn.STDEV.P(IF($E$5:$E$35=$E91,BC$5:BC$35))</f>
        <v>#DIV/0!</v>
      </c>
      <c r="BD92" s="74" t="e">
        <f t="array" ref="BD92">_xlfn.STDEV.P(IF($E$5:$E$35=$E91,BD$5:BD$35))</f>
        <v>#DIV/0!</v>
      </c>
      <c r="BE92" s="74" t="e">
        <f t="array" ref="BE92">_xlfn.STDEV.P(IF($E$5:$E$35=$E91,BE$5:BE$35))</f>
        <v>#DIV/0!</v>
      </c>
      <c r="BF92" s="74" t="e">
        <f t="array" ref="BF92">_xlfn.STDEV.P(IF($E$5:$E$35=$E91,BF$5:BF$35))</f>
        <v>#DIV/0!</v>
      </c>
      <c r="BG92" s="74" t="e">
        <f t="array" ref="BG92">_xlfn.STDEV.P(IF($E$5:$E$35=$E91,BG$5:BG$35))</f>
        <v>#DIV/0!</v>
      </c>
      <c r="BH92" s="74" t="e">
        <f t="array" ref="BH92">_xlfn.STDEV.P(IF($E$5:$E$35=$E91,BH$5:BH$35))</f>
        <v>#DIV/0!</v>
      </c>
      <c r="BI92" s="74" t="e">
        <f t="array" ref="BI92">_xlfn.STDEV.P(IF($E$5:$E$35=$E91,BI$5:BI$35))</f>
        <v>#DIV/0!</v>
      </c>
      <c r="BJ92" s="74" t="e">
        <f t="array" ref="BJ92">_xlfn.STDEV.P(IF($E$5:$E$35=$E91,BJ$5:BJ$35))</f>
        <v>#DIV/0!</v>
      </c>
      <c r="BK92" s="94" t="s">
        <v>11</v>
      </c>
      <c r="BL92" s="67" t="e">
        <f t="array" ref="BL92">_xlfn.STDEV.P(IF($E$5:$E$35=$E91,BL$5:BL$35))</f>
        <v>#DIV/0!</v>
      </c>
      <c r="BM92" s="67" t="e">
        <f t="array" ref="BM92">_xlfn.STDEV.P(IF($E$5:$E$35=$E91,BM$5:BM$35))</f>
        <v>#DIV/0!</v>
      </c>
      <c r="BN92" s="67" t="e">
        <f t="array" ref="BN92">_xlfn.STDEV.P(IF($E$5:$E$35=$E91,BN$5:BN$35))</f>
        <v>#DIV/0!</v>
      </c>
      <c r="BO92" s="67" t="e">
        <f t="array" ref="BO92">_xlfn.STDEV.P(IF($E$5:$E$35=$E91,BO$5:BO$35))</f>
        <v>#DIV/0!</v>
      </c>
      <c r="BP92" s="67" t="e">
        <f t="array" ref="BP92">_xlfn.STDEV.P(IF($E$5:$E$35=$E91,BP$5:BP$35))</f>
        <v>#DIV/0!</v>
      </c>
      <c r="BQ92" s="67" t="e">
        <f t="array" ref="BQ92">_xlfn.STDEV.P(IF($E$5:$E$35=$E91,BQ$5:BQ$35))</f>
        <v>#DIV/0!</v>
      </c>
      <c r="BR92" s="67" t="e">
        <f t="array" ref="BR92">_xlfn.STDEV.P(IF($E$5:$E$35=$E91,BR$5:BR$35))</f>
        <v>#DIV/0!</v>
      </c>
      <c r="BS92" s="67" t="e">
        <f t="array" ref="BS92">_xlfn.STDEV.P(IF($E$5:$E$35=$E91,BS$5:BS$35))</f>
        <v>#DIV/0!</v>
      </c>
      <c r="BT92" s="67" t="e">
        <f t="array" ref="BT92">_xlfn.STDEV.P(IF($E$5:$E$35=$E91,BT$5:BT$35))</f>
        <v>#DIV/0!</v>
      </c>
      <c r="BU92" s="67" t="e">
        <f t="array" ref="BU92">_xlfn.STDEV.P(IF($E$5:$E$35=$E91,BU$5:BU$35))</f>
        <v>#DIV/0!</v>
      </c>
      <c r="BV92" s="67" t="e">
        <f t="array" ref="BV92">_xlfn.STDEV.P(IF($E$5:$E$35=$E91,BV$5:BV$35))</f>
        <v>#DIV/0!</v>
      </c>
      <c r="BW92" s="67" t="e">
        <f t="array" ref="BW92">_xlfn.STDEV.P(IF($E$5:$E$35=$E91,BW$5:BW$35))</f>
        <v>#DIV/0!</v>
      </c>
      <c r="BX92" s="67" t="e">
        <f t="array" ref="BX92">_xlfn.STDEV.P(IF($E$5:$E$35=$E91,BX$5:BX$35))</f>
        <v>#DIV/0!</v>
      </c>
      <c r="BY92" s="67" t="e">
        <f t="array" ref="BY92">_xlfn.STDEV.P(IF($E$5:$E$35=$E91,BY$5:BY$35))</f>
        <v>#DIV/0!</v>
      </c>
      <c r="BZ92" s="67" t="e">
        <f t="array" ref="BZ92">_xlfn.STDEV.P(IF($E$5:$E$35=$E91,BZ$5:BZ$35))</f>
        <v>#DIV/0!</v>
      </c>
      <c r="CA92" s="67" t="e">
        <f t="array" ref="CA92">_xlfn.STDEV.P(IF($E$5:$E$35=$E91,CA$5:CA$35))</f>
        <v>#DIV/0!</v>
      </c>
      <c r="CB92" s="67" t="e">
        <f t="array" ref="CB92">_xlfn.STDEV.P(IF($E$5:$E$35=$E91,CB$5:CB$35))</f>
        <v>#DIV/0!</v>
      </c>
      <c r="CC92" s="67" t="e">
        <f t="array" ref="CC92">_xlfn.STDEV.P(IF($E$5:$E$35=$E91,CC$5:CC$35))</f>
        <v>#DIV/0!</v>
      </c>
      <c r="CD92" s="67" t="e">
        <f t="array" ref="CD92">_xlfn.STDEV.P(IF($E$5:$E$35=$E91,CD$5:CD$35))</f>
        <v>#DIV/0!</v>
      </c>
      <c r="CE92" s="67" t="e">
        <f t="array" ref="CE92">_xlfn.STDEV.P(IF($E$5:$E$35=$E91,CE$5:CE$35))</f>
        <v>#DIV/0!</v>
      </c>
      <c r="CF92" s="67" t="e">
        <f t="array" ref="CF92">_xlfn.STDEV.P(IF($E$5:$E$35=$E91,CF$5:CF$35))</f>
        <v>#DIV/0!</v>
      </c>
      <c r="CG92" s="67" t="e">
        <f t="array" ref="CG92">_xlfn.STDEV.P(IF($E$5:$E$35=$E91,CG$5:CG$35))</f>
        <v>#DIV/0!</v>
      </c>
      <c r="CH92" s="67" t="e">
        <f t="array" ref="CH92">_xlfn.STDEV.P(IF($E$5:$E$35=$E91,CH$5:CH$35))</f>
        <v>#DIV/0!</v>
      </c>
      <c r="CI92" s="67" t="e">
        <f t="array" ref="CI92">_xlfn.STDEV.P(IF($E$5:$E$35=$E91,CI$5:CI$35))</f>
        <v>#DIV/0!</v>
      </c>
      <c r="CJ92" s="67" t="e">
        <f t="array" ref="CJ92">_xlfn.STDEV.P(IF($E$5:$E$35=$E91,CJ$5:CJ$35))</f>
        <v>#DIV/0!</v>
      </c>
      <c r="CK92" s="67" t="e">
        <f t="array" ref="CK92">_xlfn.STDEV.P(IF($E$5:$E$35=$E91,CK$5:CK$35))</f>
        <v>#DIV/0!</v>
      </c>
      <c r="CL92" s="67" t="e">
        <f t="array" ref="CL92">_xlfn.STDEV.P(IF($E$5:$E$35=$E91,CL$5:CL$35))</f>
        <v>#DIV/0!</v>
      </c>
      <c r="CM92" s="67" t="e">
        <f t="array" ref="CM92">_xlfn.STDEV.P(IF($E$5:$E$35=$E91,CM$5:CM$35))</f>
        <v>#DIV/0!</v>
      </c>
      <c r="CN92" s="67" t="e">
        <f t="array" ref="CN92">_xlfn.STDEV.P(IF($E$5:$E$35=$E91,CN$5:CN$35))</f>
        <v>#DIV/0!</v>
      </c>
      <c r="CO92" s="67" t="e">
        <f t="array" ref="CO92">_xlfn.STDEV.P(IF($E$5:$E$35=$E91,CO$5:CO$35))</f>
        <v>#DIV/0!</v>
      </c>
      <c r="CP92" s="67" t="e">
        <f t="array" ref="CP92">_xlfn.STDEV.P(IF($E$5:$E$35=$E91,CP$5:CP$35))</f>
        <v>#DIV/0!</v>
      </c>
      <c r="CQ92" s="67" t="e">
        <f t="array" ref="CQ92">_xlfn.STDEV.P(IF($E$5:$E$35=$E91,CQ$5:CQ$35))</f>
        <v>#DIV/0!</v>
      </c>
      <c r="CR92" s="67" t="e">
        <f t="array" ref="CR92">_xlfn.STDEV.P(IF($E$5:$E$35=$E91,CR$5:CR$35))</f>
        <v>#DIV/0!</v>
      </c>
      <c r="CS92" s="67" t="e">
        <f t="array" ref="CS92">_xlfn.STDEV.P(IF($E$5:$E$35=$E91,CS$5:CS$35))</f>
        <v>#DIV/0!</v>
      </c>
      <c r="CT92" s="67" t="e">
        <f t="array" ref="CT92">_xlfn.STDEV.P(IF($E$5:$E$35=$E91,CT$5:CT$35))</f>
        <v>#DIV/0!</v>
      </c>
      <c r="CU92" s="67" t="e">
        <f t="array" ref="CU92">_xlfn.STDEV.P(IF($E$5:$E$35=$E91,CU$5:CU$35))</f>
        <v>#DIV/0!</v>
      </c>
      <c r="CV92" s="67" t="e">
        <f t="array" ref="CV92">_xlfn.STDEV.P(IF($E$5:$E$35=$E91,CV$5:CV$35))</f>
        <v>#DIV/0!</v>
      </c>
      <c r="CW92" s="67" t="e">
        <f t="array" ref="CW92">_xlfn.STDEV.P(IF($E$5:$E$35=$E91,CW$5:CW$35))</f>
        <v>#DIV/0!</v>
      </c>
      <c r="CX92" s="67" t="e">
        <f t="array" ref="CX92">_xlfn.STDEV.P(IF($E$5:$E$35=$E91,CX$5:CX$35))</f>
        <v>#DIV/0!</v>
      </c>
      <c r="CY92" s="67" t="e">
        <f t="array" ref="CY92">_xlfn.STDEV.P(IF($E$5:$E$35=$E91,CY$5:CY$35))</f>
        <v>#DIV/0!</v>
      </c>
      <c r="CZ92" s="67" t="e">
        <f t="array" ref="CZ92">_xlfn.STDEV.P(IF($E$5:$E$35=$E91,CZ$5:CZ$35))</f>
        <v>#DIV/0!</v>
      </c>
      <c r="DA92" s="67" t="e">
        <f t="array" ref="DA92">_xlfn.STDEV.P(IF($E$5:$E$35=$E91,DA$5:DA$35))</f>
        <v>#DIV/0!</v>
      </c>
      <c r="DB92" s="67" t="e">
        <f t="array" ref="DB92">_xlfn.STDEV.P(IF($E$5:$E$35=$E91,DB$5:DB$35))</f>
        <v>#DIV/0!</v>
      </c>
      <c r="DC92" s="67" t="e">
        <f t="array" ref="DC92">_xlfn.STDEV.P(IF($E$5:$E$35=$E91,DC$5:DC$35))</f>
        <v>#DIV/0!</v>
      </c>
      <c r="DD92" s="94" t="s">
        <v>11</v>
      </c>
    </row>
  </sheetData>
  <autoFilter ref="A4:DC35" xr:uid="{00000000-0009-0000-0000-000000000000}">
    <sortState xmlns:xlrd2="http://schemas.microsoft.com/office/spreadsheetml/2017/richdata2" ref="A5:CY54">
      <sortCondition ref="B4:B54"/>
    </sortState>
  </autoFilter>
  <mergeCells count="3">
    <mergeCell ref="F2:G3"/>
    <mergeCell ref="H2:Q3"/>
    <mergeCell ref="H37:H38"/>
  </mergeCells>
  <conditionalFormatting sqref="S5:BJ35">
    <cfRule type="cellIs" dxfId="3" priority="1" operator="greaterThan">
      <formula>1650</formula>
    </cfRule>
    <cfRule type="cellIs" dxfId="2" priority="2" operator="between">
      <formula>1000</formula>
      <formula>1650</formula>
    </cfRule>
  </conditionalFormatting>
  <dataValidations count="1">
    <dataValidation type="list" allowBlank="1" showInputMessage="1" showErrorMessage="1" sqref="E40:E1048576 E5:E35" xr:uid="{B2EF1716-1C35-4FA3-A216-2469F66821D5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039505-5EFC-4F2E-A2E5-3FE3B285C3A1}">
          <x14:formula1>
            <xm:f>'5GY EBRT Groups'!$C$6:$C$21</xm:f>
          </x14:formula1>
          <xm:sqref>H40:H86 H88:H92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21A9-2280-405B-A471-1468176FDFF9}">
  <dimension ref="A1:CV86"/>
  <sheetViews>
    <sheetView showGridLines="0" workbookViewId="0">
      <pane xSplit="5" ySplit="4" topLeftCell="F8" activePane="bottomRight" state="frozen"/>
      <selection activeCell="V1" sqref="V1"/>
      <selection pane="topRight" activeCell="V1" sqref="V1"/>
      <selection pane="bottomLeft" activeCell="V1" sqref="V1"/>
      <selection pane="bottomRight"/>
    </sheetView>
  </sheetViews>
  <sheetFormatPr defaultRowHeight="12.75" outlineLevelCol="1"/>
  <cols>
    <col min="1" max="1" width="9.85546875" style="47" bestFit="1" customWidth="1"/>
    <col min="2" max="2" width="9.140625" style="37"/>
    <col min="3" max="3" width="17.28515625" style="48" hidden="1" customWidth="1" outlineLevel="1"/>
    <col min="4" max="4" width="22.85546875" style="37" hidden="1" customWidth="1" outlineLevel="1"/>
    <col min="5" max="5" width="22.85546875" style="46" customWidth="1" collapsed="1"/>
    <col min="6" max="6" width="12.7109375" style="49" customWidth="1"/>
    <col min="7" max="7" width="12.7109375" style="50" customWidth="1" outlineLevel="1"/>
    <col min="8" max="8" width="13.85546875" style="49" customWidth="1"/>
    <col min="9" max="9" width="9.140625" style="50" customWidth="1" outlineLevel="1"/>
    <col min="10" max="10" width="7.85546875" style="37" customWidth="1"/>
    <col min="11" max="12" width="8.5703125" style="37" customWidth="1"/>
    <col min="13" max="54" width="8.5703125" style="37" customWidth="1" outlineLevel="1"/>
    <col min="55" max="55" width="6.140625" style="37" bestFit="1" customWidth="1"/>
    <col min="56" max="57" width="8.5703125" style="37" customWidth="1"/>
    <col min="58" max="99" width="8.5703125" style="37" customWidth="1" outlineLevel="1"/>
    <col min="100" max="16384" width="9.140625" style="46"/>
  </cols>
  <sheetData>
    <row r="1" spans="1:100" s="5" customFormat="1" ht="25.5">
      <c r="A1" s="4" t="s">
        <v>95</v>
      </c>
      <c r="C1" s="6"/>
      <c r="D1" s="7"/>
      <c r="F1" s="8"/>
      <c r="G1" s="9"/>
      <c r="H1" s="8"/>
      <c r="I1" s="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</row>
    <row r="2" spans="1:100" s="43" customFormat="1" ht="15.75" customHeight="1">
      <c r="A2" s="287" t="s">
        <v>30</v>
      </c>
      <c r="B2" s="235"/>
      <c r="C2" s="236"/>
      <c r="D2" s="235"/>
      <c r="E2" s="14"/>
      <c r="F2" s="351" t="s">
        <v>12</v>
      </c>
      <c r="G2" s="363"/>
      <c r="H2" s="351" t="s">
        <v>0</v>
      </c>
      <c r="I2" s="363"/>
      <c r="J2" s="15"/>
      <c r="K2" s="287" t="s">
        <v>15</v>
      </c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7"/>
      <c r="BC2" s="238"/>
      <c r="BD2" s="287" t="s">
        <v>54</v>
      </c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7"/>
      <c r="CV2" s="42"/>
    </row>
    <row r="3" spans="1:100" s="57" customFormat="1" ht="15.75">
      <c r="A3" s="239"/>
      <c r="B3" s="240"/>
      <c r="C3" s="241"/>
      <c r="D3" s="240"/>
      <c r="E3" s="55"/>
      <c r="F3" s="351"/>
      <c r="G3" s="363"/>
      <c r="H3" s="351"/>
      <c r="I3" s="363"/>
      <c r="J3" s="288" t="s">
        <v>13</v>
      </c>
      <c r="K3" s="243">
        <v>42808</v>
      </c>
      <c r="L3" s="243">
        <v>42809</v>
      </c>
      <c r="M3" s="243">
        <v>42811</v>
      </c>
      <c r="N3" s="243">
        <v>42814</v>
      </c>
      <c r="O3" s="243">
        <v>42815</v>
      </c>
      <c r="P3" s="243">
        <v>42816</v>
      </c>
      <c r="Q3" s="243">
        <v>42818</v>
      </c>
      <c r="R3" s="243">
        <v>42821</v>
      </c>
      <c r="S3" s="243">
        <v>42823</v>
      </c>
      <c r="T3" s="243">
        <v>42825</v>
      </c>
      <c r="U3" s="243">
        <v>42829</v>
      </c>
      <c r="V3" s="243">
        <v>42831</v>
      </c>
      <c r="W3" s="243">
        <v>42833</v>
      </c>
      <c r="X3" s="243">
        <v>42836</v>
      </c>
      <c r="Y3" s="243">
        <v>42842</v>
      </c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4" t="s">
        <v>13</v>
      </c>
      <c r="BD3" s="243">
        <f t="shared" ref="BD3:BS4" si="0">IF(ISBLANK(K3)="TRUE","",K3)</f>
        <v>42808</v>
      </c>
      <c r="BE3" s="243">
        <f t="shared" si="0"/>
        <v>42809</v>
      </c>
      <c r="BF3" s="243">
        <f t="shared" si="0"/>
        <v>42811</v>
      </c>
      <c r="BG3" s="243">
        <f t="shared" si="0"/>
        <v>42814</v>
      </c>
      <c r="BH3" s="243">
        <f t="shared" si="0"/>
        <v>42815</v>
      </c>
      <c r="BI3" s="243">
        <f t="shared" si="0"/>
        <v>42816</v>
      </c>
      <c r="BJ3" s="243">
        <f t="shared" si="0"/>
        <v>42818</v>
      </c>
      <c r="BK3" s="243">
        <f t="shared" si="0"/>
        <v>42821</v>
      </c>
      <c r="BL3" s="243">
        <f t="shared" si="0"/>
        <v>42823</v>
      </c>
      <c r="BM3" s="243">
        <f t="shared" si="0"/>
        <v>42825</v>
      </c>
      <c r="BN3" s="243">
        <f t="shared" si="0"/>
        <v>42829</v>
      </c>
      <c r="BO3" s="243">
        <f t="shared" si="0"/>
        <v>42831</v>
      </c>
      <c r="BP3" s="243">
        <f t="shared" si="0"/>
        <v>42833</v>
      </c>
      <c r="BQ3" s="243">
        <f t="shared" si="0"/>
        <v>42836</v>
      </c>
      <c r="BR3" s="243">
        <f t="shared" si="0"/>
        <v>42842</v>
      </c>
      <c r="BS3" s="243">
        <f t="shared" si="0"/>
        <v>0</v>
      </c>
      <c r="BT3" s="243">
        <f t="shared" ref="BT3:CI4" si="1">IF(ISBLANK(AA3)="TRUE","",AA3)</f>
        <v>0</v>
      </c>
      <c r="BU3" s="243">
        <f t="shared" si="1"/>
        <v>0</v>
      </c>
      <c r="BV3" s="243">
        <f t="shared" si="1"/>
        <v>0</v>
      </c>
      <c r="BW3" s="243">
        <f t="shared" si="1"/>
        <v>0</v>
      </c>
      <c r="BX3" s="243">
        <f t="shared" si="1"/>
        <v>0</v>
      </c>
      <c r="BY3" s="243">
        <f t="shared" si="1"/>
        <v>0</v>
      </c>
      <c r="BZ3" s="243">
        <f t="shared" si="1"/>
        <v>0</v>
      </c>
      <c r="CA3" s="243">
        <f t="shared" si="1"/>
        <v>0</v>
      </c>
      <c r="CB3" s="243">
        <f t="shared" si="1"/>
        <v>0</v>
      </c>
      <c r="CC3" s="243">
        <f t="shared" si="1"/>
        <v>0</v>
      </c>
      <c r="CD3" s="243">
        <f t="shared" si="1"/>
        <v>0</v>
      </c>
      <c r="CE3" s="243">
        <f t="shared" si="1"/>
        <v>0</v>
      </c>
      <c r="CF3" s="243">
        <f t="shared" si="1"/>
        <v>0</v>
      </c>
      <c r="CG3" s="243">
        <f t="shared" si="1"/>
        <v>0</v>
      </c>
      <c r="CH3" s="243">
        <f t="shared" si="1"/>
        <v>0</v>
      </c>
      <c r="CI3" s="243">
        <f t="shared" si="1"/>
        <v>0</v>
      </c>
      <c r="CJ3" s="243">
        <f t="shared" ref="CI3:CU4" si="2">IF(ISBLANK(AQ3)="TRUE","",AQ3)</f>
        <v>0</v>
      </c>
      <c r="CK3" s="243">
        <f t="shared" si="2"/>
        <v>0</v>
      </c>
      <c r="CL3" s="243">
        <f t="shared" si="2"/>
        <v>0</v>
      </c>
      <c r="CM3" s="243">
        <f t="shared" si="2"/>
        <v>0</v>
      </c>
      <c r="CN3" s="243">
        <f t="shared" si="2"/>
        <v>0</v>
      </c>
      <c r="CO3" s="243">
        <f t="shared" si="2"/>
        <v>0</v>
      </c>
      <c r="CP3" s="243">
        <f t="shared" si="2"/>
        <v>0</v>
      </c>
      <c r="CQ3" s="243">
        <f t="shared" si="2"/>
        <v>0</v>
      </c>
      <c r="CR3" s="243">
        <f t="shared" si="2"/>
        <v>0</v>
      </c>
      <c r="CS3" s="243">
        <f t="shared" si="2"/>
        <v>0</v>
      </c>
      <c r="CT3" s="243">
        <f t="shared" si="2"/>
        <v>0</v>
      </c>
      <c r="CU3" s="243">
        <f t="shared" si="2"/>
        <v>0</v>
      </c>
      <c r="CV3" s="56"/>
    </row>
    <row r="4" spans="1:100" s="45" customFormat="1" ht="15.75" customHeight="1">
      <c r="A4" s="245" t="s">
        <v>5</v>
      </c>
      <c r="B4" s="164" t="s">
        <v>6</v>
      </c>
      <c r="C4" s="246" t="s">
        <v>7</v>
      </c>
      <c r="D4" s="245" t="s">
        <v>14</v>
      </c>
      <c r="E4" s="19" t="s">
        <v>10</v>
      </c>
      <c r="F4" s="20" t="s">
        <v>1</v>
      </c>
      <c r="G4" s="247" t="s">
        <v>2</v>
      </c>
      <c r="H4" s="20" t="s">
        <v>1</v>
      </c>
      <c r="I4" s="247" t="s">
        <v>2</v>
      </c>
      <c r="J4" s="289" t="s">
        <v>8</v>
      </c>
      <c r="K4" s="290">
        <f>K3-$H5</f>
        <v>0</v>
      </c>
      <c r="L4" s="290">
        <f>L3-$H5</f>
        <v>1</v>
      </c>
      <c r="M4" s="290">
        <f t="shared" ref="M4:BB4" si="3">M3-$H5</f>
        <v>3</v>
      </c>
      <c r="N4" s="290">
        <f t="shared" si="3"/>
        <v>6</v>
      </c>
      <c r="O4" s="290">
        <f t="shared" si="3"/>
        <v>7</v>
      </c>
      <c r="P4" s="290">
        <f t="shared" si="3"/>
        <v>8</v>
      </c>
      <c r="Q4" s="290">
        <f t="shared" si="3"/>
        <v>10</v>
      </c>
      <c r="R4" s="290">
        <f t="shared" si="3"/>
        <v>13</v>
      </c>
      <c r="S4" s="290">
        <f t="shared" si="3"/>
        <v>15</v>
      </c>
      <c r="T4" s="290">
        <f t="shared" si="3"/>
        <v>17</v>
      </c>
      <c r="U4" s="290">
        <f t="shared" si="3"/>
        <v>21</v>
      </c>
      <c r="V4" s="290">
        <f t="shared" si="3"/>
        <v>23</v>
      </c>
      <c r="W4" s="290">
        <f t="shared" si="3"/>
        <v>25</v>
      </c>
      <c r="X4" s="290">
        <f t="shared" si="3"/>
        <v>28</v>
      </c>
      <c r="Y4" s="290">
        <f t="shared" si="3"/>
        <v>34</v>
      </c>
      <c r="Z4" s="290">
        <f t="shared" si="3"/>
        <v>-42808</v>
      </c>
      <c r="AA4" s="290">
        <f t="shared" si="3"/>
        <v>-42808</v>
      </c>
      <c r="AB4" s="290">
        <f t="shared" si="3"/>
        <v>-42808</v>
      </c>
      <c r="AC4" s="290">
        <f t="shared" si="3"/>
        <v>-42808</v>
      </c>
      <c r="AD4" s="290">
        <f t="shared" si="3"/>
        <v>-42808</v>
      </c>
      <c r="AE4" s="290">
        <f t="shared" si="3"/>
        <v>-42808</v>
      </c>
      <c r="AF4" s="290">
        <f t="shared" si="3"/>
        <v>-42808</v>
      </c>
      <c r="AG4" s="290">
        <f t="shared" si="3"/>
        <v>-42808</v>
      </c>
      <c r="AH4" s="290">
        <f t="shared" si="3"/>
        <v>-42808</v>
      </c>
      <c r="AI4" s="290">
        <f t="shared" si="3"/>
        <v>-42808</v>
      </c>
      <c r="AJ4" s="290">
        <f t="shared" si="3"/>
        <v>-42808</v>
      </c>
      <c r="AK4" s="290">
        <f t="shared" si="3"/>
        <v>-42808</v>
      </c>
      <c r="AL4" s="290">
        <f t="shared" si="3"/>
        <v>-42808</v>
      </c>
      <c r="AM4" s="290">
        <f t="shared" si="3"/>
        <v>-42808</v>
      </c>
      <c r="AN4" s="290">
        <f t="shared" si="3"/>
        <v>-42808</v>
      </c>
      <c r="AO4" s="290">
        <f t="shared" si="3"/>
        <v>-42808</v>
      </c>
      <c r="AP4" s="290">
        <f t="shared" si="3"/>
        <v>-42808</v>
      </c>
      <c r="AQ4" s="290">
        <f t="shared" si="3"/>
        <v>-42808</v>
      </c>
      <c r="AR4" s="290">
        <f t="shared" si="3"/>
        <v>-42808</v>
      </c>
      <c r="AS4" s="290">
        <f t="shared" si="3"/>
        <v>-42808</v>
      </c>
      <c r="AT4" s="290">
        <f t="shared" si="3"/>
        <v>-42808</v>
      </c>
      <c r="AU4" s="290">
        <f t="shared" si="3"/>
        <v>-42808</v>
      </c>
      <c r="AV4" s="290">
        <f t="shared" si="3"/>
        <v>-42808</v>
      </c>
      <c r="AW4" s="290">
        <f t="shared" si="3"/>
        <v>-42808</v>
      </c>
      <c r="AX4" s="290">
        <f t="shared" si="3"/>
        <v>-42808</v>
      </c>
      <c r="AY4" s="290">
        <f t="shared" si="3"/>
        <v>-42808</v>
      </c>
      <c r="AZ4" s="290">
        <f t="shared" si="3"/>
        <v>-42808</v>
      </c>
      <c r="BA4" s="290">
        <f t="shared" si="3"/>
        <v>-42808</v>
      </c>
      <c r="BB4" s="290">
        <f t="shared" si="3"/>
        <v>-42808</v>
      </c>
      <c r="BC4" s="22" t="s">
        <v>8</v>
      </c>
      <c r="BD4" s="164">
        <f t="shared" si="0"/>
        <v>0</v>
      </c>
      <c r="BE4" s="164">
        <f t="shared" si="0"/>
        <v>1</v>
      </c>
      <c r="BF4" s="164">
        <f t="shared" si="0"/>
        <v>3</v>
      </c>
      <c r="BG4" s="164">
        <f t="shared" si="0"/>
        <v>6</v>
      </c>
      <c r="BH4" s="164">
        <f t="shared" si="0"/>
        <v>7</v>
      </c>
      <c r="BI4" s="164">
        <f t="shared" si="0"/>
        <v>8</v>
      </c>
      <c r="BJ4" s="164">
        <f t="shared" si="0"/>
        <v>10</v>
      </c>
      <c r="BK4" s="164">
        <f t="shared" si="0"/>
        <v>13</v>
      </c>
      <c r="BL4" s="164">
        <f t="shared" si="0"/>
        <v>15</v>
      </c>
      <c r="BM4" s="164">
        <f t="shared" si="0"/>
        <v>17</v>
      </c>
      <c r="BN4" s="164">
        <f t="shared" si="0"/>
        <v>21</v>
      </c>
      <c r="BO4" s="164">
        <f t="shared" si="0"/>
        <v>23</v>
      </c>
      <c r="BP4" s="164">
        <f t="shared" si="0"/>
        <v>25</v>
      </c>
      <c r="BQ4" s="164">
        <f t="shared" si="0"/>
        <v>28</v>
      </c>
      <c r="BR4" s="164">
        <f t="shared" si="0"/>
        <v>34</v>
      </c>
      <c r="BS4" s="164">
        <f t="shared" si="0"/>
        <v>-42808</v>
      </c>
      <c r="BT4" s="164">
        <f t="shared" si="1"/>
        <v>-42808</v>
      </c>
      <c r="BU4" s="164">
        <f t="shared" si="1"/>
        <v>-42808</v>
      </c>
      <c r="BV4" s="164">
        <f t="shared" si="1"/>
        <v>-42808</v>
      </c>
      <c r="BW4" s="164">
        <f t="shared" si="1"/>
        <v>-42808</v>
      </c>
      <c r="BX4" s="164">
        <f t="shared" si="1"/>
        <v>-42808</v>
      </c>
      <c r="BY4" s="164">
        <f t="shared" si="1"/>
        <v>-42808</v>
      </c>
      <c r="BZ4" s="164">
        <f t="shared" si="1"/>
        <v>-42808</v>
      </c>
      <c r="CA4" s="164">
        <f t="shared" si="1"/>
        <v>-42808</v>
      </c>
      <c r="CB4" s="164">
        <f t="shared" si="1"/>
        <v>-42808</v>
      </c>
      <c r="CC4" s="164">
        <f t="shared" si="1"/>
        <v>-42808</v>
      </c>
      <c r="CD4" s="164">
        <f t="shared" si="1"/>
        <v>-42808</v>
      </c>
      <c r="CE4" s="164">
        <f t="shared" si="1"/>
        <v>-42808</v>
      </c>
      <c r="CF4" s="164">
        <f t="shared" si="1"/>
        <v>-42808</v>
      </c>
      <c r="CG4" s="164">
        <f t="shared" si="1"/>
        <v>-42808</v>
      </c>
      <c r="CH4" s="164">
        <f t="shared" si="1"/>
        <v>-42808</v>
      </c>
      <c r="CI4" s="164">
        <f t="shared" si="2"/>
        <v>-42808</v>
      </c>
      <c r="CJ4" s="164">
        <f t="shared" si="2"/>
        <v>-42808</v>
      </c>
      <c r="CK4" s="164">
        <f t="shared" si="2"/>
        <v>-42808</v>
      </c>
      <c r="CL4" s="164">
        <f t="shared" si="2"/>
        <v>-42808</v>
      </c>
      <c r="CM4" s="164">
        <f t="shared" si="2"/>
        <v>-42808</v>
      </c>
      <c r="CN4" s="164">
        <f t="shared" si="2"/>
        <v>-42808</v>
      </c>
      <c r="CO4" s="164">
        <f t="shared" si="2"/>
        <v>-42808</v>
      </c>
      <c r="CP4" s="164">
        <f t="shared" si="2"/>
        <v>-42808</v>
      </c>
      <c r="CQ4" s="164">
        <f t="shared" si="2"/>
        <v>-42808</v>
      </c>
      <c r="CR4" s="164">
        <f t="shared" si="2"/>
        <v>-42808</v>
      </c>
      <c r="CS4" s="164">
        <f t="shared" si="2"/>
        <v>-42808</v>
      </c>
      <c r="CT4" s="164">
        <f t="shared" si="2"/>
        <v>-42808</v>
      </c>
      <c r="CU4" s="164">
        <f t="shared" si="2"/>
        <v>-42808</v>
      </c>
      <c r="CV4" s="44"/>
    </row>
    <row r="5" spans="1:100">
      <c r="A5" s="23">
        <v>1055532</v>
      </c>
      <c r="B5" s="24">
        <v>11</v>
      </c>
      <c r="C5" s="25" t="str">
        <f t="shared" ref="C5:C34" si="4">CONCATENATE(A5,"-",B5)</f>
        <v>1055532-11</v>
      </c>
      <c r="D5" s="24" t="s">
        <v>87</v>
      </c>
      <c r="E5" s="26" t="s">
        <v>88</v>
      </c>
      <c r="F5" s="27">
        <v>42798</v>
      </c>
      <c r="G5" s="28">
        <v>22.8</v>
      </c>
      <c r="H5" s="27">
        <v>42808</v>
      </c>
      <c r="I5" s="28">
        <v>25.7</v>
      </c>
      <c r="J5" s="30"/>
      <c r="K5" s="71">
        <v>25.7</v>
      </c>
      <c r="L5" s="71">
        <v>27.4</v>
      </c>
      <c r="M5" s="71">
        <v>26.3</v>
      </c>
      <c r="N5" s="71">
        <v>25.7</v>
      </c>
      <c r="O5" s="71"/>
      <c r="P5" s="71">
        <v>25.6</v>
      </c>
      <c r="Q5" s="71">
        <v>25.5</v>
      </c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31"/>
      <c r="BD5" s="70">
        <f t="shared" ref="BD5:BS20" si="5">IF(OR(ISERROR(K5/$I5)=TRUE,ISBLANK(K5)=TRUE),"",K5/$I5)</f>
        <v>1</v>
      </c>
      <c r="BE5" s="70">
        <f t="shared" si="5"/>
        <v>1.066147859922179</v>
      </c>
      <c r="BF5" s="70">
        <f t="shared" si="5"/>
        <v>1.0233463035019457</v>
      </c>
      <c r="BG5" s="70">
        <f t="shared" si="5"/>
        <v>1</v>
      </c>
      <c r="BH5" s="70" t="str">
        <f t="shared" si="5"/>
        <v/>
      </c>
      <c r="BI5" s="70">
        <f t="shared" si="5"/>
        <v>0.99610894941634254</v>
      </c>
      <c r="BJ5" s="70">
        <f t="shared" si="5"/>
        <v>0.99221789883268485</v>
      </c>
      <c r="BK5" s="70" t="str">
        <f t="shared" si="5"/>
        <v/>
      </c>
      <c r="BL5" s="70" t="str">
        <f t="shared" si="5"/>
        <v/>
      </c>
      <c r="BM5" s="70" t="str">
        <f t="shared" si="5"/>
        <v/>
      </c>
      <c r="BN5" s="70" t="str">
        <f t="shared" si="5"/>
        <v/>
      </c>
      <c r="BO5" s="70" t="str">
        <f t="shared" si="5"/>
        <v/>
      </c>
      <c r="BP5" s="70" t="str">
        <f t="shared" si="5"/>
        <v/>
      </c>
      <c r="BQ5" s="70" t="str">
        <f t="shared" si="5"/>
        <v/>
      </c>
      <c r="BR5" s="70" t="str">
        <f t="shared" si="5"/>
        <v/>
      </c>
      <c r="BS5" s="70" t="str">
        <f t="shared" si="5"/>
        <v/>
      </c>
      <c r="BT5" s="70" t="str">
        <f t="shared" ref="BT5:CI20" si="6">IF(OR(ISERROR(AA5/$I5)=TRUE,ISBLANK(AA5)=TRUE),"",AA5/$I5)</f>
        <v/>
      </c>
      <c r="BU5" s="70" t="str">
        <f t="shared" si="6"/>
        <v/>
      </c>
      <c r="BV5" s="70" t="str">
        <f t="shared" si="6"/>
        <v/>
      </c>
      <c r="BW5" s="70" t="str">
        <f t="shared" si="6"/>
        <v/>
      </c>
      <c r="BX5" s="70" t="str">
        <f t="shared" si="6"/>
        <v/>
      </c>
      <c r="BY5" s="70" t="str">
        <f t="shared" si="6"/>
        <v/>
      </c>
      <c r="BZ5" s="70" t="str">
        <f t="shared" si="6"/>
        <v/>
      </c>
      <c r="CA5" s="70" t="str">
        <f t="shared" si="6"/>
        <v/>
      </c>
      <c r="CB5" s="70" t="str">
        <f t="shared" si="6"/>
        <v/>
      </c>
      <c r="CC5" s="70" t="str">
        <f t="shared" si="6"/>
        <v/>
      </c>
      <c r="CD5" s="70" t="str">
        <f t="shared" si="6"/>
        <v/>
      </c>
      <c r="CE5" s="70" t="str">
        <f t="shared" si="6"/>
        <v/>
      </c>
      <c r="CF5" s="70" t="str">
        <f t="shared" si="6"/>
        <v/>
      </c>
      <c r="CG5" s="70" t="str">
        <f t="shared" si="6"/>
        <v/>
      </c>
      <c r="CH5" s="70" t="str">
        <f t="shared" si="6"/>
        <v/>
      </c>
      <c r="CI5" s="70" t="str">
        <f t="shared" si="6"/>
        <v/>
      </c>
      <c r="CJ5" s="70" t="str">
        <f t="shared" ref="CJ5:CU26" si="7">IF(OR(ISERROR(AQ5/$I5)=TRUE,ISBLANK(AQ5)=TRUE),"",AQ5/$I5)</f>
        <v/>
      </c>
      <c r="CK5" s="70" t="str">
        <f t="shared" si="7"/>
        <v/>
      </c>
      <c r="CL5" s="70" t="str">
        <f t="shared" si="7"/>
        <v/>
      </c>
      <c r="CM5" s="70" t="str">
        <f t="shared" si="7"/>
        <v/>
      </c>
      <c r="CN5" s="70" t="str">
        <f t="shared" si="7"/>
        <v/>
      </c>
      <c r="CO5" s="70" t="str">
        <f t="shared" si="7"/>
        <v/>
      </c>
      <c r="CP5" s="70" t="str">
        <f t="shared" si="7"/>
        <v/>
      </c>
      <c r="CQ5" s="70" t="str">
        <f t="shared" si="7"/>
        <v/>
      </c>
      <c r="CR5" s="70" t="str">
        <f t="shared" si="7"/>
        <v/>
      </c>
      <c r="CS5" s="70" t="str">
        <f t="shared" si="7"/>
        <v/>
      </c>
      <c r="CT5" s="70" t="str">
        <f t="shared" si="7"/>
        <v/>
      </c>
      <c r="CU5" s="70" t="str">
        <f t="shared" si="7"/>
        <v/>
      </c>
      <c r="CV5" s="3"/>
    </row>
    <row r="6" spans="1:100">
      <c r="A6" s="23">
        <v>1055532</v>
      </c>
      <c r="B6" s="1">
        <v>12</v>
      </c>
      <c r="C6" s="25" t="str">
        <f t="shared" si="4"/>
        <v>1055532-12</v>
      </c>
      <c r="D6" s="24" t="s">
        <v>87</v>
      </c>
      <c r="E6" s="32" t="s">
        <v>93</v>
      </c>
      <c r="F6" s="27">
        <v>42798</v>
      </c>
      <c r="G6" s="33">
        <v>23.2</v>
      </c>
      <c r="H6" s="27">
        <v>42808</v>
      </c>
      <c r="I6" s="33">
        <v>24.5</v>
      </c>
      <c r="J6" s="34"/>
      <c r="K6" s="71">
        <v>24.5</v>
      </c>
      <c r="L6" s="76">
        <v>23.3</v>
      </c>
      <c r="M6" s="76">
        <v>24.2</v>
      </c>
      <c r="N6" s="76">
        <v>23.1</v>
      </c>
      <c r="O6" s="76"/>
      <c r="P6" s="76">
        <v>22.9</v>
      </c>
      <c r="Q6" s="76">
        <v>22.5</v>
      </c>
      <c r="R6" s="76">
        <v>22.8</v>
      </c>
      <c r="S6" s="76">
        <v>22.7</v>
      </c>
      <c r="T6" s="76">
        <v>23</v>
      </c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2"/>
      <c r="BD6" s="66">
        <f t="shared" si="5"/>
        <v>1</v>
      </c>
      <c r="BE6" s="66">
        <f t="shared" si="5"/>
        <v>0.95102040816326538</v>
      </c>
      <c r="BF6" s="66">
        <f t="shared" si="5"/>
        <v>0.98775510204081629</v>
      </c>
      <c r="BG6" s="66">
        <f t="shared" si="5"/>
        <v>0.94285714285714295</v>
      </c>
      <c r="BH6" s="66" t="str">
        <f t="shared" si="5"/>
        <v/>
      </c>
      <c r="BI6" s="66">
        <f t="shared" si="5"/>
        <v>0.9346938775510204</v>
      </c>
      <c r="BJ6" s="66">
        <f t="shared" si="5"/>
        <v>0.91836734693877553</v>
      </c>
      <c r="BK6" s="66">
        <f t="shared" si="5"/>
        <v>0.93061224489795924</v>
      </c>
      <c r="BL6" s="66">
        <f t="shared" si="5"/>
        <v>0.92653061224489797</v>
      </c>
      <c r="BM6" s="66">
        <f t="shared" si="5"/>
        <v>0.93877551020408168</v>
      </c>
      <c r="BN6" s="66" t="str">
        <f t="shared" si="5"/>
        <v/>
      </c>
      <c r="BO6" s="66" t="str">
        <f t="shared" si="5"/>
        <v/>
      </c>
      <c r="BP6" s="66" t="str">
        <f t="shared" si="5"/>
        <v/>
      </c>
      <c r="BQ6" s="66" t="str">
        <f t="shared" si="5"/>
        <v/>
      </c>
      <c r="BR6" s="66" t="str">
        <f t="shared" si="5"/>
        <v/>
      </c>
      <c r="BS6" s="66" t="str">
        <f t="shared" si="5"/>
        <v/>
      </c>
      <c r="BT6" s="66" t="str">
        <f t="shared" si="6"/>
        <v/>
      </c>
      <c r="BU6" s="66" t="str">
        <f t="shared" si="6"/>
        <v/>
      </c>
      <c r="BV6" s="66" t="str">
        <f t="shared" si="6"/>
        <v/>
      </c>
      <c r="BW6" s="66" t="str">
        <f t="shared" si="6"/>
        <v/>
      </c>
      <c r="BX6" s="66" t="str">
        <f t="shared" si="6"/>
        <v/>
      </c>
      <c r="BY6" s="66" t="str">
        <f t="shared" si="6"/>
        <v/>
      </c>
      <c r="BZ6" s="66" t="str">
        <f t="shared" si="6"/>
        <v/>
      </c>
      <c r="CA6" s="66" t="str">
        <f t="shared" si="6"/>
        <v/>
      </c>
      <c r="CB6" s="66" t="str">
        <f t="shared" si="6"/>
        <v/>
      </c>
      <c r="CC6" s="66" t="str">
        <f t="shared" si="6"/>
        <v/>
      </c>
      <c r="CD6" s="66" t="str">
        <f t="shared" si="6"/>
        <v/>
      </c>
      <c r="CE6" s="66" t="str">
        <f t="shared" si="6"/>
        <v/>
      </c>
      <c r="CF6" s="66" t="str">
        <f t="shared" si="6"/>
        <v/>
      </c>
      <c r="CG6" s="66" t="str">
        <f t="shared" si="6"/>
        <v/>
      </c>
      <c r="CH6" s="66" t="str">
        <f t="shared" si="6"/>
        <v/>
      </c>
      <c r="CI6" s="66" t="str">
        <f t="shared" si="6"/>
        <v/>
      </c>
      <c r="CJ6" s="66" t="str">
        <f t="shared" si="7"/>
        <v/>
      </c>
      <c r="CK6" s="66" t="str">
        <f t="shared" si="7"/>
        <v/>
      </c>
      <c r="CL6" s="66" t="str">
        <f t="shared" si="7"/>
        <v/>
      </c>
      <c r="CM6" s="66" t="str">
        <f t="shared" si="7"/>
        <v/>
      </c>
      <c r="CN6" s="66" t="str">
        <f t="shared" si="7"/>
        <v/>
      </c>
      <c r="CO6" s="66" t="str">
        <f t="shared" si="7"/>
        <v/>
      </c>
      <c r="CP6" s="66" t="str">
        <f t="shared" si="7"/>
        <v/>
      </c>
      <c r="CQ6" s="66" t="str">
        <f t="shared" si="7"/>
        <v/>
      </c>
      <c r="CR6" s="66" t="str">
        <f t="shared" si="7"/>
        <v/>
      </c>
      <c r="CS6" s="66" t="str">
        <f t="shared" si="7"/>
        <v/>
      </c>
      <c r="CT6" s="66" t="str">
        <f t="shared" si="7"/>
        <v/>
      </c>
      <c r="CU6" s="66" t="str">
        <f t="shared" si="7"/>
        <v/>
      </c>
      <c r="CV6" s="3"/>
    </row>
    <row r="7" spans="1:100">
      <c r="A7" s="23">
        <v>1055532</v>
      </c>
      <c r="B7" s="1">
        <v>13</v>
      </c>
      <c r="C7" s="25" t="str">
        <f t="shared" si="4"/>
        <v>1055532-13</v>
      </c>
      <c r="D7" s="24" t="s">
        <v>87</v>
      </c>
      <c r="E7" s="32" t="s">
        <v>93</v>
      </c>
      <c r="F7" s="27">
        <v>42798</v>
      </c>
      <c r="G7" s="33">
        <v>26.4</v>
      </c>
      <c r="H7" s="27">
        <v>42808</v>
      </c>
      <c r="I7" s="33">
        <v>28.1</v>
      </c>
      <c r="J7" s="34"/>
      <c r="K7" s="71">
        <v>28.1</v>
      </c>
      <c r="L7" s="76">
        <v>27.9</v>
      </c>
      <c r="M7" s="76">
        <v>28.3</v>
      </c>
      <c r="N7" s="76">
        <v>28.4</v>
      </c>
      <c r="O7" s="76"/>
      <c r="P7" s="76">
        <v>28.5</v>
      </c>
      <c r="Q7" s="76">
        <v>28.4</v>
      </c>
      <c r="R7" s="76">
        <v>28.8</v>
      </c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2"/>
      <c r="BD7" s="66">
        <f t="shared" si="5"/>
        <v>1</v>
      </c>
      <c r="BE7" s="66">
        <f t="shared" si="5"/>
        <v>0.99288256227757998</v>
      </c>
      <c r="BF7" s="66">
        <f t="shared" si="5"/>
        <v>1.0071174377224199</v>
      </c>
      <c r="BG7" s="66">
        <f t="shared" si="5"/>
        <v>1.0106761565836297</v>
      </c>
      <c r="BH7" s="66" t="str">
        <f t="shared" si="5"/>
        <v/>
      </c>
      <c r="BI7" s="66">
        <f t="shared" si="5"/>
        <v>1.0142348754448398</v>
      </c>
      <c r="BJ7" s="66">
        <f t="shared" si="5"/>
        <v>1.0106761565836297</v>
      </c>
      <c r="BK7" s="66">
        <f t="shared" si="5"/>
        <v>1.0249110320284698</v>
      </c>
      <c r="BL7" s="66" t="str">
        <f t="shared" si="5"/>
        <v/>
      </c>
      <c r="BM7" s="66" t="str">
        <f t="shared" si="5"/>
        <v/>
      </c>
      <c r="BN7" s="66" t="str">
        <f t="shared" si="5"/>
        <v/>
      </c>
      <c r="BO7" s="66" t="str">
        <f t="shared" si="5"/>
        <v/>
      </c>
      <c r="BP7" s="66" t="str">
        <f t="shared" si="5"/>
        <v/>
      </c>
      <c r="BQ7" s="66" t="str">
        <f t="shared" si="5"/>
        <v/>
      </c>
      <c r="BR7" s="66" t="str">
        <f t="shared" si="5"/>
        <v/>
      </c>
      <c r="BS7" s="66" t="str">
        <f t="shared" si="5"/>
        <v/>
      </c>
      <c r="BT7" s="66" t="str">
        <f t="shared" si="6"/>
        <v/>
      </c>
      <c r="BU7" s="66" t="str">
        <f t="shared" si="6"/>
        <v/>
      </c>
      <c r="BV7" s="66" t="str">
        <f t="shared" si="6"/>
        <v/>
      </c>
      <c r="BW7" s="66" t="str">
        <f t="shared" si="6"/>
        <v/>
      </c>
      <c r="BX7" s="66" t="str">
        <f t="shared" si="6"/>
        <v/>
      </c>
      <c r="BY7" s="66" t="str">
        <f t="shared" si="6"/>
        <v/>
      </c>
      <c r="BZ7" s="66" t="str">
        <f t="shared" si="6"/>
        <v/>
      </c>
      <c r="CA7" s="66" t="str">
        <f t="shared" si="6"/>
        <v/>
      </c>
      <c r="CB7" s="66" t="str">
        <f t="shared" si="6"/>
        <v/>
      </c>
      <c r="CC7" s="66" t="str">
        <f t="shared" si="6"/>
        <v/>
      </c>
      <c r="CD7" s="66" t="str">
        <f t="shared" si="6"/>
        <v/>
      </c>
      <c r="CE7" s="66" t="str">
        <f t="shared" si="6"/>
        <v/>
      </c>
      <c r="CF7" s="66" t="str">
        <f t="shared" si="6"/>
        <v/>
      </c>
      <c r="CG7" s="66" t="str">
        <f t="shared" si="6"/>
        <v/>
      </c>
      <c r="CH7" s="66" t="str">
        <f t="shared" si="6"/>
        <v/>
      </c>
      <c r="CI7" s="66" t="str">
        <f t="shared" si="6"/>
        <v/>
      </c>
      <c r="CJ7" s="66" t="str">
        <f t="shared" si="7"/>
        <v/>
      </c>
      <c r="CK7" s="66" t="str">
        <f t="shared" si="7"/>
        <v/>
      </c>
      <c r="CL7" s="66" t="str">
        <f t="shared" si="7"/>
        <v/>
      </c>
      <c r="CM7" s="66" t="str">
        <f t="shared" si="7"/>
        <v/>
      </c>
      <c r="CN7" s="66" t="str">
        <f t="shared" si="7"/>
        <v/>
      </c>
      <c r="CO7" s="66" t="str">
        <f t="shared" si="7"/>
        <v/>
      </c>
      <c r="CP7" s="66" t="str">
        <f t="shared" si="7"/>
        <v/>
      </c>
      <c r="CQ7" s="66" t="str">
        <f t="shared" si="7"/>
        <v/>
      </c>
      <c r="CR7" s="66" t="str">
        <f t="shared" si="7"/>
        <v/>
      </c>
      <c r="CS7" s="66" t="str">
        <f t="shared" si="7"/>
        <v/>
      </c>
      <c r="CT7" s="66" t="str">
        <f t="shared" si="7"/>
        <v/>
      </c>
      <c r="CU7" s="66" t="str">
        <f t="shared" si="7"/>
        <v/>
      </c>
      <c r="CV7" s="3"/>
    </row>
    <row r="8" spans="1:100">
      <c r="A8" s="23">
        <v>1055532</v>
      </c>
      <c r="B8" s="1">
        <v>14</v>
      </c>
      <c r="C8" s="25" t="str">
        <f t="shared" si="4"/>
        <v>1055532-14</v>
      </c>
      <c r="D8" s="24" t="s">
        <v>87</v>
      </c>
      <c r="E8" s="32" t="s">
        <v>68</v>
      </c>
      <c r="F8" s="27">
        <v>42798</v>
      </c>
      <c r="G8" s="33">
        <v>26.9</v>
      </c>
      <c r="H8" s="27">
        <v>42808</v>
      </c>
      <c r="I8" s="33">
        <v>28.3</v>
      </c>
      <c r="J8" s="34"/>
      <c r="K8" s="71">
        <v>28.3</v>
      </c>
      <c r="L8" s="76">
        <v>27.8</v>
      </c>
      <c r="M8" s="76">
        <v>27.9</v>
      </c>
      <c r="N8" s="76">
        <v>27.7</v>
      </c>
      <c r="O8" s="76"/>
      <c r="P8" s="76">
        <v>27.3</v>
      </c>
      <c r="Q8" s="76">
        <v>25.9</v>
      </c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2"/>
      <c r="BD8" s="66">
        <f t="shared" si="5"/>
        <v>1</v>
      </c>
      <c r="BE8" s="66">
        <f t="shared" si="5"/>
        <v>0.98233215547703179</v>
      </c>
      <c r="BF8" s="66">
        <f t="shared" si="5"/>
        <v>0.98586572438162534</v>
      </c>
      <c r="BG8" s="66">
        <f t="shared" si="5"/>
        <v>0.97879858657243812</v>
      </c>
      <c r="BH8" s="66" t="str">
        <f t="shared" si="5"/>
        <v/>
      </c>
      <c r="BI8" s="66">
        <f t="shared" si="5"/>
        <v>0.96466431095406358</v>
      </c>
      <c r="BJ8" s="66">
        <f t="shared" si="5"/>
        <v>0.9151943462897526</v>
      </c>
      <c r="BK8" s="66" t="str">
        <f t="shared" si="5"/>
        <v/>
      </c>
      <c r="BL8" s="66" t="str">
        <f t="shared" si="5"/>
        <v/>
      </c>
      <c r="BM8" s="66" t="str">
        <f t="shared" si="5"/>
        <v/>
      </c>
      <c r="BN8" s="66" t="str">
        <f t="shared" si="5"/>
        <v/>
      </c>
      <c r="BO8" s="66" t="str">
        <f t="shared" si="5"/>
        <v/>
      </c>
      <c r="BP8" s="66" t="str">
        <f t="shared" si="5"/>
        <v/>
      </c>
      <c r="BQ8" s="66" t="str">
        <f t="shared" si="5"/>
        <v/>
      </c>
      <c r="BR8" s="66" t="str">
        <f t="shared" si="5"/>
        <v/>
      </c>
      <c r="BS8" s="66" t="str">
        <f t="shared" si="5"/>
        <v/>
      </c>
      <c r="BT8" s="66" t="str">
        <f t="shared" si="6"/>
        <v/>
      </c>
      <c r="BU8" s="66" t="str">
        <f t="shared" si="6"/>
        <v/>
      </c>
      <c r="BV8" s="66" t="str">
        <f t="shared" si="6"/>
        <v/>
      </c>
      <c r="BW8" s="66" t="str">
        <f t="shared" si="6"/>
        <v/>
      </c>
      <c r="BX8" s="66" t="str">
        <f t="shared" si="6"/>
        <v/>
      </c>
      <c r="BY8" s="66" t="str">
        <f t="shared" si="6"/>
        <v/>
      </c>
      <c r="BZ8" s="66" t="str">
        <f t="shared" si="6"/>
        <v/>
      </c>
      <c r="CA8" s="66" t="str">
        <f t="shared" si="6"/>
        <v/>
      </c>
      <c r="CB8" s="66" t="str">
        <f t="shared" si="6"/>
        <v/>
      </c>
      <c r="CC8" s="66" t="str">
        <f t="shared" si="6"/>
        <v/>
      </c>
      <c r="CD8" s="66" t="str">
        <f t="shared" si="6"/>
        <v/>
      </c>
      <c r="CE8" s="66" t="str">
        <f t="shared" si="6"/>
        <v/>
      </c>
      <c r="CF8" s="66" t="str">
        <f t="shared" si="6"/>
        <v/>
      </c>
      <c r="CG8" s="66" t="str">
        <f t="shared" si="6"/>
        <v/>
      </c>
      <c r="CH8" s="66" t="str">
        <f t="shared" si="6"/>
        <v/>
      </c>
      <c r="CI8" s="66" t="str">
        <f t="shared" si="6"/>
        <v/>
      </c>
      <c r="CJ8" s="66" t="str">
        <f t="shared" si="7"/>
        <v/>
      </c>
      <c r="CK8" s="66" t="str">
        <f t="shared" si="7"/>
        <v/>
      </c>
      <c r="CL8" s="66" t="str">
        <f t="shared" si="7"/>
        <v/>
      </c>
      <c r="CM8" s="66" t="str">
        <f t="shared" si="7"/>
        <v/>
      </c>
      <c r="CN8" s="66" t="str">
        <f t="shared" si="7"/>
        <v/>
      </c>
      <c r="CO8" s="66" t="str">
        <f t="shared" si="7"/>
        <v/>
      </c>
      <c r="CP8" s="66" t="str">
        <f t="shared" si="7"/>
        <v/>
      </c>
      <c r="CQ8" s="66" t="str">
        <f t="shared" si="7"/>
        <v/>
      </c>
      <c r="CR8" s="66" t="str">
        <f t="shared" si="7"/>
        <v/>
      </c>
      <c r="CS8" s="66" t="str">
        <f t="shared" si="7"/>
        <v/>
      </c>
      <c r="CT8" s="66" t="str">
        <f t="shared" si="7"/>
        <v/>
      </c>
      <c r="CU8" s="66" t="str">
        <f t="shared" si="7"/>
        <v/>
      </c>
      <c r="CV8" s="3"/>
    </row>
    <row r="9" spans="1:100">
      <c r="A9" s="23">
        <v>1055532</v>
      </c>
      <c r="B9" s="1">
        <v>15</v>
      </c>
      <c r="C9" s="25" t="str">
        <f t="shared" si="4"/>
        <v>1055532-15</v>
      </c>
      <c r="D9" s="24" t="s">
        <v>87</v>
      </c>
      <c r="E9" s="32"/>
      <c r="F9" s="27">
        <v>42798</v>
      </c>
      <c r="G9" s="33">
        <v>25.1</v>
      </c>
      <c r="H9" s="27">
        <v>42808</v>
      </c>
      <c r="I9" s="33">
        <v>27</v>
      </c>
      <c r="J9" s="34"/>
      <c r="K9" s="71">
        <v>27</v>
      </c>
      <c r="L9" s="76">
        <v>26.5</v>
      </c>
      <c r="M9" s="76">
        <v>26.1</v>
      </c>
      <c r="N9" s="76">
        <v>26.6</v>
      </c>
      <c r="O9" s="76"/>
      <c r="P9" s="76">
        <v>27.2</v>
      </c>
      <c r="Q9" s="76">
        <v>27.1</v>
      </c>
      <c r="R9" s="76">
        <v>27.8</v>
      </c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2"/>
      <c r="BD9" s="66">
        <f t="shared" si="5"/>
        <v>1</v>
      </c>
      <c r="BE9" s="66">
        <f t="shared" si="5"/>
        <v>0.98148148148148151</v>
      </c>
      <c r="BF9" s="66">
        <f t="shared" si="5"/>
        <v>0.96666666666666667</v>
      </c>
      <c r="BG9" s="66">
        <f t="shared" si="5"/>
        <v>0.98518518518518527</v>
      </c>
      <c r="BH9" s="66" t="str">
        <f t="shared" si="5"/>
        <v/>
      </c>
      <c r="BI9" s="66">
        <f t="shared" si="5"/>
        <v>1.0074074074074073</v>
      </c>
      <c r="BJ9" s="66">
        <f t="shared" si="5"/>
        <v>1.0037037037037038</v>
      </c>
      <c r="BK9" s="66">
        <f t="shared" si="5"/>
        <v>1.0296296296296297</v>
      </c>
      <c r="BL9" s="66" t="str">
        <f t="shared" si="5"/>
        <v/>
      </c>
      <c r="BM9" s="66" t="str">
        <f t="shared" si="5"/>
        <v/>
      </c>
      <c r="BN9" s="66" t="str">
        <f t="shared" si="5"/>
        <v/>
      </c>
      <c r="BO9" s="66" t="str">
        <f t="shared" si="5"/>
        <v/>
      </c>
      <c r="BP9" s="66" t="str">
        <f t="shared" si="5"/>
        <v/>
      </c>
      <c r="BQ9" s="66" t="str">
        <f t="shared" si="5"/>
        <v/>
      </c>
      <c r="BR9" s="66" t="str">
        <f t="shared" si="5"/>
        <v/>
      </c>
      <c r="BS9" s="66" t="str">
        <f t="shared" si="5"/>
        <v/>
      </c>
      <c r="BT9" s="66" t="str">
        <f t="shared" si="6"/>
        <v/>
      </c>
      <c r="BU9" s="66" t="str">
        <f t="shared" si="6"/>
        <v/>
      </c>
      <c r="BV9" s="66" t="str">
        <f t="shared" si="6"/>
        <v/>
      </c>
      <c r="BW9" s="66" t="str">
        <f t="shared" si="6"/>
        <v/>
      </c>
      <c r="BX9" s="66" t="str">
        <f t="shared" si="6"/>
        <v/>
      </c>
      <c r="BY9" s="66" t="str">
        <f t="shared" si="6"/>
        <v/>
      </c>
      <c r="BZ9" s="66" t="str">
        <f t="shared" si="6"/>
        <v/>
      </c>
      <c r="CA9" s="66" t="str">
        <f t="shared" si="6"/>
        <v/>
      </c>
      <c r="CB9" s="66" t="str">
        <f t="shared" si="6"/>
        <v/>
      </c>
      <c r="CC9" s="66" t="str">
        <f t="shared" si="6"/>
        <v/>
      </c>
      <c r="CD9" s="66" t="str">
        <f t="shared" si="6"/>
        <v/>
      </c>
      <c r="CE9" s="66" t="str">
        <f t="shared" si="6"/>
        <v/>
      </c>
      <c r="CF9" s="66" t="str">
        <f t="shared" si="6"/>
        <v/>
      </c>
      <c r="CG9" s="66" t="str">
        <f t="shared" si="6"/>
        <v/>
      </c>
      <c r="CH9" s="66" t="str">
        <f t="shared" si="6"/>
        <v/>
      </c>
      <c r="CI9" s="66" t="str">
        <f t="shared" si="6"/>
        <v/>
      </c>
      <c r="CJ9" s="66" t="str">
        <f t="shared" si="7"/>
        <v/>
      </c>
      <c r="CK9" s="66" t="str">
        <f t="shared" si="7"/>
        <v/>
      </c>
      <c r="CL9" s="66" t="str">
        <f t="shared" si="7"/>
        <v/>
      </c>
      <c r="CM9" s="66" t="str">
        <f t="shared" si="7"/>
        <v/>
      </c>
      <c r="CN9" s="66" t="str">
        <f t="shared" si="7"/>
        <v/>
      </c>
      <c r="CO9" s="66" t="str">
        <f t="shared" si="7"/>
        <v/>
      </c>
      <c r="CP9" s="66" t="str">
        <f t="shared" si="7"/>
        <v/>
      </c>
      <c r="CQ9" s="66" t="str">
        <f t="shared" si="7"/>
        <v/>
      </c>
      <c r="CR9" s="66" t="str">
        <f t="shared" si="7"/>
        <v/>
      </c>
      <c r="CS9" s="66" t="str">
        <f t="shared" si="7"/>
        <v/>
      </c>
      <c r="CT9" s="66" t="str">
        <f t="shared" si="7"/>
        <v/>
      </c>
      <c r="CU9" s="66" t="str">
        <f t="shared" si="7"/>
        <v/>
      </c>
      <c r="CV9" s="3"/>
    </row>
    <row r="10" spans="1:100">
      <c r="A10" s="35">
        <v>1057006</v>
      </c>
      <c r="B10" s="1">
        <v>21</v>
      </c>
      <c r="C10" s="25" t="str">
        <f t="shared" si="4"/>
        <v>1057006-21</v>
      </c>
      <c r="D10" s="24" t="s">
        <v>87</v>
      </c>
      <c r="E10" s="32" t="s">
        <v>68</v>
      </c>
      <c r="F10" s="27">
        <v>42798</v>
      </c>
      <c r="G10" s="33">
        <v>26.1</v>
      </c>
      <c r="H10" s="27">
        <v>42808</v>
      </c>
      <c r="I10" s="33">
        <v>27</v>
      </c>
      <c r="J10" s="34"/>
      <c r="K10" s="71">
        <v>27</v>
      </c>
      <c r="L10" s="76">
        <v>26.3</v>
      </c>
      <c r="M10" s="76">
        <v>26.7</v>
      </c>
      <c r="N10" s="76">
        <v>26.7</v>
      </c>
      <c r="O10" s="76"/>
      <c r="P10" s="76">
        <v>26.6</v>
      </c>
      <c r="Q10" s="76">
        <v>26.2</v>
      </c>
      <c r="R10" s="76">
        <v>27.1</v>
      </c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2"/>
      <c r="BD10" s="66">
        <f t="shared" si="5"/>
        <v>1</v>
      </c>
      <c r="BE10" s="66">
        <f t="shared" si="5"/>
        <v>0.97407407407407409</v>
      </c>
      <c r="BF10" s="66">
        <f t="shared" si="5"/>
        <v>0.98888888888888882</v>
      </c>
      <c r="BG10" s="66">
        <f t="shared" si="5"/>
        <v>0.98888888888888882</v>
      </c>
      <c r="BH10" s="66" t="str">
        <f t="shared" si="5"/>
        <v/>
      </c>
      <c r="BI10" s="66">
        <f t="shared" si="5"/>
        <v>0.98518518518518527</v>
      </c>
      <c r="BJ10" s="66">
        <f t="shared" si="5"/>
        <v>0.97037037037037033</v>
      </c>
      <c r="BK10" s="66">
        <f t="shared" si="5"/>
        <v>1.0037037037037038</v>
      </c>
      <c r="BL10" s="66" t="str">
        <f t="shared" si="5"/>
        <v/>
      </c>
      <c r="BM10" s="66" t="str">
        <f t="shared" si="5"/>
        <v/>
      </c>
      <c r="BN10" s="66" t="str">
        <f t="shared" si="5"/>
        <v/>
      </c>
      <c r="BO10" s="66" t="str">
        <f t="shared" si="5"/>
        <v/>
      </c>
      <c r="BP10" s="66" t="str">
        <f t="shared" si="5"/>
        <v/>
      </c>
      <c r="BQ10" s="66" t="str">
        <f t="shared" si="5"/>
        <v/>
      </c>
      <c r="BR10" s="66" t="str">
        <f t="shared" si="5"/>
        <v/>
      </c>
      <c r="BS10" s="66" t="str">
        <f t="shared" si="5"/>
        <v/>
      </c>
      <c r="BT10" s="66" t="str">
        <f t="shared" si="6"/>
        <v/>
      </c>
      <c r="BU10" s="66" t="str">
        <f t="shared" si="6"/>
        <v/>
      </c>
      <c r="BV10" s="66" t="str">
        <f t="shared" si="6"/>
        <v/>
      </c>
      <c r="BW10" s="66" t="str">
        <f t="shared" si="6"/>
        <v/>
      </c>
      <c r="BX10" s="66" t="str">
        <f t="shared" si="6"/>
        <v/>
      </c>
      <c r="BY10" s="66" t="str">
        <f t="shared" si="6"/>
        <v/>
      </c>
      <c r="BZ10" s="66" t="str">
        <f t="shared" si="6"/>
        <v/>
      </c>
      <c r="CA10" s="66" t="str">
        <f t="shared" si="6"/>
        <v/>
      </c>
      <c r="CB10" s="66" t="str">
        <f t="shared" si="6"/>
        <v/>
      </c>
      <c r="CC10" s="66" t="str">
        <f t="shared" si="6"/>
        <v/>
      </c>
      <c r="CD10" s="66" t="str">
        <f t="shared" si="6"/>
        <v/>
      </c>
      <c r="CE10" s="66" t="str">
        <f t="shared" si="6"/>
        <v/>
      </c>
      <c r="CF10" s="66" t="str">
        <f t="shared" si="6"/>
        <v/>
      </c>
      <c r="CG10" s="66" t="str">
        <f t="shared" si="6"/>
        <v/>
      </c>
      <c r="CH10" s="66" t="str">
        <f t="shared" si="6"/>
        <v/>
      </c>
      <c r="CI10" s="66" t="str">
        <f t="shared" si="6"/>
        <v/>
      </c>
      <c r="CJ10" s="66" t="str">
        <f t="shared" si="7"/>
        <v/>
      </c>
      <c r="CK10" s="66" t="str">
        <f t="shared" si="7"/>
        <v/>
      </c>
      <c r="CL10" s="66" t="str">
        <f t="shared" si="7"/>
        <v/>
      </c>
      <c r="CM10" s="66" t="str">
        <f t="shared" si="7"/>
        <v/>
      </c>
      <c r="CN10" s="66" t="str">
        <f t="shared" si="7"/>
        <v/>
      </c>
      <c r="CO10" s="66" t="str">
        <f t="shared" si="7"/>
        <v/>
      </c>
      <c r="CP10" s="66" t="str">
        <f t="shared" si="7"/>
        <v/>
      </c>
      <c r="CQ10" s="66" t="str">
        <f t="shared" si="7"/>
        <v/>
      </c>
      <c r="CR10" s="66" t="str">
        <f t="shared" si="7"/>
        <v/>
      </c>
      <c r="CS10" s="66" t="str">
        <f t="shared" si="7"/>
        <v/>
      </c>
      <c r="CT10" s="66" t="str">
        <f t="shared" si="7"/>
        <v/>
      </c>
      <c r="CU10" s="66" t="str">
        <f t="shared" si="7"/>
        <v/>
      </c>
      <c r="CV10" s="3"/>
    </row>
    <row r="11" spans="1:100">
      <c r="A11" s="35">
        <v>1057006</v>
      </c>
      <c r="B11" s="1">
        <v>22</v>
      </c>
      <c r="C11" s="25" t="str">
        <f t="shared" si="4"/>
        <v>1057006-22</v>
      </c>
      <c r="D11" s="24" t="s">
        <v>87</v>
      </c>
      <c r="E11" s="32" t="s">
        <v>88</v>
      </c>
      <c r="F11" s="27">
        <v>42798</v>
      </c>
      <c r="G11" s="33">
        <v>30</v>
      </c>
      <c r="H11" s="27">
        <v>42808</v>
      </c>
      <c r="I11" s="33">
        <v>32.5</v>
      </c>
      <c r="J11" s="34"/>
      <c r="K11" s="71">
        <v>32.5</v>
      </c>
      <c r="L11" s="76">
        <v>31.8</v>
      </c>
      <c r="M11" s="76">
        <v>33</v>
      </c>
      <c r="N11" s="76">
        <v>32.4</v>
      </c>
      <c r="O11" s="76"/>
      <c r="P11" s="76">
        <v>32.1</v>
      </c>
      <c r="Q11" s="76">
        <v>32</v>
      </c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2"/>
      <c r="BD11" s="66">
        <f t="shared" si="5"/>
        <v>1</v>
      </c>
      <c r="BE11" s="66">
        <f t="shared" si="5"/>
        <v>0.97846153846153849</v>
      </c>
      <c r="BF11" s="66">
        <f t="shared" si="5"/>
        <v>1.0153846153846153</v>
      </c>
      <c r="BG11" s="66">
        <f t="shared" si="5"/>
        <v>0.99692307692307691</v>
      </c>
      <c r="BH11" s="66" t="str">
        <f t="shared" si="5"/>
        <v/>
      </c>
      <c r="BI11" s="66">
        <f t="shared" si="5"/>
        <v>0.98769230769230776</v>
      </c>
      <c r="BJ11" s="66">
        <f t="shared" si="5"/>
        <v>0.98461538461538467</v>
      </c>
      <c r="BK11" s="66" t="str">
        <f t="shared" si="5"/>
        <v/>
      </c>
      <c r="BL11" s="66" t="str">
        <f t="shared" si="5"/>
        <v/>
      </c>
      <c r="BM11" s="66" t="str">
        <f t="shared" si="5"/>
        <v/>
      </c>
      <c r="BN11" s="66" t="str">
        <f t="shared" si="5"/>
        <v/>
      </c>
      <c r="BO11" s="66" t="str">
        <f t="shared" si="5"/>
        <v/>
      </c>
      <c r="BP11" s="66" t="str">
        <f t="shared" si="5"/>
        <v/>
      </c>
      <c r="BQ11" s="66" t="str">
        <f t="shared" si="5"/>
        <v/>
      </c>
      <c r="BR11" s="66" t="str">
        <f t="shared" si="5"/>
        <v/>
      </c>
      <c r="BS11" s="66" t="str">
        <f t="shared" si="5"/>
        <v/>
      </c>
      <c r="BT11" s="66" t="str">
        <f t="shared" si="6"/>
        <v/>
      </c>
      <c r="BU11" s="66" t="str">
        <f t="shared" si="6"/>
        <v/>
      </c>
      <c r="BV11" s="66" t="str">
        <f t="shared" si="6"/>
        <v/>
      </c>
      <c r="BW11" s="66" t="str">
        <f t="shared" si="6"/>
        <v/>
      </c>
      <c r="BX11" s="66" t="str">
        <f t="shared" si="6"/>
        <v/>
      </c>
      <c r="BY11" s="66" t="str">
        <f t="shared" si="6"/>
        <v/>
      </c>
      <c r="BZ11" s="66" t="str">
        <f t="shared" si="6"/>
        <v/>
      </c>
      <c r="CA11" s="66" t="str">
        <f t="shared" si="6"/>
        <v/>
      </c>
      <c r="CB11" s="66" t="str">
        <f t="shared" si="6"/>
        <v/>
      </c>
      <c r="CC11" s="66" t="str">
        <f t="shared" si="6"/>
        <v/>
      </c>
      <c r="CD11" s="66" t="str">
        <f t="shared" si="6"/>
        <v/>
      </c>
      <c r="CE11" s="66" t="str">
        <f t="shared" si="6"/>
        <v/>
      </c>
      <c r="CF11" s="66" t="str">
        <f t="shared" si="6"/>
        <v/>
      </c>
      <c r="CG11" s="66" t="str">
        <f t="shared" si="6"/>
        <v/>
      </c>
      <c r="CH11" s="66" t="str">
        <f t="shared" si="6"/>
        <v/>
      </c>
      <c r="CI11" s="66" t="str">
        <f t="shared" si="6"/>
        <v/>
      </c>
      <c r="CJ11" s="66" t="str">
        <f t="shared" si="7"/>
        <v/>
      </c>
      <c r="CK11" s="66" t="str">
        <f t="shared" si="7"/>
        <v/>
      </c>
      <c r="CL11" s="66" t="str">
        <f t="shared" si="7"/>
        <v/>
      </c>
      <c r="CM11" s="66" t="str">
        <f t="shared" si="7"/>
        <v/>
      </c>
      <c r="CN11" s="66" t="str">
        <f t="shared" si="7"/>
        <v/>
      </c>
      <c r="CO11" s="66" t="str">
        <f t="shared" si="7"/>
        <v/>
      </c>
      <c r="CP11" s="66" t="str">
        <f t="shared" si="7"/>
        <v/>
      </c>
      <c r="CQ11" s="66" t="str">
        <f t="shared" si="7"/>
        <v/>
      </c>
      <c r="CR11" s="66" t="str">
        <f t="shared" si="7"/>
        <v/>
      </c>
      <c r="CS11" s="66" t="str">
        <f t="shared" si="7"/>
        <v/>
      </c>
      <c r="CT11" s="66" t="str">
        <f t="shared" si="7"/>
        <v/>
      </c>
      <c r="CU11" s="66" t="str">
        <f t="shared" si="7"/>
        <v/>
      </c>
      <c r="CV11" s="3"/>
    </row>
    <row r="12" spans="1:100">
      <c r="A12" s="35">
        <v>1057006</v>
      </c>
      <c r="B12" s="1">
        <v>23</v>
      </c>
      <c r="C12" s="25" t="str">
        <f t="shared" si="4"/>
        <v>1057006-23</v>
      </c>
      <c r="D12" s="24" t="s">
        <v>87</v>
      </c>
      <c r="E12" s="32" t="s">
        <v>94</v>
      </c>
      <c r="F12" s="27">
        <v>42798</v>
      </c>
      <c r="G12" s="33">
        <v>24.8</v>
      </c>
      <c r="H12" s="27">
        <v>42808</v>
      </c>
      <c r="I12" s="33">
        <v>25.4</v>
      </c>
      <c r="J12" s="34"/>
      <c r="K12" s="71">
        <v>25.4</v>
      </c>
      <c r="L12" s="76">
        <v>25.6</v>
      </c>
      <c r="M12" s="76">
        <v>25.3</v>
      </c>
      <c r="N12" s="76">
        <v>24.4</v>
      </c>
      <c r="O12" s="76"/>
      <c r="P12" s="76">
        <v>24.5</v>
      </c>
      <c r="Q12" s="76">
        <v>24</v>
      </c>
      <c r="R12" s="76">
        <v>24.4</v>
      </c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2"/>
      <c r="BD12" s="66">
        <f t="shared" si="5"/>
        <v>1</v>
      </c>
      <c r="BE12" s="66">
        <f t="shared" si="5"/>
        <v>1.0078740157480317</v>
      </c>
      <c r="BF12" s="66">
        <f t="shared" si="5"/>
        <v>0.99606299212598437</v>
      </c>
      <c r="BG12" s="66">
        <f t="shared" si="5"/>
        <v>0.96062992125984248</v>
      </c>
      <c r="BH12" s="66" t="str">
        <f t="shared" si="5"/>
        <v/>
      </c>
      <c r="BI12" s="66">
        <f t="shared" si="5"/>
        <v>0.96456692913385833</v>
      </c>
      <c r="BJ12" s="66">
        <f t="shared" si="5"/>
        <v>0.94488188976377963</v>
      </c>
      <c r="BK12" s="66">
        <f t="shared" si="5"/>
        <v>0.96062992125984248</v>
      </c>
      <c r="BL12" s="66" t="str">
        <f t="shared" si="5"/>
        <v/>
      </c>
      <c r="BM12" s="66" t="str">
        <f t="shared" si="5"/>
        <v/>
      </c>
      <c r="BN12" s="66" t="str">
        <f t="shared" si="5"/>
        <v/>
      </c>
      <c r="BO12" s="66" t="str">
        <f t="shared" si="5"/>
        <v/>
      </c>
      <c r="BP12" s="66" t="str">
        <f t="shared" si="5"/>
        <v/>
      </c>
      <c r="BQ12" s="66" t="str">
        <f t="shared" si="5"/>
        <v/>
      </c>
      <c r="BR12" s="66" t="str">
        <f t="shared" si="5"/>
        <v/>
      </c>
      <c r="BS12" s="66" t="str">
        <f t="shared" si="5"/>
        <v/>
      </c>
      <c r="BT12" s="66" t="str">
        <f t="shared" si="6"/>
        <v/>
      </c>
      <c r="BU12" s="66" t="str">
        <f t="shared" si="6"/>
        <v/>
      </c>
      <c r="BV12" s="66" t="str">
        <f t="shared" si="6"/>
        <v/>
      </c>
      <c r="BW12" s="66" t="str">
        <f t="shared" si="6"/>
        <v/>
      </c>
      <c r="BX12" s="66" t="str">
        <f t="shared" si="6"/>
        <v/>
      </c>
      <c r="BY12" s="66" t="str">
        <f t="shared" si="6"/>
        <v/>
      </c>
      <c r="BZ12" s="66" t="str">
        <f t="shared" si="6"/>
        <v/>
      </c>
      <c r="CA12" s="66" t="str">
        <f t="shared" si="6"/>
        <v/>
      </c>
      <c r="CB12" s="66" t="str">
        <f t="shared" si="6"/>
        <v/>
      </c>
      <c r="CC12" s="66" t="str">
        <f t="shared" si="6"/>
        <v/>
      </c>
      <c r="CD12" s="66" t="str">
        <f t="shared" si="6"/>
        <v/>
      </c>
      <c r="CE12" s="66" t="str">
        <f t="shared" si="6"/>
        <v/>
      </c>
      <c r="CF12" s="66" t="str">
        <f t="shared" si="6"/>
        <v/>
      </c>
      <c r="CG12" s="66" t="str">
        <f t="shared" si="6"/>
        <v/>
      </c>
      <c r="CH12" s="66" t="str">
        <f t="shared" si="6"/>
        <v/>
      </c>
      <c r="CI12" s="66" t="str">
        <f t="shared" si="6"/>
        <v/>
      </c>
      <c r="CJ12" s="66" t="str">
        <f t="shared" si="7"/>
        <v/>
      </c>
      <c r="CK12" s="66" t="str">
        <f t="shared" si="7"/>
        <v/>
      </c>
      <c r="CL12" s="66" t="str">
        <f t="shared" si="7"/>
        <v/>
      </c>
      <c r="CM12" s="66" t="str">
        <f t="shared" si="7"/>
        <v/>
      </c>
      <c r="CN12" s="66" t="str">
        <f t="shared" si="7"/>
        <v/>
      </c>
      <c r="CO12" s="66" t="str">
        <f t="shared" si="7"/>
        <v/>
      </c>
      <c r="CP12" s="66" t="str">
        <f t="shared" si="7"/>
        <v/>
      </c>
      <c r="CQ12" s="66" t="str">
        <f t="shared" si="7"/>
        <v/>
      </c>
      <c r="CR12" s="66" t="str">
        <f t="shared" si="7"/>
        <v/>
      </c>
      <c r="CS12" s="66" t="str">
        <f t="shared" si="7"/>
        <v/>
      </c>
      <c r="CT12" s="66" t="str">
        <f t="shared" si="7"/>
        <v/>
      </c>
      <c r="CU12" s="66" t="str">
        <f t="shared" si="7"/>
        <v/>
      </c>
      <c r="CV12" s="3"/>
    </row>
    <row r="13" spans="1:100">
      <c r="A13" s="35">
        <v>1057006</v>
      </c>
      <c r="B13" s="1">
        <v>24</v>
      </c>
      <c r="C13" s="25" t="str">
        <f t="shared" si="4"/>
        <v>1057006-24</v>
      </c>
      <c r="D13" s="24" t="s">
        <v>87</v>
      </c>
      <c r="E13" s="32" t="s">
        <v>93</v>
      </c>
      <c r="F13" s="27">
        <v>42798</v>
      </c>
      <c r="G13" s="33">
        <v>28.5</v>
      </c>
      <c r="H13" s="27">
        <v>42808</v>
      </c>
      <c r="I13" s="33">
        <v>29.4</v>
      </c>
      <c r="J13" s="34"/>
      <c r="K13" s="71">
        <v>29.4</v>
      </c>
      <c r="L13" s="76">
        <v>29.8</v>
      </c>
      <c r="M13" s="76">
        <v>29.5</v>
      </c>
      <c r="N13" s="76">
        <v>29.6</v>
      </c>
      <c r="O13" s="76"/>
      <c r="P13" s="76">
        <v>29.2</v>
      </c>
      <c r="Q13" s="76">
        <v>28.5</v>
      </c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2"/>
      <c r="BD13" s="66">
        <f t="shared" si="5"/>
        <v>1</v>
      </c>
      <c r="BE13" s="66">
        <f t="shared" si="5"/>
        <v>1.0136054421768708</v>
      </c>
      <c r="BF13" s="66">
        <f t="shared" si="5"/>
        <v>1.0034013605442178</v>
      </c>
      <c r="BG13" s="66">
        <f t="shared" si="5"/>
        <v>1.0068027210884354</v>
      </c>
      <c r="BH13" s="66" t="str">
        <f t="shared" si="5"/>
        <v/>
      </c>
      <c r="BI13" s="66">
        <f t="shared" si="5"/>
        <v>0.99319727891156462</v>
      </c>
      <c r="BJ13" s="66">
        <f t="shared" si="5"/>
        <v>0.96938775510204089</v>
      </c>
      <c r="BK13" s="66" t="str">
        <f t="shared" si="5"/>
        <v/>
      </c>
      <c r="BL13" s="66" t="str">
        <f t="shared" si="5"/>
        <v/>
      </c>
      <c r="BM13" s="66" t="str">
        <f t="shared" si="5"/>
        <v/>
      </c>
      <c r="BN13" s="66" t="str">
        <f t="shared" si="5"/>
        <v/>
      </c>
      <c r="BO13" s="66" t="str">
        <f t="shared" si="5"/>
        <v/>
      </c>
      <c r="BP13" s="66" t="str">
        <f t="shared" si="5"/>
        <v/>
      </c>
      <c r="BQ13" s="66" t="str">
        <f t="shared" si="5"/>
        <v/>
      </c>
      <c r="BR13" s="66" t="str">
        <f t="shared" si="5"/>
        <v/>
      </c>
      <c r="BS13" s="66" t="str">
        <f t="shared" si="5"/>
        <v/>
      </c>
      <c r="BT13" s="66" t="str">
        <f t="shared" si="6"/>
        <v/>
      </c>
      <c r="BU13" s="66" t="str">
        <f t="shared" si="6"/>
        <v/>
      </c>
      <c r="BV13" s="66" t="str">
        <f t="shared" si="6"/>
        <v/>
      </c>
      <c r="BW13" s="66" t="str">
        <f t="shared" si="6"/>
        <v/>
      </c>
      <c r="BX13" s="66" t="str">
        <f t="shared" si="6"/>
        <v/>
      </c>
      <c r="BY13" s="66" t="str">
        <f t="shared" si="6"/>
        <v/>
      </c>
      <c r="BZ13" s="66" t="str">
        <f t="shared" si="6"/>
        <v/>
      </c>
      <c r="CA13" s="66" t="str">
        <f t="shared" si="6"/>
        <v/>
      </c>
      <c r="CB13" s="66" t="str">
        <f t="shared" si="6"/>
        <v/>
      </c>
      <c r="CC13" s="66" t="str">
        <f t="shared" si="6"/>
        <v/>
      </c>
      <c r="CD13" s="66" t="str">
        <f t="shared" si="6"/>
        <v/>
      </c>
      <c r="CE13" s="66" t="str">
        <f t="shared" si="6"/>
        <v/>
      </c>
      <c r="CF13" s="66" t="str">
        <f t="shared" si="6"/>
        <v/>
      </c>
      <c r="CG13" s="66" t="str">
        <f t="shared" si="6"/>
        <v/>
      </c>
      <c r="CH13" s="66" t="str">
        <f t="shared" si="6"/>
        <v/>
      </c>
      <c r="CI13" s="66" t="str">
        <f t="shared" si="6"/>
        <v/>
      </c>
      <c r="CJ13" s="66" t="str">
        <f t="shared" si="7"/>
        <v/>
      </c>
      <c r="CK13" s="66" t="str">
        <f t="shared" si="7"/>
        <v/>
      </c>
      <c r="CL13" s="66" t="str">
        <f t="shared" si="7"/>
        <v/>
      </c>
      <c r="CM13" s="66" t="str">
        <f t="shared" si="7"/>
        <v/>
      </c>
      <c r="CN13" s="66" t="str">
        <f t="shared" si="7"/>
        <v/>
      </c>
      <c r="CO13" s="66" t="str">
        <f t="shared" si="7"/>
        <v/>
      </c>
      <c r="CP13" s="66" t="str">
        <f t="shared" si="7"/>
        <v/>
      </c>
      <c r="CQ13" s="66" t="str">
        <f t="shared" si="7"/>
        <v/>
      </c>
      <c r="CR13" s="66" t="str">
        <f t="shared" si="7"/>
        <v/>
      </c>
      <c r="CS13" s="66" t="str">
        <f t="shared" si="7"/>
        <v/>
      </c>
      <c r="CT13" s="66" t="str">
        <f t="shared" si="7"/>
        <v/>
      </c>
      <c r="CU13" s="66" t="str">
        <f t="shared" si="7"/>
        <v/>
      </c>
      <c r="CV13" s="3"/>
    </row>
    <row r="14" spans="1:100">
      <c r="A14" s="35">
        <v>1057006</v>
      </c>
      <c r="B14" s="1">
        <v>25</v>
      </c>
      <c r="C14" s="25" t="str">
        <f t="shared" si="4"/>
        <v>1057006-25</v>
      </c>
      <c r="D14" s="24" t="s">
        <v>87</v>
      </c>
      <c r="E14" s="32" t="s">
        <v>93</v>
      </c>
      <c r="F14" s="27">
        <v>42798</v>
      </c>
      <c r="G14" s="33">
        <v>30.2</v>
      </c>
      <c r="H14" s="27">
        <v>42808</v>
      </c>
      <c r="I14" s="33">
        <v>31.8</v>
      </c>
      <c r="J14" s="34"/>
      <c r="K14" s="71">
        <v>31.8</v>
      </c>
      <c r="L14" s="76">
        <v>32.1</v>
      </c>
      <c r="M14" s="76">
        <v>31.3</v>
      </c>
      <c r="N14" s="76">
        <v>30.5</v>
      </c>
      <c r="O14" s="76"/>
      <c r="P14" s="76">
        <v>30.2</v>
      </c>
      <c r="Q14" s="76">
        <v>30.7</v>
      </c>
      <c r="R14" s="76">
        <v>30.6</v>
      </c>
      <c r="S14" s="76">
        <v>30.7</v>
      </c>
      <c r="T14" s="76">
        <v>31.8</v>
      </c>
      <c r="U14" s="76">
        <v>32.9</v>
      </c>
      <c r="V14" s="76">
        <v>33</v>
      </c>
      <c r="W14" s="76">
        <v>32.799999999999997</v>
      </c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2"/>
      <c r="BD14" s="66">
        <f t="shared" si="5"/>
        <v>1</v>
      </c>
      <c r="BE14" s="66">
        <f t="shared" si="5"/>
        <v>1.0094339622641511</v>
      </c>
      <c r="BF14" s="66">
        <f t="shared" si="5"/>
        <v>0.98427672955974843</v>
      </c>
      <c r="BG14" s="66">
        <f t="shared" si="5"/>
        <v>0.95911949685534592</v>
      </c>
      <c r="BH14" s="66" t="str">
        <f t="shared" si="5"/>
        <v/>
      </c>
      <c r="BI14" s="66">
        <f t="shared" si="5"/>
        <v>0.94968553459119498</v>
      </c>
      <c r="BJ14" s="66">
        <f t="shared" si="5"/>
        <v>0.96540880503144655</v>
      </c>
      <c r="BK14" s="66">
        <f t="shared" si="5"/>
        <v>0.96226415094339623</v>
      </c>
      <c r="BL14" s="66">
        <f t="shared" si="5"/>
        <v>0.96540880503144655</v>
      </c>
      <c r="BM14" s="66">
        <f t="shared" si="5"/>
        <v>1</v>
      </c>
      <c r="BN14" s="66">
        <f t="shared" si="5"/>
        <v>1.0345911949685533</v>
      </c>
      <c r="BO14" s="66">
        <f t="shared" si="5"/>
        <v>1.0377358490566038</v>
      </c>
      <c r="BP14" s="66">
        <f t="shared" si="5"/>
        <v>1.0314465408805031</v>
      </c>
      <c r="BQ14" s="66" t="str">
        <f t="shared" si="5"/>
        <v/>
      </c>
      <c r="BR14" s="66" t="str">
        <f t="shared" si="5"/>
        <v/>
      </c>
      <c r="BS14" s="66" t="str">
        <f t="shared" si="5"/>
        <v/>
      </c>
      <c r="BT14" s="66" t="str">
        <f t="shared" si="6"/>
        <v/>
      </c>
      <c r="BU14" s="66" t="str">
        <f t="shared" si="6"/>
        <v/>
      </c>
      <c r="BV14" s="66" t="str">
        <f t="shared" si="6"/>
        <v/>
      </c>
      <c r="BW14" s="66" t="str">
        <f t="shared" si="6"/>
        <v/>
      </c>
      <c r="BX14" s="66" t="str">
        <f t="shared" si="6"/>
        <v/>
      </c>
      <c r="BY14" s="66" t="str">
        <f t="shared" si="6"/>
        <v/>
      </c>
      <c r="BZ14" s="66" t="str">
        <f t="shared" si="6"/>
        <v/>
      </c>
      <c r="CA14" s="66" t="str">
        <f t="shared" si="6"/>
        <v/>
      </c>
      <c r="CB14" s="66" t="str">
        <f t="shared" si="6"/>
        <v/>
      </c>
      <c r="CC14" s="66" t="str">
        <f t="shared" si="6"/>
        <v/>
      </c>
      <c r="CD14" s="66" t="str">
        <f t="shared" si="6"/>
        <v/>
      </c>
      <c r="CE14" s="66" t="str">
        <f t="shared" si="6"/>
        <v/>
      </c>
      <c r="CF14" s="66" t="str">
        <f t="shared" si="6"/>
        <v/>
      </c>
      <c r="CG14" s="66" t="str">
        <f t="shared" si="6"/>
        <v/>
      </c>
      <c r="CH14" s="66" t="str">
        <f t="shared" si="6"/>
        <v/>
      </c>
      <c r="CI14" s="66" t="str">
        <f t="shared" si="6"/>
        <v/>
      </c>
      <c r="CJ14" s="66" t="str">
        <f t="shared" si="7"/>
        <v/>
      </c>
      <c r="CK14" s="66" t="str">
        <f t="shared" si="7"/>
        <v/>
      </c>
      <c r="CL14" s="66" t="str">
        <f t="shared" si="7"/>
        <v/>
      </c>
      <c r="CM14" s="66" t="str">
        <f t="shared" si="7"/>
        <v/>
      </c>
      <c r="CN14" s="66" t="str">
        <f t="shared" si="7"/>
        <v/>
      </c>
      <c r="CO14" s="66" t="str">
        <f t="shared" si="7"/>
        <v/>
      </c>
      <c r="CP14" s="66" t="str">
        <f t="shared" si="7"/>
        <v/>
      </c>
      <c r="CQ14" s="66" t="str">
        <f t="shared" si="7"/>
        <v/>
      </c>
      <c r="CR14" s="66" t="str">
        <f t="shared" si="7"/>
        <v/>
      </c>
      <c r="CS14" s="66" t="str">
        <f t="shared" si="7"/>
        <v/>
      </c>
      <c r="CT14" s="66" t="str">
        <f t="shared" si="7"/>
        <v/>
      </c>
      <c r="CU14" s="66" t="str">
        <f t="shared" si="7"/>
        <v/>
      </c>
      <c r="CV14" s="3"/>
    </row>
    <row r="15" spans="1:100">
      <c r="A15" s="35">
        <v>1057005</v>
      </c>
      <c r="B15" s="1">
        <v>31</v>
      </c>
      <c r="C15" s="25" t="str">
        <f t="shared" si="4"/>
        <v>1057005-31</v>
      </c>
      <c r="D15" s="24" t="s">
        <v>87</v>
      </c>
      <c r="E15" s="32" t="s">
        <v>94</v>
      </c>
      <c r="F15" s="27">
        <v>42798</v>
      </c>
      <c r="G15" s="33">
        <v>26.1</v>
      </c>
      <c r="H15" s="27">
        <v>42808</v>
      </c>
      <c r="I15" s="33">
        <v>27.7</v>
      </c>
      <c r="J15" s="34"/>
      <c r="K15" s="71">
        <v>27.7</v>
      </c>
      <c r="L15" s="76">
        <v>26.8</v>
      </c>
      <c r="M15" s="76">
        <v>27.4</v>
      </c>
      <c r="N15" s="76">
        <v>26.8</v>
      </c>
      <c r="O15" s="76"/>
      <c r="P15" s="76">
        <v>26.2</v>
      </c>
      <c r="Q15" s="76">
        <v>26.6</v>
      </c>
      <c r="R15" s="76">
        <v>26.8</v>
      </c>
      <c r="S15" s="76">
        <v>26.4</v>
      </c>
      <c r="T15" s="76">
        <v>26.2</v>
      </c>
      <c r="U15" s="76">
        <v>26.9</v>
      </c>
      <c r="V15" s="76">
        <v>26.5</v>
      </c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2"/>
      <c r="BD15" s="66">
        <f t="shared" si="5"/>
        <v>1</v>
      </c>
      <c r="BE15" s="66">
        <f t="shared" si="5"/>
        <v>0.96750902527075822</v>
      </c>
      <c r="BF15" s="66">
        <f t="shared" si="5"/>
        <v>0.98916967509025266</v>
      </c>
      <c r="BG15" s="66">
        <f t="shared" si="5"/>
        <v>0.96750902527075822</v>
      </c>
      <c r="BH15" s="66" t="str">
        <f t="shared" si="5"/>
        <v/>
      </c>
      <c r="BI15" s="66">
        <f t="shared" si="5"/>
        <v>0.94584837545126355</v>
      </c>
      <c r="BJ15" s="66">
        <f t="shared" si="5"/>
        <v>0.96028880866426003</v>
      </c>
      <c r="BK15" s="66">
        <f t="shared" si="5"/>
        <v>0.96750902527075822</v>
      </c>
      <c r="BL15" s="66">
        <f t="shared" si="5"/>
        <v>0.95306859205776173</v>
      </c>
      <c r="BM15" s="66">
        <f t="shared" si="5"/>
        <v>0.94584837545126355</v>
      </c>
      <c r="BN15" s="66">
        <f t="shared" si="5"/>
        <v>0.97111913357400714</v>
      </c>
      <c r="BO15" s="66">
        <f t="shared" si="5"/>
        <v>0.95667870036101088</v>
      </c>
      <c r="BP15" s="66" t="str">
        <f t="shared" si="5"/>
        <v/>
      </c>
      <c r="BQ15" s="66" t="str">
        <f t="shared" si="5"/>
        <v/>
      </c>
      <c r="BR15" s="66" t="str">
        <f t="shared" si="5"/>
        <v/>
      </c>
      <c r="BS15" s="66" t="str">
        <f t="shared" si="5"/>
        <v/>
      </c>
      <c r="BT15" s="66" t="str">
        <f t="shared" si="6"/>
        <v/>
      </c>
      <c r="BU15" s="66" t="str">
        <f t="shared" si="6"/>
        <v/>
      </c>
      <c r="BV15" s="66" t="str">
        <f t="shared" si="6"/>
        <v/>
      </c>
      <c r="BW15" s="66" t="str">
        <f t="shared" si="6"/>
        <v/>
      </c>
      <c r="BX15" s="66" t="str">
        <f t="shared" si="6"/>
        <v/>
      </c>
      <c r="BY15" s="66" t="str">
        <f t="shared" si="6"/>
        <v/>
      </c>
      <c r="BZ15" s="66" t="str">
        <f t="shared" si="6"/>
        <v/>
      </c>
      <c r="CA15" s="66" t="str">
        <f t="shared" si="6"/>
        <v/>
      </c>
      <c r="CB15" s="66" t="str">
        <f t="shared" si="6"/>
        <v/>
      </c>
      <c r="CC15" s="66" t="str">
        <f t="shared" si="6"/>
        <v/>
      </c>
      <c r="CD15" s="66" t="str">
        <f t="shared" si="6"/>
        <v/>
      </c>
      <c r="CE15" s="66" t="str">
        <f t="shared" si="6"/>
        <v/>
      </c>
      <c r="CF15" s="66" t="str">
        <f t="shared" si="6"/>
        <v/>
      </c>
      <c r="CG15" s="66" t="str">
        <f t="shared" si="6"/>
        <v/>
      </c>
      <c r="CH15" s="66" t="str">
        <f t="shared" si="6"/>
        <v/>
      </c>
      <c r="CI15" s="66" t="str">
        <f t="shared" si="6"/>
        <v/>
      </c>
      <c r="CJ15" s="66" t="str">
        <f t="shared" si="7"/>
        <v/>
      </c>
      <c r="CK15" s="66" t="str">
        <f t="shared" si="7"/>
        <v/>
      </c>
      <c r="CL15" s="66" t="str">
        <f t="shared" si="7"/>
        <v/>
      </c>
      <c r="CM15" s="66" t="str">
        <f t="shared" si="7"/>
        <v/>
      </c>
      <c r="CN15" s="66" t="str">
        <f t="shared" si="7"/>
        <v/>
      </c>
      <c r="CO15" s="66" t="str">
        <f t="shared" si="7"/>
        <v/>
      </c>
      <c r="CP15" s="66" t="str">
        <f t="shared" si="7"/>
        <v/>
      </c>
      <c r="CQ15" s="66" t="str">
        <f t="shared" si="7"/>
        <v/>
      </c>
      <c r="CR15" s="66" t="str">
        <f t="shared" si="7"/>
        <v/>
      </c>
      <c r="CS15" s="66" t="str">
        <f t="shared" si="7"/>
        <v/>
      </c>
      <c r="CT15" s="66" t="str">
        <f t="shared" si="7"/>
        <v/>
      </c>
      <c r="CU15" s="66" t="str">
        <f t="shared" si="7"/>
        <v/>
      </c>
      <c r="CV15" s="3"/>
    </row>
    <row r="16" spans="1:100">
      <c r="A16" s="35">
        <v>1057005</v>
      </c>
      <c r="B16" s="1">
        <v>32</v>
      </c>
      <c r="C16" s="25" t="str">
        <f t="shared" si="4"/>
        <v>1057005-32</v>
      </c>
      <c r="D16" s="24" t="s">
        <v>87</v>
      </c>
      <c r="E16" s="32"/>
      <c r="F16" s="27">
        <v>42798</v>
      </c>
      <c r="G16" s="33">
        <v>29.4</v>
      </c>
      <c r="H16" s="27">
        <v>42808</v>
      </c>
      <c r="I16" s="33">
        <v>31.6</v>
      </c>
      <c r="J16" s="34"/>
      <c r="K16" s="71">
        <v>31.6</v>
      </c>
      <c r="L16" s="76">
        <v>30.4</v>
      </c>
      <c r="M16" s="76">
        <v>30.4</v>
      </c>
      <c r="N16" s="76">
        <v>30</v>
      </c>
      <c r="O16" s="76"/>
      <c r="P16" s="76">
        <v>28.6</v>
      </c>
      <c r="Q16" s="76">
        <v>27.7</v>
      </c>
      <c r="R16" s="76">
        <v>27.9</v>
      </c>
      <c r="S16" s="76">
        <v>26.7</v>
      </c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2"/>
      <c r="BD16" s="66">
        <f t="shared" si="5"/>
        <v>1</v>
      </c>
      <c r="BE16" s="66">
        <f t="shared" si="5"/>
        <v>0.96202531645569611</v>
      </c>
      <c r="BF16" s="66">
        <f t="shared" si="5"/>
        <v>0.96202531645569611</v>
      </c>
      <c r="BG16" s="66">
        <f t="shared" si="5"/>
        <v>0.94936708860759489</v>
      </c>
      <c r="BH16" s="66" t="str">
        <f t="shared" si="5"/>
        <v/>
      </c>
      <c r="BI16" s="66">
        <f t="shared" si="5"/>
        <v>0.90506329113924056</v>
      </c>
      <c r="BJ16" s="66">
        <f t="shared" si="5"/>
        <v>0.87658227848101256</v>
      </c>
      <c r="BK16" s="66">
        <f t="shared" si="5"/>
        <v>0.88291139240506322</v>
      </c>
      <c r="BL16" s="66">
        <f t="shared" si="5"/>
        <v>0.84493670886075944</v>
      </c>
      <c r="BM16" s="66" t="str">
        <f t="shared" si="5"/>
        <v/>
      </c>
      <c r="BN16" s="66" t="str">
        <f t="shared" si="5"/>
        <v/>
      </c>
      <c r="BO16" s="66" t="str">
        <f t="shared" si="5"/>
        <v/>
      </c>
      <c r="BP16" s="66" t="str">
        <f t="shared" si="5"/>
        <v/>
      </c>
      <c r="BQ16" s="66" t="str">
        <f t="shared" si="5"/>
        <v/>
      </c>
      <c r="BR16" s="66" t="str">
        <f t="shared" si="5"/>
        <v/>
      </c>
      <c r="BS16" s="66" t="str">
        <f t="shared" si="5"/>
        <v/>
      </c>
      <c r="BT16" s="66" t="str">
        <f t="shared" si="6"/>
        <v/>
      </c>
      <c r="BU16" s="66" t="str">
        <f t="shared" si="6"/>
        <v/>
      </c>
      <c r="BV16" s="66" t="str">
        <f t="shared" si="6"/>
        <v/>
      </c>
      <c r="BW16" s="66" t="str">
        <f t="shared" si="6"/>
        <v/>
      </c>
      <c r="BX16" s="66" t="str">
        <f t="shared" si="6"/>
        <v/>
      </c>
      <c r="BY16" s="66" t="str">
        <f t="shared" si="6"/>
        <v/>
      </c>
      <c r="BZ16" s="66" t="str">
        <f t="shared" si="6"/>
        <v/>
      </c>
      <c r="CA16" s="66" t="str">
        <f t="shared" si="6"/>
        <v/>
      </c>
      <c r="CB16" s="66" t="str">
        <f t="shared" si="6"/>
        <v/>
      </c>
      <c r="CC16" s="66" t="str">
        <f t="shared" si="6"/>
        <v/>
      </c>
      <c r="CD16" s="66" t="str">
        <f t="shared" si="6"/>
        <v/>
      </c>
      <c r="CE16" s="66" t="str">
        <f t="shared" si="6"/>
        <v/>
      </c>
      <c r="CF16" s="66" t="str">
        <f t="shared" si="6"/>
        <v/>
      </c>
      <c r="CG16" s="66" t="str">
        <f t="shared" si="6"/>
        <v/>
      </c>
      <c r="CH16" s="66" t="str">
        <f t="shared" si="6"/>
        <v/>
      </c>
      <c r="CI16" s="66" t="str">
        <f t="shared" si="6"/>
        <v/>
      </c>
      <c r="CJ16" s="66" t="str">
        <f t="shared" si="7"/>
        <v/>
      </c>
      <c r="CK16" s="66" t="str">
        <f t="shared" si="7"/>
        <v/>
      </c>
      <c r="CL16" s="66" t="str">
        <f t="shared" si="7"/>
        <v/>
      </c>
      <c r="CM16" s="66" t="str">
        <f t="shared" si="7"/>
        <v/>
      </c>
      <c r="CN16" s="66" t="str">
        <f t="shared" si="7"/>
        <v/>
      </c>
      <c r="CO16" s="66" t="str">
        <f t="shared" si="7"/>
        <v/>
      </c>
      <c r="CP16" s="66" t="str">
        <f t="shared" si="7"/>
        <v/>
      </c>
      <c r="CQ16" s="66" t="str">
        <f t="shared" si="7"/>
        <v/>
      </c>
      <c r="CR16" s="66" t="str">
        <f t="shared" si="7"/>
        <v/>
      </c>
      <c r="CS16" s="66" t="str">
        <f t="shared" si="7"/>
        <v/>
      </c>
      <c r="CT16" s="66" t="str">
        <f t="shared" si="7"/>
        <v/>
      </c>
      <c r="CU16" s="66" t="str">
        <f t="shared" si="7"/>
        <v/>
      </c>
      <c r="CV16" s="3"/>
    </row>
    <row r="17" spans="1:100">
      <c r="A17" s="35">
        <v>1057005</v>
      </c>
      <c r="B17" s="1">
        <v>33</v>
      </c>
      <c r="C17" s="25" t="str">
        <f t="shared" si="4"/>
        <v>1057005-33</v>
      </c>
      <c r="D17" s="24" t="s">
        <v>87</v>
      </c>
      <c r="E17" s="32" t="s">
        <v>93</v>
      </c>
      <c r="F17" s="27">
        <v>42798</v>
      </c>
      <c r="G17" s="33">
        <v>27.2</v>
      </c>
      <c r="H17" s="27">
        <v>42808</v>
      </c>
      <c r="I17" s="33">
        <v>30.1</v>
      </c>
      <c r="J17" s="34"/>
      <c r="K17" s="71">
        <v>30.1</v>
      </c>
      <c r="L17" s="76">
        <v>29</v>
      </c>
      <c r="M17" s="76">
        <v>29.8</v>
      </c>
      <c r="N17" s="76">
        <v>29.5</v>
      </c>
      <c r="O17" s="76"/>
      <c r="P17" s="76">
        <v>29.5</v>
      </c>
      <c r="Q17" s="76">
        <v>29.3</v>
      </c>
      <c r="R17" s="76">
        <v>29.6</v>
      </c>
      <c r="S17" s="76">
        <v>28.6</v>
      </c>
      <c r="T17" s="76">
        <v>29.6</v>
      </c>
      <c r="U17" s="76">
        <v>30.3</v>
      </c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2"/>
      <c r="BD17" s="66">
        <f t="shared" si="5"/>
        <v>1</v>
      </c>
      <c r="BE17" s="66">
        <f t="shared" si="5"/>
        <v>0.96345514950166111</v>
      </c>
      <c r="BF17" s="66">
        <f t="shared" si="5"/>
        <v>0.99003322259136206</v>
      </c>
      <c r="BG17" s="66">
        <f t="shared" si="5"/>
        <v>0.98006644518272423</v>
      </c>
      <c r="BH17" s="66" t="str">
        <f t="shared" si="5"/>
        <v/>
      </c>
      <c r="BI17" s="66">
        <f t="shared" si="5"/>
        <v>0.98006644518272423</v>
      </c>
      <c r="BJ17" s="66">
        <f t="shared" si="5"/>
        <v>0.97342192691029894</v>
      </c>
      <c r="BK17" s="66">
        <f t="shared" si="5"/>
        <v>0.98338870431893688</v>
      </c>
      <c r="BL17" s="66">
        <f t="shared" si="5"/>
        <v>0.95016611295681064</v>
      </c>
      <c r="BM17" s="66">
        <f t="shared" si="5"/>
        <v>0.98338870431893688</v>
      </c>
      <c r="BN17" s="66">
        <f t="shared" si="5"/>
        <v>1.0066445182724253</v>
      </c>
      <c r="BO17" s="66" t="str">
        <f t="shared" si="5"/>
        <v/>
      </c>
      <c r="BP17" s="66" t="str">
        <f t="shared" si="5"/>
        <v/>
      </c>
      <c r="BQ17" s="66" t="str">
        <f t="shared" si="5"/>
        <v/>
      </c>
      <c r="BR17" s="66" t="str">
        <f t="shared" si="5"/>
        <v/>
      </c>
      <c r="BS17" s="66" t="str">
        <f t="shared" si="5"/>
        <v/>
      </c>
      <c r="BT17" s="66" t="str">
        <f t="shared" si="6"/>
        <v/>
      </c>
      <c r="BU17" s="66" t="str">
        <f t="shared" si="6"/>
        <v/>
      </c>
      <c r="BV17" s="66" t="str">
        <f t="shared" si="6"/>
        <v/>
      </c>
      <c r="BW17" s="66" t="str">
        <f t="shared" si="6"/>
        <v/>
      </c>
      <c r="BX17" s="66" t="str">
        <f t="shared" si="6"/>
        <v/>
      </c>
      <c r="BY17" s="66" t="str">
        <f t="shared" si="6"/>
        <v/>
      </c>
      <c r="BZ17" s="66" t="str">
        <f t="shared" si="6"/>
        <v/>
      </c>
      <c r="CA17" s="66" t="str">
        <f t="shared" si="6"/>
        <v/>
      </c>
      <c r="CB17" s="66" t="str">
        <f t="shared" si="6"/>
        <v/>
      </c>
      <c r="CC17" s="66" t="str">
        <f t="shared" si="6"/>
        <v/>
      </c>
      <c r="CD17" s="66" t="str">
        <f t="shared" si="6"/>
        <v/>
      </c>
      <c r="CE17" s="66" t="str">
        <f t="shared" si="6"/>
        <v/>
      </c>
      <c r="CF17" s="66" t="str">
        <f t="shared" si="6"/>
        <v/>
      </c>
      <c r="CG17" s="66" t="str">
        <f t="shared" si="6"/>
        <v/>
      </c>
      <c r="CH17" s="66" t="str">
        <f t="shared" si="6"/>
        <v/>
      </c>
      <c r="CI17" s="66" t="str">
        <f t="shared" si="6"/>
        <v/>
      </c>
      <c r="CJ17" s="66" t="str">
        <f t="shared" si="7"/>
        <v/>
      </c>
      <c r="CK17" s="66" t="str">
        <f t="shared" si="7"/>
        <v/>
      </c>
      <c r="CL17" s="66" t="str">
        <f t="shared" si="7"/>
        <v/>
      </c>
      <c r="CM17" s="66" t="str">
        <f t="shared" si="7"/>
        <v/>
      </c>
      <c r="CN17" s="66" t="str">
        <f t="shared" si="7"/>
        <v/>
      </c>
      <c r="CO17" s="66" t="str">
        <f t="shared" si="7"/>
        <v/>
      </c>
      <c r="CP17" s="66" t="str">
        <f t="shared" si="7"/>
        <v/>
      </c>
      <c r="CQ17" s="66" t="str">
        <f t="shared" si="7"/>
        <v/>
      </c>
      <c r="CR17" s="66" t="str">
        <f t="shared" si="7"/>
        <v/>
      </c>
      <c r="CS17" s="66" t="str">
        <f t="shared" si="7"/>
        <v/>
      </c>
      <c r="CT17" s="66" t="str">
        <f t="shared" si="7"/>
        <v/>
      </c>
      <c r="CU17" s="66" t="str">
        <f t="shared" si="7"/>
        <v/>
      </c>
      <c r="CV17" s="3"/>
    </row>
    <row r="18" spans="1:100">
      <c r="A18" s="35">
        <v>1057005</v>
      </c>
      <c r="B18" s="1">
        <v>34</v>
      </c>
      <c r="C18" s="25" t="str">
        <f t="shared" si="4"/>
        <v>1057005-34</v>
      </c>
      <c r="D18" s="24" t="s">
        <v>87</v>
      </c>
      <c r="E18" s="32" t="s">
        <v>94</v>
      </c>
      <c r="F18" s="27">
        <v>42798</v>
      </c>
      <c r="G18" s="33">
        <v>25.4</v>
      </c>
      <c r="H18" s="27">
        <v>42808</v>
      </c>
      <c r="I18" s="33">
        <v>27</v>
      </c>
      <c r="J18" s="34"/>
      <c r="K18" s="71">
        <v>27</v>
      </c>
      <c r="L18" s="76">
        <v>26.7</v>
      </c>
      <c r="M18" s="76">
        <v>24.7</v>
      </c>
      <c r="N18" s="76">
        <v>21.9</v>
      </c>
      <c r="O18" s="76">
        <v>21.3</v>
      </c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2"/>
      <c r="BD18" s="66">
        <f t="shared" si="5"/>
        <v>1</v>
      </c>
      <c r="BE18" s="66">
        <f t="shared" si="5"/>
        <v>0.98888888888888882</v>
      </c>
      <c r="BF18" s="66">
        <f t="shared" si="5"/>
        <v>0.91481481481481475</v>
      </c>
      <c r="BG18" s="66">
        <f t="shared" si="5"/>
        <v>0.81111111111111101</v>
      </c>
      <c r="BH18" s="66">
        <f t="shared" si="5"/>
        <v>0.78888888888888886</v>
      </c>
      <c r="BI18" s="66" t="str">
        <f t="shared" si="5"/>
        <v/>
      </c>
      <c r="BJ18" s="66" t="str">
        <f t="shared" si="5"/>
        <v/>
      </c>
      <c r="BK18" s="66" t="str">
        <f t="shared" si="5"/>
        <v/>
      </c>
      <c r="BL18" s="66" t="str">
        <f t="shared" si="5"/>
        <v/>
      </c>
      <c r="BM18" s="66" t="str">
        <f t="shared" si="5"/>
        <v/>
      </c>
      <c r="BN18" s="66" t="str">
        <f t="shared" si="5"/>
        <v/>
      </c>
      <c r="BO18" s="66" t="str">
        <f t="shared" si="5"/>
        <v/>
      </c>
      <c r="BP18" s="66" t="str">
        <f t="shared" si="5"/>
        <v/>
      </c>
      <c r="BQ18" s="66" t="str">
        <f t="shared" si="5"/>
        <v/>
      </c>
      <c r="BR18" s="66" t="str">
        <f t="shared" si="5"/>
        <v/>
      </c>
      <c r="BS18" s="66" t="str">
        <f t="shared" si="5"/>
        <v/>
      </c>
      <c r="BT18" s="66" t="str">
        <f t="shared" si="6"/>
        <v/>
      </c>
      <c r="BU18" s="66" t="str">
        <f t="shared" si="6"/>
        <v/>
      </c>
      <c r="BV18" s="66" t="str">
        <f t="shared" si="6"/>
        <v/>
      </c>
      <c r="BW18" s="66" t="str">
        <f t="shared" si="6"/>
        <v/>
      </c>
      <c r="BX18" s="66" t="str">
        <f t="shared" si="6"/>
        <v/>
      </c>
      <c r="BY18" s="66" t="str">
        <f t="shared" si="6"/>
        <v/>
      </c>
      <c r="BZ18" s="66" t="str">
        <f t="shared" si="6"/>
        <v/>
      </c>
      <c r="CA18" s="66" t="str">
        <f t="shared" si="6"/>
        <v/>
      </c>
      <c r="CB18" s="66" t="str">
        <f t="shared" si="6"/>
        <v/>
      </c>
      <c r="CC18" s="66" t="str">
        <f t="shared" si="6"/>
        <v/>
      </c>
      <c r="CD18" s="66" t="str">
        <f t="shared" si="6"/>
        <v/>
      </c>
      <c r="CE18" s="66" t="str">
        <f t="shared" si="6"/>
        <v/>
      </c>
      <c r="CF18" s="66" t="str">
        <f t="shared" si="6"/>
        <v/>
      </c>
      <c r="CG18" s="66" t="str">
        <f t="shared" si="6"/>
        <v/>
      </c>
      <c r="CH18" s="66" t="str">
        <f t="shared" si="6"/>
        <v/>
      </c>
      <c r="CI18" s="66" t="str">
        <f t="shared" si="6"/>
        <v/>
      </c>
      <c r="CJ18" s="66" t="str">
        <f t="shared" si="7"/>
        <v/>
      </c>
      <c r="CK18" s="66" t="str">
        <f t="shared" si="7"/>
        <v/>
      </c>
      <c r="CL18" s="66" t="str">
        <f t="shared" si="7"/>
        <v/>
      </c>
      <c r="CM18" s="66" t="str">
        <f t="shared" si="7"/>
        <v/>
      </c>
      <c r="CN18" s="66" t="str">
        <f t="shared" si="7"/>
        <v/>
      </c>
      <c r="CO18" s="66" t="str">
        <f t="shared" si="7"/>
        <v/>
      </c>
      <c r="CP18" s="66" t="str">
        <f t="shared" si="7"/>
        <v/>
      </c>
      <c r="CQ18" s="66" t="str">
        <f t="shared" si="7"/>
        <v/>
      </c>
      <c r="CR18" s="66" t="str">
        <f t="shared" si="7"/>
        <v/>
      </c>
      <c r="CS18" s="66" t="str">
        <f t="shared" si="7"/>
        <v/>
      </c>
      <c r="CT18" s="66" t="str">
        <f t="shared" si="7"/>
        <v/>
      </c>
      <c r="CU18" s="66" t="str">
        <f t="shared" si="7"/>
        <v/>
      </c>
      <c r="CV18" s="3"/>
    </row>
    <row r="19" spans="1:100">
      <c r="A19" s="35">
        <v>1057005</v>
      </c>
      <c r="B19" s="1">
        <v>35</v>
      </c>
      <c r="C19" s="25" t="str">
        <f t="shared" si="4"/>
        <v>1057005-35</v>
      </c>
      <c r="D19" s="24" t="s">
        <v>87</v>
      </c>
      <c r="E19" s="32" t="s">
        <v>93</v>
      </c>
      <c r="F19" s="27">
        <v>42798</v>
      </c>
      <c r="G19" s="33">
        <v>29</v>
      </c>
      <c r="H19" s="27">
        <v>42808</v>
      </c>
      <c r="I19" s="33">
        <v>30.3</v>
      </c>
      <c r="J19" s="34"/>
      <c r="K19" s="71">
        <v>30.3</v>
      </c>
      <c r="L19" s="76">
        <v>29.8</v>
      </c>
      <c r="M19" s="76">
        <v>29.3</v>
      </c>
      <c r="N19" s="76">
        <v>26.7</v>
      </c>
      <c r="O19" s="76"/>
      <c r="P19" s="76">
        <v>26.7</v>
      </c>
      <c r="Q19" s="76">
        <v>26.4</v>
      </c>
      <c r="R19" s="76">
        <v>25.7</v>
      </c>
      <c r="S19" s="76">
        <v>26.5</v>
      </c>
      <c r="T19" s="76">
        <v>27</v>
      </c>
      <c r="U19" s="76">
        <v>27.2</v>
      </c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2"/>
      <c r="BD19" s="66">
        <f t="shared" si="5"/>
        <v>1</v>
      </c>
      <c r="BE19" s="66">
        <f t="shared" si="5"/>
        <v>0.98349834983498352</v>
      </c>
      <c r="BF19" s="66">
        <f t="shared" si="5"/>
        <v>0.96699669966996704</v>
      </c>
      <c r="BG19" s="66">
        <f t="shared" si="5"/>
        <v>0.88118811881188119</v>
      </c>
      <c r="BH19" s="66" t="str">
        <f t="shared" si="5"/>
        <v/>
      </c>
      <c r="BI19" s="66">
        <f t="shared" si="5"/>
        <v>0.88118811881188119</v>
      </c>
      <c r="BJ19" s="66">
        <f t="shared" si="5"/>
        <v>0.87128712871287117</v>
      </c>
      <c r="BK19" s="66">
        <f t="shared" si="5"/>
        <v>0.84818481848184812</v>
      </c>
      <c r="BL19" s="66">
        <f t="shared" si="5"/>
        <v>0.87458745874587451</v>
      </c>
      <c r="BM19" s="66">
        <f t="shared" si="5"/>
        <v>0.8910891089108911</v>
      </c>
      <c r="BN19" s="66">
        <f t="shared" si="5"/>
        <v>0.89768976897689767</v>
      </c>
      <c r="BO19" s="66" t="str">
        <f t="shared" si="5"/>
        <v/>
      </c>
      <c r="BP19" s="66" t="str">
        <f t="shared" si="5"/>
        <v/>
      </c>
      <c r="BQ19" s="66" t="str">
        <f t="shared" si="5"/>
        <v/>
      </c>
      <c r="BR19" s="66" t="str">
        <f t="shared" si="5"/>
        <v/>
      </c>
      <c r="BS19" s="66" t="str">
        <f t="shared" si="5"/>
        <v/>
      </c>
      <c r="BT19" s="66" t="str">
        <f t="shared" si="6"/>
        <v/>
      </c>
      <c r="BU19" s="66" t="str">
        <f t="shared" si="6"/>
        <v/>
      </c>
      <c r="BV19" s="66" t="str">
        <f t="shared" si="6"/>
        <v/>
      </c>
      <c r="BW19" s="66" t="str">
        <f t="shared" si="6"/>
        <v/>
      </c>
      <c r="BX19" s="66" t="str">
        <f t="shared" si="6"/>
        <v/>
      </c>
      <c r="BY19" s="66" t="str">
        <f t="shared" si="6"/>
        <v/>
      </c>
      <c r="BZ19" s="66" t="str">
        <f t="shared" si="6"/>
        <v/>
      </c>
      <c r="CA19" s="66" t="str">
        <f t="shared" si="6"/>
        <v/>
      </c>
      <c r="CB19" s="66" t="str">
        <f t="shared" si="6"/>
        <v/>
      </c>
      <c r="CC19" s="66" t="str">
        <f t="shared" si="6"/>
        <v/>
      </c>
      <c r="CD19" s="66" t="str">
        <f t="shared" si="6"/>
        <v/>
      </c>
      <c r="CE19" s="66" t="str">
        <f t="shared" si="6"/>
        <v/>
      </c>
      <c r="CF19" s="66" t="str">
        <f t="shared" si="6"/>
        <v/>
      </c>
      <c r="CG19" s="66" t="str">
        <f t="shared" si="6"/>
        <v/>
      </c>
      <c r="CH19" s="66" t="str">
        <f t="shared" si="6"/>
        <v/>
      </c>
      <c r="CI19" s="66" t="str">
        <f t="shared" si="6"/>
        <v/>
      </c>
      <c r="CJ19" s="66" t="str">
        <f t="shared" si="7"/>
        <v/>
      </c>
      <c r="CK19" s="66" t="str">
        <f t="shared" si="7"/>
        <v/>
      </c>
      <c r="CL19" s="66" t="str">
        <f t="shared" si="7"/>
        <v/>
      </c>
      <c r="CM19" s="66" t="str">
        <f t="shared" si="7"/>
        <v/>
      </c>
      <c r="CN19" s="66" t="str">
        <f t="shared" si="7"/>
        <v/>
      </c>
      <c r="CO19" s="66" t="str">
        <f t="shared" si="7"/>
        <v/>
      </c>
      <c r="CP19" s="66" t="str">
        <f t="shared" si="7"/>
        <v/>
      </c>
      <c r="CQ19" s="66" t="str">
        <f t="shared" si="7"/>
        <v/>
      </c>
      <c r="CR19" s="66" t="str">
        <f t="shared" si="7"/>
        <v/>
      </c>
      <c r="CS19" s="66" t="str">
        <f t="shared" si="7"/>
        <v/>
      </c>
      <c r="CT19" s="66" t="str">
        <f t="shared" si="7"/>
        <v/>
      </c>
      <c r="CU19" s="66" t="str">
        <f t="shared" si="7"/>
        <v/>
      </c>
      <c r="CV19" s="3"/>
    </row>
    <row r="20" spans="1:100">
      <c r="A20" s="35">
        <v>1057004</v>
      </c>
      <c r="B20" s="1">
        <v>41</v>
      </c>
      <c r="C20" s="25" t="str">
        <f t="shared" si="4"/>
        <v>1057004-41</v>
      </c>
      <c r="D20" s="24" t="s">
        <v>87</v>
      </c>
      <c r="E20" s="32" t="s">
        <v>94</v>
      </c>
      <c r="F20" s="27">
        <v>42798</v>
      </c>
      <c r="G20" s="33">
        <v>25.4</v>
      </c>
      <c r="H20" s="27">
        <v>42808</v>
      </c>
      <c r="I20" s="33">
        <v>27.8</v>
      </c>
      <c r="J20" s="34"/>
      <c r="K20" s="71">
        <v>27.8</v>
      </c>
      <c r="L20" s="76">
        <v>27.7</v>
      </c>
      <c r="M20" s="76">
        <v>27.7</v>
      </c>
      <c r="N20" s="76">
        <v>27.2</v>
      </c>
      <c r="O20" s="76"/>
      <c r="P20" s="76">
        <v>27.1</v>
      </c>
      <c r="Q20" s="76">
        <v>27.2</v>
      </c>
      <c r="R20" s="76">
        <v>27.9</v>
      </c>
      <c r="S20" s="76">
        <v>27.8</v>
      </c>
      <c r="T20" s="76">
        <v>28.6</v>
      </c>
      <c r="U20" s="76">
        <v>28.2</v>
      </c>
      <c r="V20" s="76">
        <v>28.6</v>
      </c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2"/>
      <c r="BD20" s="66">
        <f t="shared" si="5"/>
        <v>1</v>
      </c>
      <c r="BE20" s="66">
        <f t="shared" si="5"/>
        <v>0.99640287769784164</v>
      </c>
      <c r="BF20" s="66">
        <f t="shared" si="5"/>
        <v>0.99640287769784164</v>
      </c>
      <c r="BG20" s="66">
        <f t="shared" si="5"/>
        <v>0.97841726618705027</v>
      </c>
      <c r="BH20" s="66" t="str">
        <f t="shared" si="5"/>
        <v/>
      </c>
      <c r="BI20" s="66">
        <f t="shared" si="5"/>
        <v>0.97482014388489213</v>
      </c>
      <c r="BJ20" s="66">
        <f t="shared" si="5"/>
        <v>0.97841726618705027</v>
      </c>
      <c r="BK20" s="66">
        <f t="shared" si="5"/>
        <v>1.0035971223021583</v>
      </c>
      <c r="BL20" s="66">
        <f t="shared" si="5"/>
        <v>1</v>
      </c>
      <c r="BM20" s="66">
        <f t="shared" si="5"/>
        <v>1.0287769784172662</v>
      </c>
      <c r="BN20" s="66">
        <f t="shared" si="5"/>
        <v>1.014388489208633</v>
      </c>
      <c r="BO20" s="66">
        <f t="shared" si="5"/>
        <v>1.0287769784172662</v>
      </c>
      <c r="BP20" s="66" t="str">
        <f t="shared" si="5"/>
        <v/>
      </c>
      <c r="BQ20" s="66" t="str">
        <f t="shared" si="5"/>
        <v/>
      </c>
      <c r="BR20" s="66" t="str">
        <f t="shared" si="5"/>
        <v/>
      </c>
      <c r="BS20" s="66" t="str">
        <f t="shared" ref="BS20:CH35" si="8">IF(OR(ISERROR(Z20/$I20)=TRUE,ISBLANK(Z20)=TRUE),"",Z20/$I20)</f>
        <v/>
      </c>
      <c r="BT20" s="66" t="str">
        <f t="shared" si="6"/>
        <v/>
      </c>
      <c r="BU20" s="66" t="str">
        <f t="shared" si="6"/>
        <v/>
      </c>
      <c r="BV20" s="66" t="str">
        <f t="shared" si="6"/>
        <v/>
      </c>
      <c r="BW20" s="66" t="str">
        <f t="shared" si="6"/>
        <v/>
      </c>
      <c r="BX20" s="66" t="str">
        <f t="shared" si="6"/>
        <v/>
      </c>
      <c r="BY20" s="66" t="str">
        <f t="shared" si="6"/>
        <v/>
      </c>
      <c r="BZ20" s="66" t="str">
        <f t="shared" si="6"/>
        <v/>
      </c>
      <c r="CA20" s="66" t="str">
        <f t="shared" si="6"/>
        <v/>
      </c>
      <c r="CB20" s="66" t="str">
        <f t="shared" si="6"/>
        <v/>
      </c>
      <c r="CC20" s="66" t="str">
        <f t="shared" si="6"/>
        <v/>
      </c>
      <c r="CD20" s="66" t="str">
        <f t="shared" si="6"/>
        <v/>
      </c>
      <c r="CE20" s="66" t="str">
        <f t="shared" si="6"/>
        <v/>
      </c>
      <c r="CF20" s="66" t="str">
        <f t="shared" si="6"/>
        <v/>
      </c>
      <c r="CG20" s="66" t="str">
        <f t="shared" si="6"/>
        <v/>
      </c>
      <c r="CH20" s="66" t="str">
        <f t="shared" si="6"/>
        <v/>
      </c>
      <c r="CI20" s="66" t="str">
        <f t="shared" ref="CI20:CL35" si="9">IF(OR(ISERROR(AP20/$I20)=TRUE,ISBLANK(AP20)=TRUE),"",AP20/$I20)</f>
        <v/>
      </c>
      <c r="CJ20" s="66" t="str">
        <f t="shared" si="7"/>
        <v/>
      </c>
      <c r="CK20" s="66" t="str">
        <f t="shared" si="7"/>
        <v/>
      </c>
      <c r="CL20" s="66" t="str">
        <f t="shared" si="7"/>
        <v/>
      </c>
      <c r="CM20" s="66" t="str">
        <f t="shared" si="7"/>
        <v/>
      </c>
      <c r="CN20" s="66" t="str">
        <f t="shared" si="7"/>
        <v/>
      </c>
      <c r="CO20" s="66" t="str">
        <f t="shared" si="7"/>
        <v/>
      </c>
      <c r="CP20" s="66" t="str">
        <f t="shared" si="7"/>
        <v/>
      </c>
      <c r="CQ20" s="66" t="str">
        <f t="shared" si="7"/>
        <v/>
      </c>
      <c r="CR20" s="66" t="str">
        <f t="shared" si="7"/>
        <v/>
      </c>
      <c r="CS20" s="66" t="str">
        <f t="shared" si="7"/>
        <v/>
      </c>
      <c r="CT20" s="66" t="str">
        <f t="shared" si="7"/>
        <v/>
      </c>
      <c r="CU20" s="66" t="str">
        <f t="shared" si="7"/>
        <v/>
      </c>
      <c r="CV20" s="3"/>
    </row>
    <row r="21" spans="1:100">
      <c r="A21" s="35">
        <v>1057004</v>
      </c>
      <c r="B21" s="1">
        <v>42</v>
      </c>
      <c r="C21" s="25" t="str">
        <f t="shared" si="4"/>
        <v>1057004-42</v>
      </c>
      <c r="D21" s="24" t="s">
        <v>87</v>
      </c>
      <c r="E21" s="32" t="s">
        <v>94</v>
      </c>
      <c r="F21" s="27">
        <v>42798</v>
      </c>
      <c r="G21" s="33">
        <v>25.6</v>
      </c>
      <c r="H21" s="27">
        <v>42808</v>
      </c>
      <c r="I21" s="33">
        <v>27.4</v>
      </c>
      <c r="J21" s="34"/>
      <c r="K21" s="71">
        <v>27.4</v>
      </c>
      <c r="L21" s="76">
        <v>26.9</v>
      </c>
      <c r="M21" s="76">
        <v>27.3</v>
      </c>
      <c r="N21" s="76">
        <v>26.4</v>
      </c>
      <c r="O21" s="76"/>
      <c r="P21" s="76">
        <v>26.2</v>
      </c>
      <c r="Q21" s="76">
        <v>26.8</v>
      </c>
      <c r="R21" s="76">
        <v>27.1</v>
      </c>
      <c r="S21" s="76">
        <v>27.5</v>
      </c>
      <c r="T21" s="76">
        <v>27.4</v>
      </c>
      <c r="U21" s="76">
        <v>28.1</v>
      </c>
      <c r="V21" s="76">
        <v>27.3</v>
      </c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2"/>
      <c r="BD21" s="66">
        <f t="shared" ref="BD21:BR35" si="10">IF(OR(ISERROR(K21/$I21)=TRUE,ISBLANK(K21)=TRUE),"",K21/$I21)</f>
        <v>1</v>
      </c>
      <c r="BE21" s="66">
        <f t="shared" si="10"/>
        <v>0.98175182481751821</v>
      </c>
      <c r="BF21" s="66">
        <f t="shared" si="10"/>
        <v>0.99635036496350371</v>
      </c>
      <c r="BG21" s="66">
        <f t="shared" si="10"/>
        <v>0.96350364963503654</v>
      </c>
      <c r="BH21" s="66" t="str">
        <f t="shared" si="10"/>
        <v/>
      </c>
      <c r="BI21" s="66">
        <f t="shared" si="10"/>
        <v>0.95620437956204385</v>
      </c>
      <c r="BJ21" s="66">
        <f t="shared" si="10"/>
        <v>0.97810218978102192</v>
      </c>
      <c r="BK21" s="66">
        <f t="shared" si="10"/>
        <v>0.98905109489051102</v>
      </c>
      <c r="BL21" s="66">
        <f t="shared" si="10"/>
        <v>1.0036496350364965</v>
      </c>
      <c r="BM21" s="66">
        <f t="shared" si="10"/>
        <v>1</v>
      </c>
      <c r="BN21" s="66">
        <f t="shared" si="10"/>
        <v>1.0255474452554745</v>
      </c>
      <c r="BO21" s="66">
        <f t="shared" si="10"/>
        <v>0.99635036496350371</v>
      </c>
      <c r="BP21" s="66" t="str">
        <f t="shared" si="10"/>
        <v/>
      </c>
      <c r="BQ21" s="66" t="str">
        <f t="shared" si="10"/>
        <v/>
      </c>
      <c r="BR21" s="66" t="str">
        <f t="shared" si="10"/>
        <v/>
      </c>
      <c r="BS21" s="66" t="str">
        <f t="shared" si="8"/>
        <v/>
      </c>
      <c r="BT21" s="66" t="str">
        <f t="shared" si="8"/>
        <v/>
      </c>
      <c r="BU21" s="66" t="str">
        <f t="shared" si="8"/>
        <v/>
      </c>
      <c r="BV21" s="66" t="str">
        <f t="shared" si="8"/>
        <v/>
      </c>
      <c r="BW21" s="66" t="str">
        <f t="shared" si="8"/>
        <v/>
      </c>
      <c r="BX21" s="66" t="str">
        <f t="shared" si="8"/>
        <v/>
      </c>
      <c r="BY21" s="66" t="str">
        <f t="shared" si="8"/>
        <v/>
      </c>
      <c r="BZ21" s="66" t="str">
        <f t="shared" si="8"/>
        <v/>
      </c>
      <c r="CA21" s="66" t="str">
        <f t="shared" si="8"/>
        <v/>
      </c>
      <c r="CB21" s="66" t="str">
        <f t="shared" si="8"/>
        <v/>
      </c>
      <c r="CC21" s="66" t="str">
        <f t="shared" si="8"/>
        <v/>
      </c>
      <c r="CD21" s="66" t="str">
        <f t="shared" si="8"/>
        <v/>
      </c>
      <c r="CE21" s="66" t="str">
        <f t="shared" si="8"/>
        <v/>
      </c>
      <c r="CF21" s="66" t="str">
        <f t="shared" si="8"/>
        <v/>
      </c>
      <c r="CG21" s="66" t="str">
        <f t="shared" si="8"/>
        <v/>
      </c>
      <c r="CH21" s="66" t="str">
        <f t="shared" si="8"/>
        <v/>
      </c>
      <c r="CI21" s="66" t="str">
        <f t="shared" si="9"/>
        <v/>
      </c>
      <c r="CJ21" s="66" t="str">
        <f t="shared" si="7"/>
        <v/>
      </c>
      <c r="CK21" s="66" t="str">
        <f t="shared" si="7"/>
        <v/>
      </c>
      <c r="CL21" s="66" t="str">
        <f t="shared" si="7"/>
        <v/>
      </c>
      <c r="CM21" s="66" t="str">
        <f t="shared" si="7"/>
        <v/>
      </c>
      <c r="CN21" s="66" t="str">
        <f t="shared" si="7"/>
        <v/>
      </c>
      <c r="CO21" s="66" t="str">
        <f t="shared" si="7"/>
        <v/>
      </c>
      <c r="CP21" s="66" t="str">
        <f t="shared" si="7"/>
        <v/>
      </c>
      <c r="CQ21" s="66" t="str">
        <f t="shared" si="7"/>
        <v/>
      </c>
      <c r="CR21" s="66" t="str">
        <f t="shared" si="7"/>
        <v/>
      </c>
      <c r="CS21" s="66" t="str">
        <f t="shared" si="7"/>
        <v/>
      </c>
      <c r="CT21" s="66" t="str">
        <f t="shared" si="7"/>
        <v/>
      </c>
      <c r="CU21" s="66" t="str">
        <f t="shared" si="7"/>
        <v/>
      </c>
      <c r="CV21" s="3"/>
    </row>
    <row r="22" spans="1:100">
      <c r="A22" s="35">
        <v>1057004</v>
      </c>
      <c r="B22" s="1">
        <v>43</v>
      </c>
      <c r="C22" s="25" t="str">
        <f t="shared" si="4"/>
        <v>1057004-43</v>
      </c>
      <c r="D22" s="24" t="s">
        <v>87</v>
      </c>
      <c r="E22" s="32" t="s">
        <v>93</v>
      </c>
      <c r="F22" s="27">
        <v>42798</v>
      </c>
      <c r="G22" s="33">
        <v>25.8</v>
      </c>
      <c r="H22" s="27">
        <v>42808</v>
      </c>
      <c r="I22" s="33">
        <v>25.8</v>
      </c>
      <c r="J22" s="34"/>
      <c r="K22" s="71">
        <v>25.8</v>
      </c>
      <c r="L22" s="76">
        <v>25.1</v>
      </c>
      <c r="M22" s="76">
        <v>25</v>
      </c>
      <c r="N22" s="76">
        <v>24.7</v>
      </c>
      <c r="O22" s="76"/>
      <c r="P22" s="76">
        <v>25</v>
      </c>
      <c r="Q22" s="76">
        <v>25.4</v>
      </c>
      <c r="R22" s="76">
        <v>25.3</v>
      </c>
      <c r="S22" s="76">
        <v>25.9</v>
      </c>
      <c r="T22" s="76">
        <v>25.7</v>
      </c>
      <c r="U22" s="76">
        <v>26.1</v>
      </c>
      <c r="V22" s="76">
        <v>27</v>
      </c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2"/>
      <c r="BD22" s="66">
        <f t="shared" si="10"/>
        <v>1</v>
      </c>
      <c r="BE22" s="66">
        <f t="shared" si="10"/>
        <v>0.97286821705426363</v>
      </c>
      <c r="BF22" s="66">
        <f t="shared" si="10"/>
        <v>0.96899224806201545</v>
      </c>
      <c r="BG22" s="66">
        <f t="shared" si="10"/>
        <v>0.95736434108527124</v>
      </c>
      <c r="BH22" s="66" t="str">
        <f t="shared" si="10"/>
        <v/>
      </c>
      <c r="BI22" s="66">
        <f t="shared" si="10"/>
        <v>0.96899224806201545</v>
      </c>
      <c r="BJ22" s="66">
        <f t="shared" si="10"/>
        <v>0.98449612403100772</v>
      </c>
      <c r="BK22" s="66">
        <f t="shared" si="10"/>
        <v>0.98062015503875966</v>
      </c>
      <c r="BL22" s="66">
        <f t="shared" si="10"/>
        <v>1.0038759689922481</v>
      </c>
      <c r="BM22" s="66">
        <f t="shared" si="10"/>
        <v>0.99612403100775193</v>
      </c>
      <c r="BN22" s="66">
        <f t="shared" si="10"/>
        <v>1.0116279069767442</v>
      </c>
      <c r="BO22" s="66">
        <f t="shared" si="10"/>
        <v>1.0465116279069766</v>
      </c>
      <c r="BP22" s="66" t="str">
        <f t="shared" si="10"/>
        <v/>
      </c>
      <c r="BQ22" s="66" t="str">
        <f t="shared" si="10"/>
        <v/>
      </c>
      <c r="BR22" s="66" t="str">
        <f t="shared" si="10"/>
        <v/>
      </c>
      <c r="BS22" s="66" t="str">
        <f t="shared" si="8"/>
        <v/>
      </c>
      <c r="BT22" s="66" t="str">
        <f t="shared" si="8"/>
        <v/>
      </c>
      <c r="BU22" s="66" t="str">
        <f t="shared" si="8"/>
        <v/>
      </c>
      <c r="BV22" s="66" t="str">
        <f t="shared" si="8"/>
        <v/>
      </c>
      <c r="BW22" s="66" t="str">
        <f t="shared" si="8"/>
        <v/>
      </c>
      <c r="BX22" s="66" t="str">
        <f t="shared" si="8"/>
        <v/>
      </c>
      <c r="BY22" s="66" t="str">
        <f t="shared" si="8"/>
        <v/>
      </c>
      <c r="BZ22" s="66" t="str">
        <f t="shared" si="8"/>
        <v/>
      </c>
      <c r="CA22" s="66" t="str">
        <f t="shared" si="8"/>
        <v/>
      </c>
      <c r="CB22" s="66" t="str">
        <f t="shared" si="8"/>
        <v/>
      </c>
      <c r="CC22" s="66" t="str">
        <f t="shared" si="8"/>
        <v/>
      </c>
      <c r="CD22" s="66" t="str">
        <f t="shared" si="8"/>
        <v/>
      </c>
      <c r="CE22" s="66" t="str">
        <f t="shared" si="8"/>
        <v/>
      </c>
      <c r="CF22" s="66" t="str">
        <f t="shared" si="8"/>
        <v/>
      </c>
      <c r="CG22" s="66" t="str">
        <f t="shared" si="8"/>
        <v/>
      </c>
      <c r="CH22" s="66" t="str">
        <f t="shared" si="8"/>
        <v/>
      </c>
      <c r="CI22" s="66" t="str">
        <f t="shared" si="9"/>
        <v/>
      </c>
      <c r="CJ22" s="66" t="str">
        <f t="shared" si="7"/>
        <v/>
      </c>
      <c r="CK22" s="66" t="str">
        <f t="shared" si="7"/>
        <v/>
      </c>
      <c r="CL22" s="66" t="str">
        <f t="shared" si="7"/>
        <v/>
      </c>
      <c r="CM22" s="66" t="str">
        <f t="shared" si="7"/>
        <v/>
      </c>
      <c r="CN22" s="66" t="str">
        <f t="shared" si="7"/>
        <v/>
      </c>
      <c r="CO22" s="66" t="str">
        <f t="shared" si="7"/>
        <v/>
      </c>
      <c r="CP22" s="66" t="str">
        <f t="shared" si="7"/>
        <v/>
      </c>
      <c r="CQ22" s="66" t="str">
        <f t="shared" si="7"/>
        <v/>
      </c>
      <c r="CR22" s="66" t="str">
        <f t="shared" si="7"/>
        <v/>
      </c>
      <c r="CS22" s="66" t="str">
        <f t="shared" si="7"/>
        <v/>
      </c>
      <c r="CT22" s="66" t="str">
        <f t="shared" si="7"/>
        <v/>
      </c>
      <c r="CU22" s="66" t="str">
        <f t="shared" si="7"/>
        <v/>
      </c>
      <c r="CV22" s="3"/>
    </row>
    <row r="23" spans="1:100">
      <c r="A23" s="35">
        <v>1057004</v>
      </c>
      <c r="B23" s="1">
        <v>44</v>
      </c>
      <c r="C23" s="25" t="str">
        <f t="shared" si="4"/>
        <v>1057004-44</v>
      </c>
      <c r="D23" s="24" t="s">
        <v>87</v>
      </c>
      <c r="E23" s="32" t="s">
        <v>88</v>
      </c>
      <c r="F23" s="27">
        <v>42798</v>
      </c>
      <c r="G23" s="33">
        <v>26.9</v>
      </c>
      <c r="H23" s="27">
        <v>42808</v>
      </c>
      <c r="I23" s="33">
        <v>28</v>
      </c>
      <c r="J23" s="34"/>
      <c r="K23" s="71">
        <v>28</v>
      </c>
      <c r="L23" s="76">
        <v>26.8</v>
      </c>
      <c r="M23" s="76">
        <v>28.9</v>
      </c>
      <c r="N23" s="76">
        <v>28.9</v>
      </c>
      <c r="O23" s="76"/>
      <c r="P23" s="76">
        <v>28.5</v>
      </c>
      <c r="Q23" s="76">
        <v>28.5</v>
      </c>
      <c r="R23" s="76">
        <v>27.8</v>
      </c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2"/>
      <c r="BD23" s="66">
        <f t="shared" si="10"/>
        <v>1</v>
      </c>
      <c r="BE23" s="66">
        <f t="shared" si="10"/>
        <v>0.95714285714285718</v>
      </c>
      <c r="BF23" s="66">
        <f t="shared" si="10"/>
        <v>1.032142857142857</v>
      </c>
      <c r="BG23" s="66">
        <f t="shared" si="10"/>
        <v>1.032142857142857</v>
      </c>
      <c r="BH23" s="66" t="str">
        <f t="shared" si="10"/>
        <v/>
      </c>
      <c r="BI23" s="66">
        <f t="shared" si="10"/>
        <v>1.0178571428571428</v>
      </c>
      <c r="BJ23" s="66">
        <f t="shared" si="10"/>
        <v>1.0178571428571428</v>
      </c>
      <c r="BK23" s="66">
        <f t="shared" si="10"/>
        <v>0.99285714285714288</v>
      </c>
      <c r="BL23" s="66" t="str">
        <f t="shared" si="10"/>
        <v/>
      </c>
      <c r="BM23" s="66" t="str">
        <f t="shared" si="10"/>
        <v/>
      </c>
      <c r="BN23" s="66" t="str">
        <f t="shared" si="10"/>
        <v/>
      </c>
      <c r="BO23" s="66" t="str">
        <f t="shared" si="10"/>
        <v/>
      </c>
      <c r="BP23" s="66" t="str">
        <f t="shared" si="10"/>
        <v/>
      </c>
      <c r="BQ23" s="66" t="str">
        <f t="shared" si="10"/>
        <v/>
      </c>
      <c r="BR23" s="66" t="str">
        <f t="shared" si="10"/>
        <v/>
      </c>
      <c r="BS23" s="66" t="str">
        <f t="shared" si="8"/>
        <v/>
      </c>
      <c r="BT23" s="66" t="str">
        <f t="shared" si="8"/>
        <v/>
      </c>
      <c r="BU23" s="66" t="str">
        <f t="shared" si="8"/>
        <v/>
      </c>
      <c r="BV23" s="66" t="str">
        <f t="shared" si="8"/>
        <v/>
      </c>
      <c r="BW23" s="66" t="str">
        <f t="shared" si="8"/>
        <v/>
      </c>
      <c r="BX23" s="66" t="str">
        <f t="shared" si="8"/>
        <v/>
      </c>
      <c r="BY23" s="66" t="str">
        <f t="shared" si="8"/>
        <v/>
      </c>
      <c r="BZ23" s="66" t="str">
        <f t="shared" si="8"/>
        <v/>
      </c>
      <c r="CA23" s="66" t="str">
        <f t="shared" si="8"/>
        <v/>
      </c>
      <c r="CB23" s="66" t="str">
        <f t="shared" si="8"/>
        <v/>
      </c>
      <c r="CC23" s="66" t="str">
        <f t="shared" si="8"/>
        <v/>
      </c>
      <c r="CD23" s="66" t="str">
        <f t="shared" si="8"/>
        <v/>
      </c>
      <c r="CE23" s="66" t="str">
        <f t="shared" si="8"/>
        <v/>
      </c>
      <c r="CF23" s="66" t="str">
        <f t="shared" si="8"/>
        <v/>
      </c>
      <c r="CG23" s="66" t="str">
        <f t="shared" si="8"/>
        <v/>
      </c>
      <c r="CH23" s="66" t="str">
        <f t="shared" si="8"/>
        <v/>
      </c>
      <c r="CI23" s="66" t="str">
        <f t="shared" si="9"/>
        <v/>
      </c>
      <c r="CJ23" s="66" t="str">
        <f t="shared" si="7"/>
        <v/>
      </c>
      <c r="CK23" s="66" t="str">
        <f t="shared" si="7"/>
        <v/>
      </c>
      <c r="CL23" s="66" t="str">
        <f t="shared" si="7"/>
        <v/>
      </c>
      <c r="CM23" s="66" t="str">
        <f t="shared" si="7"/>
        <v/>
      </c>
      <c r="CN23" s="66" t="str">
        <f t="shared" si="7"/>
        <v/>
      </c>
      <c r="CO23" s="66" t="str">
        <f t="shared" si="7"/>
        <v/>
      </c>
      <c r="CP23" s="66" t="str">
        <f t="shared" si="7"/>
        <v/>
      </c>
      <c r="CQ23" s="66" t="str">
        <f t="shared" si="7"/>
        <v/>
      </c>
      <c r="CR23" s="66" t="str">
        <f t="shared" si="7"/>
        <v/>
      </c>
      <c r="CS23" s="66" t="str">
        <f t="shared" si="7"/>
        <v/>
      </c>
      <c r="CT23" s="66" t="str">
        <f t="shared" si="7"/>
        <v/>
      </c>
      <c r="CU23" s="66" t="str">
        <f t="shared" si="7"/>
        <v/>
      </c>
      <c r="CV23" s="3"/>
    </row>
    <row r="24" spans="1:100">
      <c r="A24" s="35">
        <v>1057004</v>
      </c>
      <c r="B24" s="1">
        <v>45</v>
      </c>
      <c r="C24" s="25" t="str">
        <f t="shared" si="4"/>
        <v>1057004-45</v>
      </c>
      <c r="D24" s="24" t="s">
        <v>87</v>
      </c>
      <c r="E24" s="26" t="s">
        <v>88</v>
      </c>
      <c r="F24" s="27">
        <v>42798</v>
      </c>
      <c r="G24" s="33">
        <v>24.4</v>
      </c>
      <c r="H24" s="27">
        <v>42808</v>
      </c>
      <c r="I24" s="33">
        <v>25.8</v>
      </c>
      <c r="J24" s="34"/>
      <c r="K24" s="71">
        <v>25.8</v>
      </c>
      <c r="L24" s="76">
        <v>25.4</v>
      </c>
      <c r="M24" s="76">
        <v>25.4</v>
      </c>
      <c r="N24" s="76">
        <v>25.4</v>
      </c>
      <c r="O24" s="76"/>
      <c r="P24" s="76">
        <v>25.3</v>
      </c>
      <c r="Q24" s="76">
        <v>25.9</v>
      </c>
      <c r="R24" s="76">
        <v>26.2</v>
      </c>
      <c r="S24" s="76">
        <v>26</v>
      </c>
      <c r="T24" s="76">
        <v>25.7</v>
      </c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2"/>
      <c r="BD24" s="66">
        <f t="shared" si="10"/>
        <v>1</v>
      </c>
      <c r="BE24" s="66">
        <f t="shared" si="10"/>
        <v>0.98449612403100772</v>
      </c>
      <c r="BF24" s="66">
        <f t="shared" si="10"/>
        <v>0.98449612403100772</v>
      </c>
      <c r="BG24" s="66">
        <f t="shared" si="10"/>
        <v>0.98449612403100772</v>
      </c>
      <c r="BH24" s="66" t="str">
        <f t="shared" si="10"/>
        <v/>
      </c>
      <c r="BI24" s="66">
        <f t="shared" si="10"/>
        <v>0.98062015503875966</v>
      </c>
      <c r="BJ24" s="66">
        <f t="shared" si="10"/>
        <v>1.0038759689922481</v>
      </c>
      <c r="BK24" s="66">
        <f t="shared" si="10"/>
        <v>1.0155038759689923</v>
      </c>
      <c r="BL24" s="66">
        <f t="shared" si="10"/>
        <v>1.0077519379844961</v>
      </c>
      <c r="BM24" s="66">
        <f t="shared" si="10"/>
        <v>0.99612403100775193</v>
      </c>
      <c r="BN24" s="66" t="str">
        <f t="shared" si="10"/>
        <v/>
      </c>
      <c r="BO24" s="66" t="str">
        <f t="shared" si="10"/>
        <v/>
      </c>
      <c r="BP24" s="66" t="str">
        <f t="shared" si="10"/>
        <v/>
      </c>
      <c r="BQ24" s="66" t="str">
        <f t="shared" si="10"/>
        <v/>
      </c>
      <c r="BR24" s="66" t="str">
        <f t="shared" si="10"/>
        <v/>
      </c>
      <c r="BS24" s="66" t="str">
        <f t="shared" si="8"/>
        <v/>
      </c>
      <c r="BT24" s="66" t="str">
        <f t="shared" si="8"/>
        <v/>
      </c>
      <c r="BU24" s="66" t="str">
        <f t="shared" si="8"/>
        <v/>
      </c>
      <c r="BV24" s="66" t="str">
        <f t="shared" si="8"/>
        <v/>
      </c>
      <c r="BW24" s="66" t="str">
        <f t="shared" si="8"/>
        <v/>
      </c>
      <c r="BX24" s="66" t="str">
        <f t="shared" si="8"/>
        <v/>
      </c>
      <c r="BY24" s="66" t="str">
        <f t="shared" si="8"/>
        <v/>
      </c>
      <c r="BZ24" s="66" t="str">
        <f t="shared" si="8"/>
        <v/>
      </c>
      <c r="CA24" s="66" t="str">
        <f t="shared" si="8"/>
        <v/>
      </c>
      <c r="CB24" s="66" t="str">
        <f t="shared" si="8"/>
        <v/>
      </c>
      <c r="CC24" s="66" t="str">
        <f t="shared" si="8"/>
        <v/>
      </c>
      <c r="CD24" s="66" t="str">
        <f t="shared" si="8"/>
        <v/>
      </c>
      <c r="CE24" s="66" t="str">
        <f t="shared" si="8"/>
        <v/>
      </c>
      <c r="CF24" s="66" t="str">
        <f t="shared" si="8"/>
        <v/>
      </c>
      <c r="CG24" s="66" t="str">
        <f t="shared" si="8"/>
        <v/>
      </c>
      <c r="CH24" s="66" t="str">
        <f t="shared" si="8"/>
        <v/>
      </c>
      <c r="CI24" s="66" t="str">
        <f t="shared" si="9"/>
        <v/>
      </c>
      <c r="CJ24" s="66" t="str">
        <f t="shared" si="7"/>
        <v/>
      </c>
      <c r="CK24" s="66" t="str">
        <f t="shared" si="7"/>
        <v/>
      </c>
      <c r="CL24" s="66" t="str">
        <f t="shared" si="7"/>
        <v/>
      </c>
      <c r="CM24" s="66" t="str">
        <f t="shared" si="7"/>
        <v/>
      </c>
      <c r="CN24" s="66" t="str">
        <f t="shared" si="7"/>
        <v/>
      </c>
      <c r="CO24" s="66" t="str">
        <f t="shared" si="7"/>
        <v/>
      </c>
      <c r="CP24" s="66" t="str">
        <f t="shared" si="7"/>
        <v/>
      </c>
      <c r="CQ24" s="66" t="str">
        <f t="shared" si="7"/>
        <v/>
      </c>
      <c r="CR24" s="66" t="str">
        <f t="shared" si="7"/>
        <v/>
      </c>
      <c r="CS24" s="66" t="str">
        <f t="shared" si="7"/>
        <v/>
      </c>
      <c r="CT24" s="66" t="str">
        <f t="shared" si="7"/>
        <v/>
      </c>
      <c r="CU24" s="66" t="str">
        <f t="shared" si="7"/>
        <v/>
      </c>
      <c r="CV24" s="3"/>
    </row>
    <row r="25" spans="1:100">
      <c r="A25" s="35">
        <v>1046865</v>
      </c>
      <c r="B25" s="1">
        <v>51</v>
      </c>
      <c r="C25" s="25" t="str">
        <f t="shared" si="4"/>
        <v>1046865-51</v>
      </c>
      <c r="D25" s="24" t="s">
        <v>87</v>
      </c>
      <c r="E25" s="26" t="s">
        <v>88</v>
      </c>
      <c r="F25" s="27">
        <v>42798</v>
      </c>
      <c r="G25" s="33">
        <v>26.9</v>
      </c>
      <c r="H25" s="27">
        <v>42808</v>
      </c>
      <c r="I25" s="33">
        <v>28.2</v>
      </c>
      <c r="J25" s="34"/>
      <c r="K25" s="71">
        <v>28.2</v>
      </c>
      <c r="L25" s="76">
        <v>28.4</v>
      </c>
      <c r="M25" s="76">
        <v>28.6</v>
      </c>
      <c r="N25" s="76">
        <v>26.9</v>
      </c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2"/>
      <c r="BD25" s="66">
        <f t="shared" si="10"/>
        <v>1</v>
      </c>
      <c r="BE25" s="66">
        <f t="shared" si="10"/>
        <v>1.0070921985815602</v>
      </c>
      <c r="BF25" s="66">
        <f t="shared" si="10"/>
        <v>1.0141843971631206</v>
      </c>
      <c r="BG25" s="66">
        <f t="shared" si="10"/>
        <v>0.95390070921985815</v>
      </c>
      <c r="BH25" s="66" t="str">
        <f t="shared" si="10"/>
        <v/>
      </c>
      <c r="BI25" s="66" t="str">
        <f t="shared" si="10"/>
        <v/>
      </c>
      <c r="BJ25" s="66" t="str">
        <f t="shared" si="10"/>
        <v/>
      </c>
      <c r="BK25" s="66" t="str">
        <f t="shared" si="10"/>
        <v/>
      </c>
      <c r="BL25" s="66" t="str">
        <f t="shared" si="10"/>
        <v/>
      </c>
      <c r="BM25" s="66" t="str">
        <f t="shared" si="10"/>
        <v/>
      </c>
      <c r="BN25" s="66" t="str">
        <f t="shared" si="10"/>
        <v/>
      </c>
      <c r="BO25" s="66" t="str">
        <f t="shared" si="10"/>
        <v/>
      </c>
      <c r="BP25" s="66" t="str">
        <f t="shared" si="10"/>
        <v/>
      </c>
      <c r="BQ25" s="66" t="str">
        <f t="shared" si="10"/>
        <v/>
      </c>
      <c r="BR25" s="66" t="str">
        <f t="shared" si="10"/>
        <v/>
      </c>
      <c r="BS25" s="66" t="str">
        <f t="shared" si="8"/>
        <v/>
      </c>
      <c r="BT25" s="66" t="str">
        <f t="shared" si="8"/>
        <v/>
      </c>
      <c r="BU25" s="66" t="str">
        <f t="shared" si="8"/>
        <v/>
      </c>
      <c r="BV25" s="66" t="str">
        <f t="shared" si="8"/>
        <v/>
      </c>
      <c r="BW25" s="66" t="str">
        <f t="shared" si="8"/>
        <v/>
      </c>
      <c r="BX25" s="66" t="str">
        <f t="shared" si="8"/>
        <v/>
      </c>
      <c r="BY25" s="66" t="str">
        <f t="shared" si="8"/>
        <v/>
      </c>
      <c r="BZ25" s="66" t="str">
        <f t="shared" si="8"/>
        <v/>
      </c>
      <c r="CA25" s="66" t="str">
        <f t="shared" si="8"/>
        <v/>
      </c>
      <c r="CB25" s="66" t="str">
        <f t="shared" si="8"/>
        <v/>
      </c>
      <c r="CC25" s="66" t="str">
        <f t="shared" si="8"/>
        <v/>
      </c>
      <c r="CD25" s="66" t="str">
        <f t="shared" si="8"/>
        <v/>
      </c>
      <c r="CE25" s="66" t="str">
        <f t="shared" si="8"/>
        <v/>
      </c>
      <c r="CF25" s="66" t="str">
        <f t="shared" si="8"/>
        <v/>
      </c>
      <c r="CG25" s="66" t="str">
        <f t="shared" si="8"/>
        <v/>
      </c>
      <c r="CH25" s="66" t="str">
        <f t="shared" si="8"/>
        <v/>
      </c>
      <c r="CI25" s="66" t="str">
        <f t="shared" si="9"/>
        <v/>
      </c>
      <c r="CJ25" s="66" t="str">
        <f t="shared" si="7"/>
        <v/>
      </c>
      <c r="CK25" s="66" t="str">
        <f t="shared" si="7"/>
        <v/>
      </c>
      <c r="CL25" s="66" t="str">
        <f t="shared" si="7"/>
        <v/>
      </c>
      <c r="CM25" s="66" t="str">
        <f t="shared" si="7"/>
        <v/>
      </c>
      <c r="CN25" s="66" t="str">
        <f t="shared" si="7"/>
        <v/>
      </c>
      <c r="CO25" s="66" t="str">
        <f t="shared" si="7"/>
        <v/>
      </c>
      <c r="CP25" s="66" t="str">
        <f t="shared" si="7"/>
        <v/>
      </c>
      <c r="CQ25" s="66" t="str">
        <f t="shared" si="7"/>
        <v/>
      </c>
      <c r="CR25" s="66" t="str">
        <f t="shared" si="7"/>
        <v/>
      </c>
      <c r="CS25" s="66" t="str">
        <f t="shared" si="7"/>
        <v/>
      </c>
      <c r="CT25" s="66" t="str">
        <f t="shared" si="7"/>
        <v/>
      </c>
      <c r="CU25" s="66" t="str">
        <f t="shared" si="7"/>
        <v/>
      </c>
      <c r="CV25" s="3"/>
    </row>
    <row r="26" spans="1:100">
      <c r="A26" s="35">
        <v>1046865</v>
      </c>
      <c r="B26" s="1">
        <v>52</v>
      </c>
      <c r="C26" s="25" t="str">
        <f t="shared" si="4"/>
        <v>1046865-52</v>
      </c>
      <c r="D26" s="24" t="s">
        <v>87</v>
      </c>
      <c r="E26" s="32" t="s">
        <v>93</v>
      </c>
      <c r="F26" s="27">
        <v>42798</v>
      </c>
      <c r="G26" s="33">
        <v>24.7</v>
      </c>
      <c r="H26" s="27">
        <v>42808</v>
      </c>
      <c r="I26" s="33">
        <v>26.8</v>
      </c>
      <c r="J26" s="34"/>
      <c r="K26" s="71">
        <v>26.8</v>
      </c>
      <c r="L26" s="76">
        <v>26.4</v>
      </c>
      <c r="M26" s="76">
        <v>26.6</v>
      </c>
      <c r="N26" s="76">
        <v>25.9</v>
      </c>
      <c r="O26" s="76"/>
      <c r="P26" s="76">
        <v>25.8</v>
      </c>
      <c r="Q26" s="76">
        <v>25.5</v>
      </c>
      <c r="R26" s="76">
        <v>26</v>
      </c>
      <c r="S26" s="76">
        <v>25.9</v>
      </c>
      <c r="T26" s="76">
        <v>26.6</v>
      </c>
      <c r="U26" s="76">
        <v>27.3</v>
      </c>
      <c r="V26" s="76">
        <v>26.7</v>
      </c>
      <c r="W26" s="76">
        <v>26.4</v>
      </c>
      <c r="X26" s="76">
        <v>26.1</v>
      </c>
      <c r="Y26" s="76">
        <v>25.6</v>
      </c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2"/>
      <c r="BD26" s="66">
        <f t="shared" si="10"/>
        <v>1</v>
      </c>
      <c r="BE26" s="66">
        <f t="shared" si="10"/>
        <v>0.9850746268656716</v>
      </c>
      <c r="BF26" s="66">
        <f t="shared" si="10"/>
        <v>0.9925373134328358</v>
      </c>
      <c r="BG26" s="66">
        <f t="shared" si="10"/>
        <v>0.96641791044776115</v>
      </c>
      <c r="BH26" s="66" t="str">
        <f t="shared" si="10"/>
        <v/>
      </c>
      <c r="BI26" s="66">
        <f t="shared" si="10"/>
        <v>0.96268656716417911</v>
      </c>
      <c r="BJ26" s="66">
        <f t="shared" si="10"/>
        <v>0.95149253731343286</v>
      </c>
      <c r="BK26" s="66">
        <f t="shared" si="10"/>
        <v>0.97014925373134331</v>
      </c>
      <c r="BL26" s="66">
        <f t="shared" si="10"/>
        <v>0.96641791044776115</v>
      </c>
      <c r="BM26" s="66">
        <f t="shared" si="10"/>
        <v>0.9925373134328358</v>
      </c>
      <c r="BN26" s="66">
        <f t="shared" si="10"/>
        <v>1.0186567164179106</v>
      </c>
      <c r="BO26" s="66">
        <f t="shared" si="10"/>
        <v>0.99626865671641784</v>
      </c>
      <c r="BP26" s="66">
        <f t="shared" si="10"/>
        <v>0.9850746268656716</v>
      </c>
      <c r="BQ26" s="66">
        <f t="shared" si="10"/>
        <v>0.97388059701492535</v>
      </c>
      <c r="BR26" s="66">
        <f t="shared" si="10"/>
        <v>0.95522388059701491</v>
      </c>
      <c r="BS26" s="66" t="str">
        <f t="shared" si="8"/>
        <v/>
      </c>
      <c r="BT26" s="66" t="str">
        <f t="shared" si="8"/>
        <v/>
      </c>
      <c r="BU26" s="66" t="str">
        <f t="shared" si="8"/>
        <v/>
      </c>
      <c r="BV26" s="66" t="str">
        <f t="shared" si="8"/>
        <v/>
      </c>
      <c r="BW26" s="66" t="str">
        <f t="shared" si="8"/>
        <v/>
      </c>
      <c r="BX26" s="66" t="str">
        <f t="shared" si="8"/>
        <v/>
      </c>
      <c r="BY26" s="66" t="str">
        <f t="shared" si="8"/>
        <v/>
      </c>
      <c r="BZ26" s="66" t="str">
        <f t="shared" si="8"/>
        <v/>
      </c>
      <c r="CA26" s="66" t="str">
        <f t="shared" si="8"/>
        <v/>
      </c>
      <c r="CB26" s="66" t="str">
        <f t="shared" si="8"/>
        <v/>
      </c>
      <c r="CC26" s="66" t="str">
        <f t="shared" si="8"/>
        <v/>
      </c>
      <c r="CD26" s="66" t="str">
        <f t="shared" si="8"/>
        <v/>
      </c>
      <c r="CE26" s="66" t="str">
        <f t="shared" si="8"/>
        <v/>
      </c>
      <c r="CF26" s="66" t="str">
        <f t="shared" si="8"/>
        <v/>
      </c>
      <c r="CG26" s="66" t="str">
        <f t="shared" si="8"/>
        <v/>
      </c>
      <c r="CH26" s="66" t="str">
        <f t="shared" si="8"/>
        <v/>
      </c>
      <c r="CI26" s="66" t="str">
        <f t="shared" si="9"/>
        <v/>
      </c>
      <c r="CJ26" s="66" t="str">
        <f t="shared" si="7"/>
        <v/>
      </c>
      <c r="CK26" s="66" t="str">
        <f t="shared" si="7"/>
        <v/>
      </c>
      <c r="CL26" s="66" t="str">
        <f t="shared" si="7"/>
        <v/>
      </c>
      <c r="CM26" s="66" t="str">
        <f t="shared" ref="CM26:CU35" si="11">IF(OR(ISERROR(AT26/$I26)=TRUE,ISBLANK(AT26)=TRUE),"",AT26/$I26)</f>
        <v/>
      </c>
      <c r="CN26" s="66" t="str">
        <f t="shared" si="11"/>
        <v/>
      </c>
      <c r="CO26" s="66" t="str">
        <f t="shared" si="11"/>
        <v/>
      </c>
      <c r="CP26" s="66" t="str">
        <f t="shared" si="11"/>
        <v/>
      </c>
      <c r="CQ26" s="66" t="str">
        <f t="shared" si="11"/>
        <v/>
      </c>
      <c r="CR26" s="66" t="str">
        <f t="shared" si="11"/>
        <v/>
      </c>
      <c r="CS26" s="66" t="str">
        <f t="shared" si="11"/>
        <v/>
      </c>
      <c r="CT26" s="66" t="str">
        <f t="shared" si="11"/>
        <v/>
      </c>
      <c r="CU26" s="66" t="str">
        <f t="shared" si="11"/>
        <v/>
      </c>
      <c r="CV26" s="3"/>
    </row>
    <row r="27" spans="1:100">
      <c r="A27" s="35">
        <v>1046865</v>
      </c>
      <c r="B27" s="1">
        <v>53</v>
      </c>
      <c r="C27" s="25" t="str">
        <f t="shared" si="4"/>
        <v>1046865-53</v>
      </c>
      <c r="D27" s="24" t="s">
        <v>87</v>
      </c>
      <c r="E27" s="32" t="s">
        <v>68</v>
      </c>
      <c r="F27" s="27">
        <v>42798</v>
      </c>
      <c r="G27" s="33">
        <v>26.8</v>
      </c>
      <c r="H27" s="27">
        <v>42808</v>
      </c>
      <c r="I27" s="33">
        <v>28.2</v>
      </c>
      <c r="J27" s="34"/>
      <c r="K27" s="71">
        <v>28.2</v>
      </c>
      <c r="L27" s="76">
        <v>27.8</v>
      </c>
      <c r="M27" s="76">
        <v>27.9</v>
      </c>
      <c r="N27" s="76">
        <v>28.6</v>
      </c>
      <c r="O27" s="76"/>
      <c r="P27" s="76">
        <v>28.9</v>
      </c>
      <c r="Q27" s="76">
        <v>28.8</v>
      </c>
      <c r="R27" s="76">
        <v>29.4</v>
      </c>
      <c r="S27" s="76">
        <v>29.3</v>
      </c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2"/>
      <c r="BD27" s="66">
        <f t="shared" si="10"/>
        <v>1</v>
      </c>
      <c r="BE27" s="66">
        <f t="shared" si="10"/>
        <v>0.98581560283687952</v>
      </c>
      <c r="BF27" s="66">
        <f t="shared" si="10"/>
        <v>0.9893617021276595</v>
      </c>
      <c r="BG27" s="66">
        <f t="shared" si="10"/>
        <v>1.0141843971631206</v>
      </c>
      <c r="BH27" s="66" t="str">
        <f t="shared" si="10"/>
        <v/>
      </c>
      <c r="BI27" s="66">
        <f t="shared" si="10"/>
        <v>1.0248226950354609</v>
      </c>
      <c r="BJ27" s="66">
        <f t="shared" si="10"/>
        <v>1.021276595744681</v>
      </c>
      <c r="BK27" s="66">
        <f t="shared" si="10"/>
        <v>1.0425531914893618</v>
      </c>
      <c r="BL27" s="66">
        <f t="shared" si="10"/>
        <v>1.0390070921985817</v>
      </c>
      <c r="BM27" s="66" t="str">
        <f t="shared" si="10"/>
        <v/>
      </c>
      <c r="BN27" s="66" t="str">
        <f t="shared" si="10"/>
        <v/>
      </c>
      <c r="BO27" s="66" t="str">
        <f t="shared" si="10"/>
        <v/>
      </c>
      <c r="BP27" s="66" t="str">
        <f t="shared" si="10"/>
        <v/>
      </c>
      <c r="BQ27" s="66" t="str">
        <f t="shared" si="10"/>
        <v/>
      </c>
      <c r="BR27" s="66" t="str">
        <f t="shared" si="10"/>
        <v/>
      </c>
      <c r="BS27" s="66" t="str">
        <f t="shared" si="8"/>
        <v/>
      </c>
      <c r="BT27" s="66" t="str">
        <f t="shared" si="8"/>
        <v/>
      </c>
      <c r="BU27" s="66" t="str">
        <f t="shared" si="8"/>
        <v/>
      </c>
      <c r="BV27" s="66" t="str">
        <f t="shared" si="8"/>
        <v/>
      </c>
      <c r="BW27" s="66" t="str">
        <f t="shared" si="8"/>
        <v/>
      </c>
      <c r="BX27" s="66" t="str">
        <f t="shared" si="8"/>
        <v/>
      </c>
      <c r="BY27" s="66" t="str">
        <f t="shared" si="8"/>
        <v/>
      </c>
      <c r="BZ27" s="66" t="str">
        <f t="shared" si="8"/>
        <v/>
      </c>
      <c r="CA27" s="66" t="str">
        <f t="shared" si="8"/>
        <v/>
      </c>
      <c r="CB27" s="66" t="str">
        <f t="shared" si="8"/>
        <v/>
      </c>
      <c r="CC27" s="66" t="str">
        <f t="shared" si="8"/>
        <v/>
      </c>
      <c r="CD27" s="66" t="str">
        <f t="shared" si="8"/>
        <v/>
      </c>
      <c r="CE27" s="66" t="str">
        <f t="shared" si="8"/>
        <v/>
      </c>
      <c r="CF27" s="66" t="str">
        <f t="shared" si="8"/>
        <v/>
      </c>
      <c r="CG27" s="66" t="str">
        <f t="shared" si="8"/>
        <v/>
      </c>
      <c r="CH27" s="66" t="str">
        <f t="shared" si="8"/>
        <v/>
      </c>
      <c r="CI27" s="66" t="str">
        <f t="shared" si="9"/>
        <v/>
      </c>
      <c r="CJ27" s="66" t="str">
        <f t="shared" si="9"/>
        <v/>
      </c>
      <c r="CK27" s="66" t="str">
        <f t="shared" si="9"/>
        <v/>
      </c>
      <c r="CL27" s="66" t="str">
        <f t="shared" si="9"/>
        <v/>
      </c>
      <c r="CM27" s="66" t="str">
        <f t="shared" si="11"/>
        <v/>
      </c>
      <c r="CN27" s="66" t="str">
        <f t="shared" si="11"/>
        <v/>
      </c>
      <c r="CO27" s="66" t="str">
        <f t="shared" si="11"/>
        <v/>
      </c>
      <c r="CP27" s="66" t="str">
        <f t="shared" si="11"/>
        <v/>
      </c>
      <c r="CQ27" s="66" t="str">
        <f t="shared" si="11"/>
        <v/>
      </c>
      <c r="CR27" s="66" t="str">
        <f t="shared" si="11"/>
        <v/>
      </c>
      <c r="CS27" s="66" t="str">
        <f t="shared" si="11"/>
        <v/>
      </c>
      <c r="CT27" s="66" t="str">
        <f t="shared" si="11"/>
        <v/>
      </c>
      <c r="CU27" s="66" t="str">
        <f t="shared" si="11"/>
        <v/>
      </c>
      <c r="CV27" s="3"/>
    </row>
    <row r="28" spans="1:100">
      <c r="A28" s="35">
        <v>1046865</v>
      </c>
      <c r="B28" s="1">
        <v>54</v>
      </c>
      <c r="C28" s="25" t="str">
        <f t="shared" si="4"/>
        <v>1046865-54</v>
      </c>
      <c r="D28" s="24" t="s">
        <v>87</v>
      </c>
      <c r="E28" s="32" t="s">
        <v>88</v>
      </c>
      <c r="F28" s="27">
        <v>42798</v>
      </c>
      <c r="G28" s="33">
        <v>27.3</v>
      </c>
      <c r="H28" s="27">
        <v>42808</v>
      </c>
      <c r="I28" s="33">
        <v>29.2</v>
      </c>
      <c r="J28" s="34"/>
      <c r="K28" s="71">
        <v>29.2</v>
      </c>
      <c r="L28" s="76">
        <v>28.8</v>
      </c>
      <c r="M28" s="76">
        <v>29.2</v>
      </c>
      <c r="N28" s="76">
        <v>28.7</v>
      </c>
      <c r="O28" s="76"/>
      <c r="P28" s="76">
        <v>28.5</v>
      </c>
      <c r="Q28" s="76">
        <v>28.9</v>
      </c>
      <c r="R28" s="76">
        <v>28.8</v>
      </c>
      <c r="S28" s="76">
        <v>28.2</v>
      </c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2"/>
      <c r="BD28" s="66">
        <f t="shared" si="10"/>
        <v>1</v>
      </c>
      <c r="BE28" s="66">
        <f t="shared" si="10"/>
        <v>0.98630136986301375</v>
      </c>
      <c r="BF28" s="66">
        <f t="shared" si="10"/>
        <v>1</v>
      </c>
      <c r="BG28" s="66">
        <f t="shared" si="10"/>
        <v>0.98287671232876717</v>
      </c>
      <c r="BH28" s="66" t="str">
        <f t="shared" si="10"/>
        <v/>
      </c>
      <c r="BI28" s="66">
        <f t="shared" si="10"/>
        <v>0.97602739726027399</v>
      </c>
      <c r="BJ28" s="66">
        <f t="shared" si="10"/>
        <v>0.98972602739726023</v>
      </c>
      <c r="BK28" s="66">
        <f t="shared" si="10"/>
        <v>0.98630136986301375</v>
      </c>
      <c r="BL28" s="66">
        <f t="shared" si="10"/>
        <v>0.96575342465753422</v>
      </c>
      <c r="BM28" s="66" t="str">
        <f t="shared" si="10"/>
        <v/>
      </c>
      <c r="BN28" s="66" t="str">
        <f t="shared" si="10"/>
        <v/>
      </c>
      <c r="BO28" s="66" t="str">
        <f t="shared" si="10"/>
        <v/>
      </c>
      <c r="BP28" s="66" t="str">
        <f t="shared" si="10"/>
        <v/>
      </c>
      <c r="BQ28" s="66" t="str">
        <f t="shared" si="10"/>
        <v/>
      </c>
      <c r="BR28" s="66" t="str">
        <f t="shared" si="10"/>
        <v/>
      </c>
      <c r="BS28" s="66" t="str">
        <f t="shared" si="8"/>
        <v/>
      </c>
      <c r="BT28" s="66" t="str">
        <f t="shared" si="8"/>
        <v/>
      </c>
      <c r="BU28" s="66" t="str">
        <f t="shared" si="8"/>
        <v/>
      </c>
      <c r="BV28" s="66" t="str">
        <f t="shared" si="8"/>
        <v/>
      </c>
      <c r="BW28" s="66" t="str">
        <f t="shared" si="8"/>
        <v/>
      </c>
      <c r="BX28" s="66" t="str">
        <f t="shared" si="8"/>
        <v/>
      </c>
      <c r="BY28" s="66" t="str">
        <f t="shared" si="8"/>
        <v/>
      </c>
      <c r="BZ28" s="66" t="str">
        <f t="shared" si="8"/>
        <v/>
      </c>
      <c r="CA28" s="66" t="str">
        <f t="shared" si="8"/>
        <v/>
      </c>
      <c r="CB28" s="66" t="str">
        <f t="shared" si="8"/>
        <v/>
      </c>
      <c r="CC28" s="66" t="str">
        <f t="shared" si="8"/>
        <v/>
      </c>
      <c r="CD28" s="66" t="str">
        <f t="shared" si="8"/>
        <v/>
      </c>
      <c r="CE28" s="66" t="str">
        <f t="shared" si="8"/>
        <v/>
      </c>
      <c r="CF28" s="66" t="str">
        <f t="shared" si="8"/>
        <v/>
      </c>
      <c r="CG28" s="66" t="str">
        <f t="shared" si="8"/>
        <v/>
      </c>
      <c r="CH28" s="66" t="str">
        <f t="shared" si="8"/>
        <v/>
      </c>
      <c r="CI28" s="66" t="str">
        <f t="shared" si="9"/>
        <v/>
      </c>
      <c r="CJ28" s="66" t="str">
        <f t="shared" si="9"/>
        <v/>
      </c>
      <c r="CK28" s="66" t="str">
        <f t="shared" si="9"/>
        <v/>
      </c>
      <c r="CL28" s="66" t="str">
        <f t="shared" si="9"/>
        <v/>
      </c>
      <c r="CM28" s="66" t="str">
        <f t="shared" si="11"/>
        <v/>
      </c>
      <c r="CN28" s="66" t="str">
        <f t="shared" si="11"/>
        <v/>
      </c>
      <c r="CO28" s="66" t="str">
        <f t="shared" si="11"/>
        <v/>
      </c>
      <c r="CP28" s="66" t="str">
        <f t="shared" si="11"/>
        <v/>
      </c>
      <c r="CQ28" s="66" t="str">
        <f t="shared" si="11"/>
        <v/>
      </c>
      <c r="CR28" s="66" t="str">
        <f t="shared" si="11"/>
        <v/>
      </c>
      <c r="CS28" s="66" t="str">
        <f t="shared" si="11"/>
        <v/>
      </c>
      <c r="CT28" s="66" t="str">
        <f t="shared" si="11"/>
        <v/>
      </c>
      <c r="CU28" s="66" t="str">
        <f t="shared" si="11"/>
        <v/>
      </c>
      <c r="CV28" s="3"/>
    </row>
    <row r="29" spans="1:100">
      <c r="A29" s="35">
        <v>1046865</v>
      </c>
      <c r="B29" s="1">
        <v>55</v>
      </c>
      <c r="C29" s="25" t="str">
        <f t="shared" si="4"/>
        <v>1046865-55</v>
      </c>
      <c r="D29" s="24" t="s">
        <v>87</v>
      </c>
      <c r="E29" s="32" t="s">
        <v>68</v>
      </c>
      <c r="F29" s="27">
        <v>42798</v>
      </c>
      <c r="G29" s="33">
        <v>24.8</v>
      </c>
      <c r="H29" s="27">
        <v>42808</v>
      </c>
      <c r="I29" s="33">
        <v>26.5</v>
      </c>
      <c r="J29" s="34"/>
      <c r="K29" s="71">
        <v>26.5</v>
      </c>
      <c r="L29" s="76">
        <v>26.1</v>
      </c>
      <c r="M29" s="76">
        <v>26.6</v>
      </c>
      <c r="N29" s="76">
        <v>26.1</v>
      </c>
      <c r="O29" s="76"/>
      <c r="P29" s="76">
        <v>26.5</v>
      </c>
      <c r="Q29" s="76">
        <v>26.2</v>
      </c>
      <c r="R29" s="76">
        <v>26.7</v>
      </c>
      <c r="S29" s="76">
        <v>26.2</v>
      </c>
      <c r="T29" s="76">
        <v>26.3</v>
      </c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2"/>
      <c r="BD29" s="66">
        <f t="shared" si="10"/>
        <v>1</v>
      </c>
      <c r="BE29" s="66">
        <f t="shared" si="10"/>
        <v>0.98490566037735849</v>
      </c>
      <c r="BF29" s="66">
        <f t="shared" si="10"/>
        <v>1.0037735849056604</v>
      </c>
      <c r="BG29" s="66">
        <f t="shared" si="10"/>
        <v>0.98490566037735849</v>
      </c>
      <c r="BH29" s="66" t="str">
        <f t="shared" si="10"/>
        <v/>
      </c>
      <c r="BI29" s="66">
        <f t="shared" si="10"/>
        <v>1</v>
      </c>
      <c r="BJ29" s="66">
        <f t="shared" si="10"/>
        <v>0.98867924528301887</v>
      </c>
      <c r="BK29" s="66">
        <f t="shared" si="10"/>
        <v>1.0075471698113208</v>
      </c>
      <c r="BL29" s="66">
        <f t="shared" si="10"/>
        <v>0.98867924528301887</v>
      </c>
      <c r="BM29" s="66">
        <f t="shared" si="10"/>
        <v>0.99245283018867925</v>
      </c>
      <c r="BN29" s="66" t="str">
        <f t="shared" si="10"/>
        <v/>
      </c>
      <c r="BO29" s="66" t="str">
        <f t="shared" si="10"/>
        <v/>
      </c>
      <c r="BP29" s="66" t="str">
        <f t="shared" si="10"/>
        <v/>
      </c>
      <c r="BQ29" s="66" t="str">
        <f t="shared" si="10"/>
        <v/>
      </c>
      <c r="BR29" s="66" t="str">
        <f t="shared" si="10"/>
        <v/>
      </c>
      <c r="BS29" s="66" t="str">
        <f t="shared" si="8"/>
        <v/>
      </c>
      <c r="BT29" s="66" t="str">
        <f t="shared" si="8"/>
        <v/>
      </c>
      <c r="BU29" s="66" t="str">
        <f t="shared" si="8"/>
        <v/>
      </c>
      <c r="BV29" s="66" t="str">
        <f t="shared" si="8"/>
        <v/>
      </c>
      <c r="BW29" s="66" t="str">
        <f t="shared" si="8"/>
        <v/>
      </c>
      <c r="BX29" s="66" t="str">
        <f t="shared" si="8"/>
        <v/>
      </c>
      <c r="BY29" s="66" t="str">
        <f t="shared" si="8"/>
        <v/>
      </c>
      <c r="BZ29" s="66" t="str">
        <f t="shared" si="8"/>
        <v/>
      </c>
      <c r="CA29" s="66" t="str">
        <f t="shared" si="8"/>
        <v/>
      </c>
      <c r="CB29" s="66" t="str">
        <f t="shared" si="8"/>
        <v/>
      </c>
      <c r="CC29" s="66" t="str">
        <f t="shared" si="8"/>
        <v/>
      </c>
      <c r="CD29" s="66" t="str">
        <f t="shared" si="8"/>
        <v/>
      </c>
      <c r="CE29" s="66" t="str">
        <f t="shared" si="8"/>
        <v/>
      </c>
      <c r="CF29" s="66" t="str">
        <f t="shared" si="8"/>
        <v/>
      </c>
      <c r="CG29" s="66" t="str">
        <f t="shared" si="8"/>
        <v/>
      </c>
      <c r="CH29" s="66" t="str">
        <f t="shared" si="8"/>
        <v/>
      </c>
      <c r="CI29" s="66" t="str">
        <f t="shared" si="9"/>
        <v/>
      </c>
      <c r="CJ29" s="66" t="str">
        <f t="shared" si="9"/>
        <v/>
      </c>
      <c r="CK29" s="66" t="str">
        <f t="shared" si="9"/>
        <v/>
      </c>
      <c r="CL29" s="66" t="str">
        <f t="shared" si="9"/>
        <v/>
      </c>
      <c r="CM29" s="66" t="str">
        <f t="shared" si="11"/>
        <v/>
      </c>
      <c r="CN29" s="66" t="str">
        <f t="shared" si="11"/>
        <v/>
      </c>
      <c r="CO29" s="66" t="str">
        <f t="shared" si="11"/>
        <v/>
      </c>
      <c r="CP29" s="66" t="str">
        <f t="shared" si="11"/>
        <v/>
      </c>
      <c r="CQ29" s="66" t="str">
        <f t="shared" si="11"/>
        <v/>
      </c>
      <c r="CR29" s="66" t="str">
        <f t="shared" si="11"/>
        <v/>
      </c>
      <c r="CS29" s="66" t="str">
        <f t="shared" si="11"/>
        <v/>
      </c>
      <c r="CT29" s="66" t="str">
        <f t="shared" si="11"/>
        <v/>
      </c>
      <c r="CU29" s="66" t="str">
        <f t="shared" si="11"/>
        <v/>
      </c>
      <c r="CV29" s="3"/>
    </row>
    <row r="30" spans="1:100">
      <c r="A30" s="35">
        <v>1057808</v>
      </c>
      <c r="B30" s="1">
        <v>61</v>
      </c>
      <c r="C30" s="25" t="str">
        <f t="shared" si="4"/>
        <v>1057808-61</v>
      </c>
      <c r="D30" s="24" t="s">
        <v>87</v>
      </c>
      <c r="E30" s="32" t="s">
        <v>94</v>
      </c>
      <c r="F30" s="27">
        <v>42798</v>
      </c>
      <c r="G30" s="33">
        <v>23.5</v>
      </c>
      <c r="H30" s="27">
        <v>42808</v>
      </c>
      <c r="I30" s="33">
        <v>26.5</v>
      </c>
      <c r="J30" s="34"/>
      <c r="K30" s="71">
        <v>26.5</v>
      </c>
      <c r="L30" s="76">
        <v>26.4</v>
      </c>
      <c r="M30" s="76">
        <v>26.4</v>
      </c>
      <c r="N30" s="76">
        <v>26.5</v>
      </c>
      <c r="O30" s="76"/>
      <c r="P30" s="76">
        <v>27</v>
      </c>
      <c r="Q30" s="76">
        <v>27.3</v>
      </c>
      <c r="R30" s="76">
        <v>28.1</v>
      </c>
      <c r="S30" s="76">
        <v>27.6</v>
      </c>
      <c r="T30" s="76">
        <v>27.9</v>
      </c>
      <c r="U30" s="76">
        <v>28.4</v>
      </c>
      <c r="V30" s="76">
        <v>28.2</v>
      </c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2"/>
      <c r="BD30" s="66">
        <f t="shared" si="10"/>
        <v>1</v>
      </c>
      <c r="BE30" s="66">
        <f t="shared" si="10"/>
        <v>0.99622641509433962</v>
      </c>
      <c r="BF30" s="66">
        <f t="shared" si="10"/>
        <v>0.99622641509433962</v>
      </c>
      <c r="BG30" s="66">
        <f t="shared" si="10"/>
        <v>1</v>
      </c>
      <c r="BH30" s="66" t="str">
        <f t="shared" si="10"/>
        <v/>
      </c>
      <c r="BI30" s="66">
        <f t="shared" si="10"/>
        <v>1.0188679245283019</v>
      </c>
      <c r="BJ30" s="66">
        <f t="shared" si="10"/>
        <v>1.030188679245283</v>
      </c>
      <c r="BK30" s="66">
        <f t="shared" si="10"/>
        <v>1.060377358490566</v>
      </c>
      <c r="BL30" s="66">
        <f t="shared" si="10"/>
        <v>1.0415094339622641</v>
      </c>
      <c r="BM30" s="66">
        <f t="shared" si="10"/>
        <v>1.0528301886792453</v>
      </c>
      <c r="BN30" s="66">
        <f t="shared" si="10"/>
        <v>1.0716981132075472</v>
      </c>
      <c r="BO30" s="66">
        <f t="shared" si="10"/>
        <v>1.0641509433962264</v>
      </c>
      <c r="BP30" s="66" t="str">
        <f t="shared" si="10"/>
        <v/>
      </c>
      <c r="BQ30" s="66" t="str">
        <f t="shared" si="10"/>
        <v/>
      </c>
      <c r="BR30" s="66" t="str">
        <f t="shared" si="10"/>
        <v/>
      </c>
      <c r="BS30" s="66" t="str">
        <f t="shared" si="8"/>
        <v/>
      </c>
      <c r="BT30" s="66" t="str">
        <f t="shared" si="8"/>
        <v/>
      </c>
      <c r="BU30" s="66" t="str">
        <f t="shared" si="8"/>
        <v/>
      </c>
      <c r="BV30" s="66" t="str">
        <f t="shared" si="8"/>
        <v/>
      </c>
      <c r="BW30" s="66" t="str">
        <f t="shared" si="8"/>
        <v/>
      </c>
      <c r="BX30" s="66" t="str">
        <f t="shared" si="8"/>
        <v/>
      </c>
      <c r="BY30" s="66" t="str">
        <f t="shared" si="8"/>
        <v/>
      </c>
      <c r="BZ30" s="66" t="str">
        <f t="shared" si="8"/>
        <v/>
      </c>
      <c r="CA30" s="66" t="str">
        <f t="shared" si="8"/>
        <v/>
      </c>
      <c r="CB30" s="66" t="str">
        <f t="shared" si="8"/>
        <v/>
      </c>
      <c r="CC30" s="66" t="str">
        <f t="shared" si="8"/>
        <v/>
      </c>
      <c r="CD30" s="66" t="str">
        <f t="shared" si="8"/>
        <v/>
      </c>
      <c r="CE30" s="66" t="str">
        <f t="shared" si="8"/>
        <v/>
      </c>
      <c r="CF30" s="66" t="str">
        <f t="shared" si="8"/>
        <v/>
      </c>
      <c r="CG30" s="66" t="str">
        <f t="shared" si="8"/>
        <v/>
      </c>
      <c r="CH30" s="66" t="str">
        <f t="shared" si="8"/>
        <v/>
      </c>
      <c r="CI30" s="66" t="str">
        <f t="shared" si="9"/>
        <v/>
      </c>
      <c r="CJ30" s="66" t="str">
        <f t="shared" si="9"/>
        <v/>
      </c>
      <c r="CK30" s="66" t="str">
        <f t="shared" si="9"/>
        <v/>
      </c>
      <c r="CL30" s="66" t="str">
        <f t="shared" si="9"/>
        <v/>
      </c>
      <c r="CM30" s="66" t="str">
        <f t="shared" si="11"/>
        <v/>
      </c>
      <c r="CN30" s="66" t="str">
        <f t="shared" si="11"/>
        <v/>
      </c>
      <c r="CO30" s="66" t="str">
        <f t="shared" si="11"/>
        <v/>
      </c>
      <c r="CP30" s="66" t="str">
        <f t="shared" si="11"/>
        <v/>
      </c>
      <c r="CQ30" s="66" t="str">
        <f t="shared" si="11"/>
        <v/>
      </c>
      <c r="CR30" s="66" t="str">
        <f t="shared" si="11"/>
        <v/>
      </c>
      <c r="CS30" s="66" t="str">
        <f t="shared" si="11"/>
        <v/>
      </c>
      <c r="CT30" s="66" t="str">
        <f t="shared" si="11"/>
        <v/>
      </c>
      <c r="CU30" s="66" t="str">
        <f t="shared" si="11"/>
        <v/>
      </c>
      <c r="CV30" s="3"/>
    </row>
    <row r="31" spans="1:100">
      <c r="A31" s="35">
        <v>1057808</v>
      </c>
      <c r="B31" s="1">
        <v>62</v>
      </c>
      <c r="C31" s="25" t="str">
        <f t="shared" si="4"/>
        <v>1057808-62</v>
      </c>
      <c r="D31" s="24" t="s">
        <v>87</v>
      </c>
      <c r="E31" s="32" t="s">
        <v>94</v>
      </c>
      <c r="F31" s="27">
        <v>42798</v>
      </c>
      <c r="G31" s="33">
        <v>26.7</v>
      </c>
      <c r="H31" s="27">
        <v>42808</v>
      </c>
      <c r="I31" s="33">
        <v>30.9</v>
      </c>
      <c r="J31" s="34"/>
      <c r="K31" s="71">
        <v>30.9</v>
      </c>
      <c r="L31" s="76">
        <v>30.3</v>
      </c>
      <c r="M31" s="76">
        <v>30.5</v>
      </c>
      <c r="N31" s="76">
        <v>29.4</v>
      </c>
      <c r="O31" s="76"/>
      <c r="P31" s="76">
        <v>29.2</v>
      </c>
      <c r="Q31" s="76">
        <v>29.1</v>
      </c>
      <c r="R31" s="76">
        <v>29.7</v>
      </c>
      <c r="S31" s="76">
        <v>30</v>
      </c>
      <c r="T31" s="76">
        <v>30.2</v>
      </c>
      <c r="U31" s="37">
        <v>29.6</v>
      </c>
      <c r="V31" s="76">
        <v>29.1</v>
      </c>
      <c r="W31" s="76">
        <v>28.3</v>
      </c>
      <c r="X31" s="76">
        <v>22.5</v>
      </c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2"/>
      <c r="BD31" s="66">
        <f t="shared" si="10"/>
        <v>1</v>
      </c>
      <c r="BE31" s="66">
        <f t="shared" si="10"/>
        <v>0.98058252427184478</v>
      </c>
      <c r="BF31" s="66">
        <f t="shared" si="10"/>
        <v>0.98705501618122982</v>
      </c>
      <c r="BG31" s="66">
        <f t="shared" si="10"/>
        <v>0.95145631067961167</v>
      </c>
      <c r="BH31" s="66" t="str">
        <f t="shared" si="10"/>
        <v/>
      </c>
      <c r="BI31" s="66">
        <f t="shared" si="10"/>
        <v>0.94498381877022652</v>
      </c>
      <c r="BJ31" s="66">
        <f t="shared" si="10"/>
        <v>0.94174757281553412</v>
      </c>
      <c r="BK31" s="66">
        <f t="shared" si="10"/>
        <v>0.96116504854368934</v>
      </c>
      <c r="BL31" s="66">
        <f t="shared" si="10"/>
        <v>0.970873786407767</v>
      </c>
      <c r="BM31" s="66">
        <f t="shared" si="10"/>
        <v>0.97734627831715215</v>
      </c>
      <c r="BN31" s="66" t="str">
        <f>IF(OR(ISERROR(U32/$I31)=TRUE,ISBLANK(U32)=TRUE),"",U32/$I31)</f>
        <v/>
      </c>
      <c r="BO31" s="66">
        <f t="shared" si="10"/>
        <v>0.94174757281553412</v>
      </c>
      <c r="BP31" s="66">
        <f t="shared" si="10"/>
        <v>0.91585760517799364</v>
      </c>
      <c r="BQ31" s="66">
        <f t="shared" si="10"/>
        <v>0.72815533980582525</v>
      </c>
      <c r="BR31" s="66" t="str">
        <f t="shared" si="10"/>
        <v/>
      </c>
      <c r="BS31" s="66" t="str">
        <f t="shared" si="8"/>
        <v/>
      </c>
      <c r="BT31" s="66" t="str">
        <f t="shared" si="8"/>
        <v/>
      </c>
      <c r="BU31" s="66" t="str">
        <f t="shared" si="8"/>
        <v/>
      </c>
      <c r="BV31" s="66" t="str">
        <f t="shared" si="8"/>
        <v/>
      </c>
      <c r="BW31" s="66" t="str">
        <f t="shared" si="8"/>
        <v/>
      </c>
      <c r="BX31" s="66" t="str">
        <f t="shared" si="8"/>
        <v/>
      </c>
      <c r="BY31" s="66" t="str">
        <f t="shared" si="8"/>
        <v/>
      </c>
      <c r="BZ31" s="66" t="str">
        <f t="shared" si="8"/>
        <v/>
      </c>
      <c r="CA31" s="66" t="str">
        <f t="shared" si="8"/>
        <v/>
      </c>
      <c r="CB31" s="66" t="str">
        <f t="shared" si="8"/>
        <v/>
      </c>
      <c r="CC31" s="66" t="str">
        <f t="shared" si="8"/>
        <v/>
      </c>
      <c r="CD31" s="66" t="str">
        <f t="shared" si="8"/>
        <v/>
      </c>
      <c r="CE31" s="66" t="str">
        <f t="shared" si="8"/>
        <v/>
      </c>
      <c r="CF31" s="66" t="str">
        <f t="shared" si="8"/>
        <v/>
      </c>
      <c r="CG31" s="66" t="str">
        <f t="shared" si="8"/>
        <v/>
      </c>
      <c r="CH31" s="66" t="str">
        <f t="shared" si="8"/>
        <v/>
      </c>
      <c r="CI31" s="66" t="str">
        <f t="shared" si="9"/>
        <v/>
      </c>
      <c r="CJ31" s="66" t="str">
        <f t="shared" si="9"/>
        <v/>
      </c>
      <c r="CK31" s="66" t="str">
        <f t="shared" si="9"/>
        <v/>
      </c>
      <c r="CL31" s="66" t="str">
        <f t="shared" si="9"/>
        <v/>
      </c>
      <c r="CM31" s="66" t="str">
        <f t="shared" si="11"/>
        <v/>
      </c>
      <c r="CN31" s="66" t="str">
        <f t="shared" si="11"/>
        <v/>
      </c>
      <c r="CO31" s="66" t="str">
        <f t="shared" si="11"/>
        <v/>
      </c>
      <c r="CP31" s="66" t="str">
        <f t="shared" si="11"/>
        <v/>
      </c>
      <c r="CQ31" s="66" t="str">
        <f t="shared" si="11"/>
        <v/>
      </c>
      <c r="CR31" s="66" t="str">
        <f t="shared" si="11"/>
        <v/>
      </c>
      <c r="CS31" s="66" t="str">
        <f t="shared" si="11"/>
        <v/>
      </c>
      <c r="CT31" s="66" t="str">
        <f t="shared" si="11"/>
        <v/>
      </c>
      <c r="CU31" s="66" t="str">
        <f t="shared" si="11"/>
        <v/>
      </c>
      <c r="CV31" s="3"/>
    </row>
    <row r="32" spans="1:100">
      <c r="A32" s="35">
        <v>1057808</v>
      </c>
      <c r="B32" s="1">
        <v>63</v>
      </c>
      <c r="C32" s="25" t="str">
        <f t="shared" si="4"/>
        <v>1057808-63</v>
      </c>
      <c r="D32" s="24" t="s">
        <v>87</v>
      </c>
      <c r="E32" s="32" t="s">
        <v>68</v>
      </c>
      <c r="F32" s="27">
        <v>42798</v>
      </c>
      <c r="G32" s="33">
        <v>26.1</v>
      </c>
      <c r="H32" s="27">
        <v>42808</v>
      </c>
      <c r="I32" s="33">
        <v>30.4</v>
      </c>
      <c r="J32" s="34"/>
      <c r="K32" s="71">
        <v>30.4</v>
      </c>
      <c r="L32" s="76">
        <v>29.8</v>
      </c>
      <c r="M32" s="76">
        <v>30</v>
      </c>
      <c r="N32" s="76">
        <v>29.5</v>
      </c>
      <c r="O32" s="76"/>
      <c r="P32" s="76">
        <v>29.4</v>
      </c>
      <c r="Q32" s="76">
        <v>28.5</v>
      </c>
      <c r="R32" s="76">
        <v>26.6</v>
      </c>
      <c r="S32" s="76">
        <v>27.4</v>
      </c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2"/>
      <c r="BD32" s="66">
        <f t="shared" si="10"/>
        <v>1</v>
      </c>
      <c r="BE32" s="66">
        <f t="shared" si="10"/>
        <v>0.98026315789473695</v>
      </c>
      <c r="BF32" s="66">
        <f t="shared" si="10"/>
        <v>0.98684210526315796</v>
      </c>
      <c r="BG32" s="66">
        <f t="shared" si="10"/>
        <v>0.97039473684210531</v>
      </c>
      <c r="BH32" s="66" t="str">
        <f t="shared" si="10"/>
        <v/>
      </c>
      <c r="BI32" s="66">
        <f t="shared" si="10"/>
        <v>0.96710526315789469</v>
      </c>
      <c r="BJ32" s="66">
        <f t="shared" si="10"/>
        <v>0.9375</v>
      </c>
      <c r="BK32" s="66">
        <f t="shared" si="10"/>
        <v>0.87500000000000011</v>
      </c>
      <c r="BL32" s="66">
        <f t="shared" si="10"/>
        <v>0.90131578947368418</v>
      </c>
      <c r="BM32" s="66" t="str">
        <f t="shared" si="10"/>
        <v/>
      </c>
      <c r="BN32" s="66" t="str">
        <f>IF(OR(ISERROR(U33/$I32)=TRUE,ISBLANK(U33)=TRUE),"",U33/$I32)</f>
        <v/>
      </c>
      <c r="BO32" s="66" t="str">
        <f t="shared" si="10"/>
        <v/>
      </c>
      <c r="BP32" s="66" t="str">
        <f t="shared" si="10"/>
        <v/>
      </c>
      <c r="BQ32" s="66" t="str">
        <f t="shared" si="10"/>
        <v/>
      </c>
      <c r="BR32" s="66" t="str">
        <f t="shared" si="10"/>
        <v/>
      </c>
      <c r="BS32" s="66" t="str">
        <f t="shared" si="8"/>
        <v/>
      </c>
      <c r="BT32" s="66" t="str">
        <f t="shared" si="8"/>
        <v/>
      </c>
      <c r="BU32" s="66" t="str">
        <f t="shared" si="8"/>
        <v/>
      </c>
      <c r="BV32" s="66" t="str">
        <f t="shared" si="8"/>
        <v/>
      </c>
      <c r="BW32" s="66" t="str">
        <f t="shared" si="8"/>
        <v/>
      </c>
      <c r="BX32" s="66" t="str">
        <f t="shared" si="8"/>
        <v/>
      </c>
      <c r="BY32" s="66" t="str">
        <f t="shared" si="8"/>
        <v/>
      </c>
      <c r="BZ32" s="66" t="str">
        <f t="shared" si="8"/>
        <v/>
      </c>
      <c r="CA32" s="66" t="str">
        <f t="shared" si="8"/>
        <v/>
      </c>
      <c r="CB32" s="66" t="str">
        <f t="shared" si="8"/>
        <v/>
      </c>
      <c r="CC32" s="66" t="str">
        <f t="shared" si="8"/>
        <v/>
      </c>
      <c r="CD32" s="66" t="str">
        <f t="shared" si="8"/>
        <v/>
      </c>
      <c r="CE32" s="66" t="str">
        <f t="shared" si="8"/>
        <v/>
      </c>
      <c r="CF32" s="66" t="str">
        <f t="shared" si="8"/>
        <v/>
      </c>
      <c r="CG32" s="66" t="str">
        <f t="shared" si="8"/>
        <v/>
      </c>
      <c r="CH32" s="66" t="str">
        <f t="shared" si="8"/>
        <v/>
      </c>
      <c r="CI32" s="66" t="str">
        <f t="shared" si="9"/>
        <v/>
      </c>
      <c r="CJ32" s="66" t="str">
        <f t="shared" si="9"/>
        <v/>
      </c>
      <c r="CK32" s="66" t="str">
        <f t="shared" si="9"/>
        <v/>
      </c>
      <c r="CL32" s="66" t="str">
        <f t="shared" si="9"/>
        <v/>
      </c>
      <c r="CM32" s="66" t="str">
        <f t="shared" si="11"/>
        <v/>
      </c>
      <c r="CN32" s="66" t="str">
        <f t="shared" si="11"/>
        <v/>
      </c>
      <c r="CO32" s="66" t="str">
        <f t="shared" si="11"/>
        <v/>
      </c>
      <c r="CP32" s="66" t="str">
        <f t="shared" si="11"/>
        <v/>
      </c>
      <c r="CQ32" s="66" t="str">
        <f t="shared" si="11"/>
        <v/>
      </c>
      <c r="CR32" s="66" t="str">
        <f t="shared" si="11"/>
        <v/>
      </c>
      <c r="CS32" s="66" t="str">
        <f t="shared" si="11"/>
        <v/>
      </c>
      <c r="CT32" s="66" t="str">
        <f t="shared" si="11"/>
        <v/>
      </c>
      <c r="CU32" s="66" t="str">
        <f t="shared" si="11"/>
        <v/>
      </c>
      <c r="CV32" s="3"/>
    </row>
    <row r="33" spans="1:100">
      <c r="A33" s="35">
        <v>1057808</v>
      </c>
      <c r="B33" s="1">
        <v>64</v>
      </c>
      <c r="C33" s="25" t="str">
        <f t="shared" si="4"/>
        <v>1057808-64</v>
      </c>
      <c r="D33" s="24" t="s">
        <v>87</v>
      </c>
      <c r="E33" s="32" t="s">
        <v>68</v>
      </c>
      <c r="F33" s="27">
        <v>42798</v>
      </c>
      <c r="G33" s="33">
        <v>24.1</v>
      </c>
      <c r="H33" s="27">
        <v>42808</v>
      </c>
      <c r="I33" s="33">
        <v>27.6</v>
      </c>
      <c r="J33" s="34"/>
      <c r="K33" s="71">
        <v>27.6</v>
      </c>
      <c r="L33" s="76">
        <v>27.8</v>
      </c>
      <c r="M33" s="76">
        <v>27.8</v>
      </c>
      <c r="N33" s="76">
        <v>27.8</v>
      </c>
      <c r="O33" s="76"/>
      <c r="P33" s="76">
        <v>27.7</v>
      </c>
      <c r="Q33" s="76">
        <v>27.1</v>
      </c>
      <c r="R33" s="76">
        <v>27</v>
      </c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2"/>
      <c r="BD33" s="66">
        <f t="shared" si="10"/>
        <v>1</v>
      </c>
      <c r="BE33" s="66">
        <f t="shared" si="10"/>
        <v>1.0072463768115942</v>
      </c>
      <c r="BF33" s="66">
        <f t="shared" si="10"/>
        <v>1.0072463768115942</v>
      </c>
      <c r="BG33" s="66">
        <f t="shared" si="10"/>
        <v>1.0072463768115942</v>
      </c>
      <c r="BH33" s="66" t="str">
        <f t="shared" si="10"/>
        <v/>
      </c>
      <c r="BI33" s="66">
        <f t="shared" si="10"/>
        <v>1.0036231884057971</v>
      </c>
      <c r="BJ33" s="66">
        <f t="shared" si="10"/>
        <v>0.98188405797101452</v>
      </c>
      <c r="BK33" s="66">
        <f t="shared" si="10"/>
        <v>0.97826086956521729</v>
      </c>
      <c r="BL33" s="66" t="str">
        <f t="shared" si="10"/>
        <v/>
      </c>
      <c r="BM33" s="66" t="str">
        <f t="shared" si="10"/>
        <v/>
      </c>
      <c r="BN33" s="66" t="str">
        <f t="shared" si="10"/>
        <v/>
      </c>
      <c r="BO33" s="66" t="str">
        <f t="shared" si="10"/>
        <v/>
      </c>
      <c r="BP33" s="66" t="str">
        <f t="shared" si="10"/>
        <v/>
      </c>
      <c r="BQ33" s="66" t="str">
        <f t="shared" si="10"/>
        <v/>
      </c>
      <c r="BR33" s="66" t="str">
        <f t="shared" si="10"/>
        <v/>
      </c>
      <c r="BS33" s="66" t="str">
        <f t="shared" si="8"/>
        <v/>
      </c>
      <c r="BT33" s="66" t="str">
        <f t="shared" si="8"/>
        <v/>
      </c>
      <c r="BU33" s="66" t="str">
        <f t="shared" si="8"/>
        <v/>
      </c>
      <c r="BV33" s="66" t="str">
        <f t="shared" si="8"/>
        <v/>
      </c>
      <c r="BW33" s="66" t="str">
        <f t="shared" si="8"/>
        <v/>
      </c>
      <c r="BX33" s="66" t="str">
        <f t="shared" si="8"/>
        <v/>
      </c>
      <c r="BY33" s="66" t="str">
        <f t="shared" si="8"/>
        <v/>
      </c>
      <c r="BZ33" s="66" t="str">
        <f t="shared" si="8"/>
        <v/>
      </c>
      <c r="CA33" s="66" t="str">
        <f t="shared" si="8"/>
        <v/>
      </c>
      <c r="CB33" s="66" t="str">
        <f t="shared" si="8"/>
        <v/>
      </c>
      <c r="CC33" s="66" t="str">
        <f t="shared" si="8"/>
        <v/>
      </c>
      <c r="CD33" s="66" t="str">
        <f t="shared" si="8"/>
        <v/>
      </c>
      <c r="CE33" s="66" t="str">
        <f t="shared" si="8"/>
        <v/>
      </c>
      <c r="CF33" s="66" t="str">
        <f t="shared" si="8"/>
        <v/>
      </c>
      <c r="CG33" s="66" t="str">
        <f t="shared" si="8"/>
        <v/>
      </c>
      <c r="CH33" s="66" t="str">
        <f t="shared" si="8"/>
        <v/>
      </c>
      <c r="CI33" s="66" t="str">
        <f t="shared" si="9"/>
        <v/>
      </c>
      <c r="CJ33" s="66" t="str">
        <f t="shared" si="9"/>
        <v/>
      </c>
      <c r="CK33" s="66" t="str">
        <f t="shared" si="9"/>
        <v/>
      </c>
      <c r="CL33" s="66" t="str">
        <f t="shared" si="9"/>
        <v/>
      </c>
      <c r="CM33" s="66" t="str">
        <f t="shared" si="11"/>
        <v/>
      </c>
      <c r="CN33" s="66" t="str">
        <f t="shared" si="11"/>
        <v/>
      </c>
      <c r="CO33" s="66" t="str">
        <f t="shared" si="11"/>
        <v/>
      </c>
      <c r="CP33" s="66" t="str">
        <f t="shared" si="11"/>
        <v/>
      </c>
      <c r="CQ33" s="66" t="str">
        <f t="shared" si="11"/>
        <v/>
      </c>
      <c r="CR33" s="66" t="str">
        <f t="shared" si="11"/>
        <v/>
      </c>
      <c r="CS33" s="66" t="str">
        <f t="shared" si="11"/>
        <v/>
      </c>
      <c r="CT33" s="66" t="str">
        <f t="shared" si="11"/>
        <v/>
      </c>
      <c r="CU33" s="66" t="str">
        <f t="shared" si="11"/>
        <v/>
      </c>
      <c r="CV33" s="3"/>
    </row>
    <row r="34" spans="1:100">
      <c r="A34" s="35">
        <v>1057808</v>
      </c>
      <c r="B34" s="1">
        <v>65</v>
      </c>
      <c r="C34" s="25" t="str">
        <f t="shared" si="4"/>
        <v>1057808-65</v>
      </c>
      <c r="D34" s="24" t="s">
        <v>87</v>
      </c>
      <c r="E34" s="32" t="s">
        <v>94</v>
      </c>
      <c r="F34" s="27">
        <v>42798</v>
      </c>
      <c r="G34" s="33">
        <v>23.7</v>
      </c>
      <c r="H34" s="27">
        <v>42808</v>
      </c>
      <c r="I34" s="33">
        <v>28</v>
      </c>
      <c r="J34" s="34"/>
      <c r="K34" s="71">
        <v>28</v>
      </c>
      <c r="L34" s="76">
        <v>28.2</v>
      </c>
      <c r="M34" s="76">
        <v>28.3</v>
      </c>
      <c r="N34" s="76">
        <v>25.8</v>
      </c>
      <c r="O34" s="76"/>
      <c r="P34" s="76">
        <v>25.5</v>
      </c>
      <c r="Q34" s="76">
        <v>24.9</v>
      </c>
      <c r="R34" s="76">
        <v>24.9</v>
      </c>
      <c r="S34" s="76">
        <v>25.4</v>
      </c>
      <c r="T34" s="76">
        <v>25.8</v>
      </c>
      <c r="U34" s="76">
        <v>26.7</v>
      </c>
      <c r="V34" s="76">
        <v>26.2</v>
      </c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2"/>
      <c r="BD34" s="66">
        <f t="shared" si="10"/>
        <v>1</v>
      </c>
      <c r="BE34" s="66">
        <f t="shared" si="10"/>
        <v>1.0071428571428571</v>
      </c>
      <c r="BF34" s="66">
        <f t="shared" si="10"/>
        <v>1.0107142857142857</v>
      </c>
      <c r="BG34" s="66">
        <f t="shared" si="10"/>
        <v>0.92142857142857149</v>
      </c>
      <c r="BH34" s="66" t="str">
        <f t="shared" si="10"/>
        <v/>
      </c>
      <c r="BI34" s="66">
        <f t="shared" si="10"/>
        <v>0.9107142857142857</v>
      </c>
      <c r="BJ34" s="66">
        <f t="shared" si="10"/>
        <v>0.88928571428571423</v>
      </c>
      <c r="BK34" s="66">
        <f t="shared" si="10"/>
        <v>0.88928571428571423</v>
      </c>
      <c r="BL34" s="66">
        <f t="shared" si="10"/>
        <v>0.90714285714285714</v>
      </c>
      <c r="BM34" s="66">
        <f t="shared" si="10"/>
        <v>0.92142857142857149</v>
      </c>
      <c r="BN34" s="66" t="str">
        <f>IF(OR(ISERROR(#REF!/$I34)=TRUE,ISBLANK(#REF!)=TRUE),"",#REF!/$I34)</f>
        <v/>
      </c>
      <c r="BO34" s="66">
        <f t="shared" si="10"/>
        <v>0.93571428571428572</v>
      </c>
      <c r="BP34" s="66" t="str">
        <f t="shared" si="10"/>
        <v/>
      </c>
      <c r="BQ34" s="66" t="str">
        <f t="shared" si="10"/>
        <v/>
      </c>
      <c r="BR34" s="66" t="str">
        <f t="shared" si="10"/>
        <v/>
      </c>
      <c r="BS34" s="66" t="str">
        <f t="shared" si="8"/>
        <v/>
      </c>
      <c r="BT34" s="66" t="str">
        <f t="shared" si="8"/>
        <v/>
      </c>
      <c r="BU34" s="66" t="str">
        <f t="shared" si="8"/>
        <v/>
      </c>
      <c r="BV34" s="66" t="str">
        <f t="shared" si="8"/>
        <v/>
      </c>
      <c r="BW34" s="66" t="str">
        <f t="shared" si="8"/>
        <v/>
      </c>
      <c r="BX34" s="66" t="str">
        <f t="shared" si="8"/>
        <v/>
      </c>
      <c r="BY34" s="66" t="str">
        <f t="shared" si="8"/>
        <v/>
      </c>
      <c r="BZ34" s="66" t="str">
        <f t="shared" si="8"/>
        <v/>
      </c>
      <c r="CA34" s="66" t="str">
        <f t="shared" si="8"/>
        <v/>
      </c>
      <c r="CB34" s="66" t="str">
        <f t="shared" si="8"/>
        <v/>
      </c>
      <c r="CC34" s="66" t="str">
        <f t="shared" si="8"/>
        <v/>
      </c>
      <c r="CD34" s="66" t="str">
        <f t="shared" si="8"/>
        <v/>
      </c>
      <c r="CE34" s="66" t="str">
        <f t="shared" si="8"/>
        <v/>
      </c>
      <c r="CF34" s="66" t="str">
        <f t="shared" si="8"/>
        <v/>
      </c>
      <c r="CG34" s="66" t="str">
        <f t="shared" si="8"/>
        <v/>
      </c>
      <c r="CH34" s="66" t="str">
        <f t="shared" si="8"/>
        <v/>
      </c>
      <c r="CI34" s="66" t="str">
        <f t="shared" si="9"/>
        <v/>
      </c>
      <c r="CJ34" s="66" t="str">
        <f t="shared" si="9"/>
        <v/>
      </c>
      <c r="CK34" s="66" t="str">
        <f t="shared" si="9"/>
        <v/>
      </c>
      <c r="CL34" s="66" t="str">
        <f t="shared" si="9"/>
        <v/>
      </c>
      <c r="CM34" s="66" t="str">
        <f t="shared" si="11"/>
        <v/>
      </c>
      <c r="CN34" s="66" t="str">
        <f t="shared" si="11"/>
        <v/>
      </c>
      <c r="CO34" s="66" t="str">
        <f t="shared" si="11"/>
        <v/>
      </c>
      <c r="CP34" s="66" t="str">
        <f t="shared" si="11"/>
        <v/>
      </c>
      <c r="CQ34" s="66" t="str">
        <f t="shared" si="11"/>
        <v/>
      </c>
      <c r="CR34" s="66" t="str">
        <f t="shared" si="11"/>
        <v/>
      </c>
      <c r="CS34" s="66" t="str">
        <f t="shared" si="11"/>
        <v/>
      </c>
      <c r="CT34" s="66" t="str">
        <f t="shared" si="11"/>
        <v/>
      </c>
      <c r="CU34" s="66" t="str">
        <f t="shared" si="11"/>
        <v/>
      </c>
      <c r="CV34" s="3"/>
    </row>
    <row r="35" spans="1:100">
      <c r="A35" s="291"/>
      <c r="B35" s="256"/>
      <c r="C35" s="25"/>
      <c r="D35" s="24"/>
      <c r="E35" s="32"/>
      <c r="F35" s="27"/>
      <c r="G35" s="258"/>
      <c r="H35" s="27"/>
      <c r="I35" s="258"/>
      <c r="J35" s="292"/>
      <c r="K35" s="262"/>
      <c r="L35" s="263"/>
      <c r="M35" s="263"/>
      <c r="N35" s="263"/>
      <c r="O35" s="263"/>
      <c r="P35" s="263"/>
      <c r="Q35" s="263"/>
      <c r="R35" s="263"/>
      <c r="S35" s="263"/>
      <c r="T35" s="263"/>
      <c r="U35" s="76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4"/>
      <c r="BD35" s="66" t="str">
        <f t="shared" si="10"/>
        <v/>
      </c>
      <c r="BE35" s="66" t="str">
        <f t="shared" si="10"/>
        <v/>
      </c>
      <c r="BF35" s="66" t="str">
        <f t="shared" si="10"/>
        <v/>
      </c>
      <c r="BG35" s="66" t="str">
        <f t="shared" si="10"/>
        <v/>
      </c>
      <c r="BH35" s="66" t="str">
        <f t="shared" si="10"/>
        <v/>
      </c>
      <c r="BI35" s="66" t="str">
        <f t="shared" si="10"/>
        <v/>
      </c>
      <c r="BJ35" s="66" t="str">
        <f t="shared" si="10"/>
        <v/>
      </c>
      <c r="BK35" s="66" t="str">
        <f t="shared" si="10"/>
        <v/>
      </c>
      <c r="BL35" s="66" t="str">
        <f t="shared" si="10"/>
        <v/>
      </c>
      <c r="BM35" s="66" t="str">
        <f t="shared" si="10"/>
        <v/>
      </c>
      <c r="BN35" s="66" t="str">
        <f t="shared" si="10"/>
        <v/>
      </c>
      <c r="BO35" s="66" t="str">
        <f t="shared" si="10"/>
        <v/>
      </c>
      <c r="BP35" s="66" t="str">
        <f t="shared" si="10"/>
        <v/>
      </c>
      <c r="BQ35" s="66" t="str">
        <f t="shared" si="10"/>
        <v/>
      </c>
      <c r="BR35" s="66" t="str">
        <f t="shared" si="10"/>
        <v/>
      </c>
      <c r="BS35" s="66" t="str">
        <f t="shared" si="8"/>
        <v/>
      </c>
      <c r="BT35" s="66" t="str">
        <f t="shared" si="8"/>
        <v/>
      </c>
      <c r="BU35" s="66" t="str">
        <f t="shared" si="8"/>
        <v/>
      </c>
      <c r="BV35" s="66" t="str">
        <f t="shared" si="8"/>
        <v/>
      </c>
      <c r="BW35" s="66" t="str">
        <f t="shared" si="8"/>
        <v/>
      </c>
      <c r="BX35" s="66" t="str">
        <f t="shared" si="8"/>
        <v/>
      </c>
      <c r="BY35" s="66" t="str">
        <f t="shared" si="8"/>
        <v/>
      </c>
      <c r="BZ35" s="66" t="str">
        <f t="shared" si="8"/>
        <v/>
      </c>
      <c r="CA35" s="66" t="str">
        <f t="shared" si="8"/>
        <v/>
      </c>
      <c r="CB35" s="66" t="str">
        <f t="shared" si="8"/>
        <v/>
      </c>
      <c r="CC35" s="66" t="str">
        <f t="shared" si="8"/>
        <v/>
      </c>
      <c r="CD35" s="66" t="str">
        <f t="shared" si="8"/>
        <v/>
      </c>
      <c r="CE35" s="66" t="str">
        <f t="shared" si="8"/>
        <v/>
      </c>
      <c r="CF35" s="66" t="str">
        <f t="shared" si="8"/>
        <v/>
      </c>
      <c r="CG35" s="66" t="str">
        <f t="shared" si="8"/>
        <v/>
      </c>
      <c r="CH35" s="66" t="str">
        <f t="shared" si="8"/>
        <v/>
      </c>
      <c r="CI35" s="66" t="str">
        <f t="shared" si="9"/>
        <v/>
      </c>
      <c r="CJ35" s="66" t="str">
        <f t="shared" si="9"/>
        <v/>
      </c>
      <c r="CK35" s="66" t="str">
        <f t="shared" si="9"/>
        <v/>
      </c>
      <c r="CL35" s="66" t="str">
        <f t="shared" si="9"/>
        <v/>
      </c>
      <c r="CM35" s="66" t="str">
        <f t="shared" si="11"/>
        <v/>
      </c>
      <c r="CN35" s="66" t="str">
        <f t="shared" si="11"/>
        <v/>
      </c>
      <c r="CO35" s="66" t="str">
        <f t="shared" si="11"/>
        <v/>
      </c>
      <c r="CP35" s="66" t="str">
        <f t="shared" si="11"/>
        <v/>
      </c>
      <c r="CQ35" s="66" t="str">
        <f t="shared" si="11"/>
        <v/>
      </c>
      <c r="CR35" s="66" t="str">
        <f t="shared" si="11"/>
        <v/>
      </c>
      <c r="CS35" s="66" t="str">
        <f t="shared" si="11"/>
        <v/>
      </c>
      <c r="CT35" s="66" t="str">
        <f t="shared" si="11"/>
        <v/>
      </c>
      <c r="CU35" s="66" t="str">
        <f t="shared" si="11"/>
        <v/>
      </c>
      <c r="CV35" s="3"/>
    </row>
    <row r="36" spans="1:100">
      <c r="A36" s="265"/>
      <c r="B36" s="266"/>
      <c r="C36" s="267"/>
      <c r="D36" s="266"/>
      <c r="E36" s="268"/>
      <c r="F36" s="269"/>
      <c r="G36" s="270"/>
      <c r="H36" s="269"/>
      <c r="I36" s="270"/>
      <c r="J36" s="266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66"/>
      <c r="BD36" s="266"/>
      <c r="BE36" s="266"/>
      <c r="BF36" s="266"/>
      <c r="BG36" s="266"/>
      <c r="BH36" s="266"/>
      <c r="BI36" s="266"/>
      <c r="BJ36" s="266"/>
      <c r="BK36" s="266"/>
      <c r="BL36" s="266"/>
      <c r="BM36" s="266"/>
      <c r="BN36" s="266"/>
      <c r="BO36" s="266"/>
      <c r="BP36" s="266"/>
      <c r="BQ36" s="266"/>
      <c r="BR36" s="266"/>
      <c r="BS36" s="266"/>
      <c r="BT36" s="266"/>
      <c r="BU36" s="266"/>
      <c r="BV36" s="266"/>
      <c r="BW36" s="266"/>
      <c r="BX36" s="266"/>
      <c r="BY36" s="266"/>
      <c r="BZ36" s="266"/>
      <c r="CA36" s="266"/>
      <c r="CB36" s="266"/>
      <c r="CC36" s="266"/>
      <c r="CD36" s="266"/>
      <c r="CE36" s="266"/>
      <c r="CF36" s="266"/>
      <c r="CG36" s="266"/>
      <c r="CH36" s="266"/>
      <c r="CI36" s="266"/>
      <c r="CJ36" s="266"/>
      <c r="CK36" s="266"/>
      <c r="CL36" s="266"/>
      <c r="CM36" s="266"/>
      <c r="CN36" s="266"/>
      <c r="CO36" s="266"/>
      <c r="CP36" s="266"/>
      <c r="CQ36" s="266"/>
      <c r="CR36" s="266"/>
      <c r="CS36" s="266"/>
      <c r="CT36" s="266"/>
      <c r="CU36" s="266"/>
    </row>
    <row r="37" spans="1:100" ht="14.25" customHeight="1">
      <c r="A37" s="46"/>
      <c r="B37" s="46"/>
      <c r="C37" s="46"/>
      <c r="E37" s="83" t="s">
        <v>16</v>
      </c>
      <c r="H37" s="364" t="s">
        <v>16</v>
      </c>
      <c r="I37" s="50">
        <f>AVERAGE(I5:I35)</f>
        <v>28.116666666666671</v>
      </c>
      <c r="J37" s="65" t="s">
        <v>9</v>
      </c>
      <c r="K37" s="71">
        <f t="shared" ref="K37:W37" si="12">AVERAGE(K5:K35)</f>
        <v>28.116666666666671</v>
      </c>
      <c r="L37" s="71">
        <f t="shared" si="12"/>
        <v>27.769999999999989</v>
      </c>
      <c r="M37" s="71">
        <f t="shared" si="12"/>
        <v>27.879999999999995</v>
      </c>
      <c r="N37" s="71">
        <f t="shared" si="12"/>
        <v>27.259999999999994</v>
      </c>
      <c r="O37" s="71">
        <f t="shared" si="12"/>
        <v>21.3</v>
      </c>
      <c r="P37" s="71">
        <f t="shared" si="12"/>
        <v>27.346428571428568</v>
      </c>
      <c r="Q37" s="71">
        <f t="shared" si="12"/>
        <v>27.175000000000001</v>
      </c>
      <c r="R37" s="71">
        <f t="shared" si="12"/>
        <v>27.208333333333339</v>
      </c>
      <c r="S37" s="71">
        <f t="shared" si="12"/>
        <v>27.155555555555551</v>
      </c>
      <c r="T37" s="71">
        <f t="shared" si="12"/>
        <v>27.271428571428569</v>
      </c>
      <c r="U37" s="71">
        <f t="shared" si="12"/>
        <v>28.336363636363636</v>
      </c>
      <c r="V37" s="71">
        <f t="shared" si="12"/>
        <v>28.066666666666659</v>
      </c>
      <c r="W37" s="71">
        <f t="shared" si="12"/>
        <v>29.166666666666668</v>
      </c>
      <c r="X37" s="71">
        <f>AVERAGE(X5:X36)</f>
        <v>24.3</v>
      </c>
      <c r="Y37" s="71">
        <f t="shared" ref="Y37:BB37" si="13">AVERAGE(Y5:Y35)</f>
        <v>25.6</v>
      </c>
      <c r="Z37" s="71" t="e">
        <f t="shared" si="13"/>
        <v>#DIV/0!</v>
      </c>
      <c r="AA37" s="71" t="e">
        <f t="shared" si="13"/>
        <v>#DIV/0!</v>
      </c>
      <c r="AB37" s="71" t="e">
        <f t="shared" si="13"/>
        <v>#DIV/0!</v>
      </c>
      <c r="AC37" s="71" t="e">
        <f t="shared" si="13"/>
        <v>#DIV/0!</v>
      </c>
      <c r="AD37" s="71" t="e">
        <f t="shared" si="13"/>
        <v>#DIV/0!</v>
      </c>
      <c r="AE37" s="71" t="e">
        <f t="shared" si="13"/>
        <v>#DIV/0!</v>
      </c>
      <c r="AF37" s="71" t="e">
        <f t="shared" si="13"/>
        <v>#DIV/0!</v>
      </c>
      <c r="AG37" s="71" t="e">
        <f t="shared" si="13"/>
        <v>#DIV/0!</v>
      </c>
      <c r="AH37" s="71" t="e">
        <f t="shared" si="13"/>
        <v>#DIV/0!</v>
      </c>
      <c r="AI37" s="71" t="e">
        <f t="shared" si="13"/>
        <v>#DIV/0!</v>
      </c>
      <c r="AJ37" s="71" t="e">
        <f t="shared" si="13"/>
        <v>#DIV/0!</v>
      </c>
      <c r="AK37" s="71" t="e">
        <f t="shared" si="13"/>
        <v>#DIV/0!</v>
      </c>
      <c r="AL37" s="71" t="e">
        <f t="shared" si="13"/>
        <v>#DIV/0!</v>
      </c>
      <c r="AM37" s="71" t="e">
        <f t="shared" si="13"/>
        <v>#DIV/0!</v>
      </c>
      <c r="AN37" s="71" t="e">
        <f t="shared" si="13"/>
        <v>#DIV/0!</v>
      </c>
      <c r="AO37" s="71" t="e">
        <f t="shared" si="13"/>
        <v>#DIV/0!</v>
      </c>
      <c r="AP37" s="71" t="e">
        <f t="shared" si="13"/>
        <v>#DIV/0!</v>
      </c>
      <c r="AQ37" s="71" t="e">
        <f t="shared" si="13"/>
        <v>#DIV/0!</v>
      </c>
      <c r="AR37" s="71" t="e">
        <f t="shared" si="13"/>
        <v>#DIV/0!</v>
      </c>
      <c r="AS37" s="71" t="e">
        <f t="shared" si="13"/>
        <v>#DIV/0!</v>
      </c>
      <c r="AT37" s="71" t="e">
        <f t="shared" si="13"/>
        <v>#DIV/0!</v>
      </c>
      <c r="AU37" s="71" t="e">
        <f t="shared" si="13"/>
        <v>#DIV/0!</v>
      </c>
      <c r="AV37" s="71" t="e">
        <f t="shared" si="13"/>
        <v>#DIV/0!</v>
      </c>
      <c r="AW37" s="71" t="e">
        <f t="shared" si="13"/>
        <v>#DIV/0!</v>
      </c>
      <c r="AX37" s="71" t="e">
        <f t="shared" si="13"/>
        <v>#DIV/0!</v>
      </c>
      <c r="AY37" s="71" t="e">
        <f t="shared" si="13"/>
        <v>#DIV/0!</v>
      </c>
      <c r="AZ37" s="71" t="e">
        <f t="shared" si="13"/>
        <v>#DIV/0!</v>
      </c>
      <c r="BA37" s="71" t="e">
        <f t="shared" si="13"/>
        <v>#DIV/0!</v>
      </c>
      <c r="BB37" s="71" t="e">
        <f t="shared" si="13"/>
        <v>#DIV/0!</v>
      </c>
      <c r="BC37" s="91" t="s">
        <v>9</v>
      </c>
      <c r="BD37" s="66">
        <f t="shared" ref="BD37:CU37" si="14">AVERAGE(BD5:BD35)</f>
        <v>1</v>
      </c>
      <c r="BE37" s="66">
        <f t="shared" si="14"/>
        <v>0.987866764016051</v>
      </c>
      <c r="BF37" s="66">
        <f t="shared" si="14"/>
        <v>0.99160437393433776</v>
      </c>
      <c r="BG37" s="66">
        <f t="shared" si="14"/>
        <v>0.96959528628593394</v>
      </c>
      <c r="BH37" s="66">
        <f t="shared" si="14"/>
        <v>0.78888888888888886</v>
      </c>
      <c r="BI37" s="66">
        <f t="shared" si="14"/>
        <v>0.97203314629693438</v>
      </c>
      <c r="BJ37" s="66">
        <f t="shared" si="14"/>
        <v>0.96610474721087214</v>
      </c>
      <c r="BK37" s="66">
        <f t="shared" si="14"/>
        <v>0.97275058290739158</v>
      </c>
      <c r="BL37" s="66">
        <f t="shared" si="14"/>
        <v>0.96170418730468099</v>
      </c>
      <c r="BM37" s="66">
        <f t="shared" si="14"/>
        <v>0.97976585152603035</v>
      </c>
      <c r="BN37" s="66">
        <f t="shared" si="14"/>
        <v>1.0057736985397991</v>
      </c>
      <c r="BO37" s="66">
        <f t="shared" si="14"/>
        <v>1.0004372199275362</v>
      </c>
      <c r="BP37" s="66">
        <f t="shared" si="14"/>
        <v>0.97745959097472268</v>
      </c>
      <c r="BQ37" s="66">
        <f t="shared" si="14"/>
        <v>0.85101796841037536</v>
      </c>
      <c r="BR37" s="66">
        <f t="shared" si="14"/>
        <v>0.95522388059701491</v>
      </c>
      <c r="BS37" s="66" t="e">
        <f t="shared" si="14"/>
        <v>#DIV/0!</v>
      </c>
      <c r="BT37" s="66" t="e">
        <f t="shared" si="14"/>
        <v>#DIV/0!</v>
      </c>
      <c r="BU37" s="66" t="e">
        <f t="shared" si="14"/>
        <v>#DIV/0!</v>
      </c>
      <c r="BV37" s="66" t="e">
        <f t="shared" si="14"/>
        <v>#DIV/0!</v>
      </c>
      <c r="BW37" s="66" t="e">
        <f t="shared" si="14"/>
        <v>#DIV/0!</v>
      </c>
      <c r="BX37" s="66" t="e">
        <f t="shared" si="14"/>
        <v>#DIV/0!</v>
      </c>
      <c r="BY37" s="66" t="e">
        <f t="shared" si="14"/>
        <v>#DIV/0!</v>
      </c>
      <c r="BZ37" s="66" t="e">
        <f t="shared" si="14"/>
        <v>#DIV/0!</v>
      </c>
      <c r="CA37" s="66" t="e">
        <f t="shared" si="14"/>
        <v>#DIV/0!</v>
      </c>
      <c r="CB37" s="66" t="e">
        <f t="shared" si="14"/>
        <v>#DIV/0!</v>
      </c>
      <c r="CC37" s="66" t="e">
        <f t="shared" si="14"/>
        <v>#DIV/0!</v>
      </c>
      <c r="CD37" s="66" t="e">
        <f t="shared" si="14"/>
        <v>#DIV/0!</v>
      </c>
      <c r="CE37" s="66" t="e">
        <f t="shared" si="14"/>
        <v>#DIV/0!</v>
      </c>
      <c r="CF37" s="66" t="e">
        <f t="shared" si="14"/>
        <v>#DIV/0!</v>
      </c>
      <c r="CG37" s="66" t="e">
        <f t="shared" si="14"/>
        <v>#DIV/0!</v>
      </c>
      <c r="CH37" s="66" t="e">
        <f t="shared" si="14"/>
        <v>#DIV/0!</v>
      </c>
      <c r="CI37" s="66" t="e">
        <f t="shared" si="14"/>
        <v>#DIV/0!</v>
      </c>
      <c r="CJ37" s="66" t="e">
        <f t="shared" si="14"/>
        <v>#DIV/0!</v>
      </c>
      <c r="CK37" s="66" t="e">
        <f t="shared" si="14"/>
        <v>#DIV/0!</v>
      </c>
      <c r="CL37" s="66" t="e">
        <f t="shared" si="14"/>
        <v>#DIV/0!</v>
      </c>
      <c r="CM37" s="66" t="e">
        <f t="shared" si="14"/>
        <v>#DIV/0!</v>
      </c>
      <c r="CN37" s="66" t="e">
        <f t="shared" si="14"/>
        <v>#DIV/0!</v>
      </c>
      <c r="CO37" s="66" t="e">
        <f t="shared" si="14"/>
        <v>#DIV/0!</v>
      </c>
      <c r="CP37" s="66" t="e">
        <f t="shared" si="14"/>
        <v>#DIV/0!</v>
      </c>
      <c r="CQ37" s="66" t="e">
        <f t="shared" si="14"/>
        <v>#DIV/0!</v>
      </c>
      <c r="CR37" s="66" t="e">
        <f t="shared" si="14"/>
        <v>#DIV/0!</v>
      </c>
      <c r="CS37" s="66" t="e">
        <f t="shared" si="14"/>
        <v>#DIV/0!</v>
      </c>
      <c r="CT37" s="66" t="e">
        <f t="shared" si="14"/>
        <v>#DIV/0!</v>
      </c>
      <c r="CU37" s="66" t="e">
        <f t="shared" si="14"/>
        <v>#DIV/0!</v>
      </c>
      <c r="CV37" s="3"/>
    </row>
    <row r="38" spans="1:100" ht="14.25" customHeight="1">
      <c r="E38" s="276"/>
      <c r="H38" s="364"/>
      <c r="I38" s="50">
        <f>_xlfn.STDEV.P(I5:I35)</f>
        <v>1.9854610435754099</v>
      </c>
      <c r="J38" s="65" t="s">
        <v>11</v>
      </c>
      <c r="K38" s="74">
        <f t="shared" ref="K38:BB38" si="15">STDEVA(K5:K35)</f>
        <v>2.0194030072640592</v>
      </c>
      <c r="L38" s="74">
        <f t="shared" si="15"/>
        <v>1.9958836950428578</v>
      </c>
      <c r="M38" s="74">
        <f t="shared" si="15"/>
        <v>2.0801856681058797</v>
      </c>
      <c r="N38" s="74">
        <f t="shared" si="15"/>
        <v>2.255812415776723</v>
      </c>
      <c r="O38" s="74" t="e">
        <f t="shared" si="15"/>
        <v>#DIV/0!</v>
      </c>
      <c r="P38" s="74">
        <f t="shared" si="15"/>
        <v>1.9768066547501677</v>
      </c>
      <c r="Q38" s="74">
        <f t="shared" si="15"/>
        <v>2.0065863771312933</v>
      </c>
      <c r="R38" s="74">
        <f t="shared" si="15"/>
        <v>1.8375117075442866</v>
      </c>
      <c r="S38" s="74">
        <f t="shared" si="15"/>
        <v>1.8592288794400202</v>
      </c>
      <c r="T38" s="74">
        <f t="shared" si="15"/>
        <v>2.2300150297625874</v>
      </c>
      <c r="U38" s="74">
        <f t="shared" si="15"/>
        <v>1.9612611897820886</v>
      </c>
      <c r="V38" s="74">
        <f t="shared" si="15"/>
        <v>2.0988091861815361</v>
      </c>
      <c r="W38" s="74">
        <f t="shared" si="15"/>
        <v>3.2868424564212573</v>
      </c>
      <c r="X38" s="74">
        <f t="shared" si="15"/>
        <v>2.5455844122715718</v>
      </c>
      <c r="Y38" s="74" t="e">
        <f t="shared" si="15"/>
        <v>#DIV/0!</v>
      </c>
      <c r="Z38" s="74" t="e">
        <f t="shared" si="15"/>
        <v>#DIV/0!</v>
      </c>
      <c r="AA38" s="74" t="e">
        <f t="shared" si="15"/>
        <v>#DIV/0!</v>
      </c>
      <c r="AB38" s="74" t="e">
        <f t="shared" si="15"/>
        <v>#DIV/0!</v>
      </c>
      <c r="AC38" s="74" t="e">
        <f t="shared" si="15"/>
        <v>#DIV/0!</v>
      </c>
      <c r="AD38" s="74" t="e">
        <f t="shared" si="15"/>
        <v>#DIV/0!</v>
      </c>
      <c r="AE38" s="74" t="e">
        <f t="shared" si="15"/>
        <v>#DIV/0!</v>
      </c>
      <c r="AF38" s="74" t="e">
        <f t="shared" si="15"/>
        <v>#DIV/0!</v>
      </c>
      <c r="AG38" s="74" t="e">
        <f t="shared" si="15"/>
        <v>#DIV/0!</v>
      </c>
      <c r="AH38" s="74" t="e">
        <f t="shared" si="15"/>
        <v>#DIV/0!</v>
      </c>
      <c r="AI38" s="74" t="e">
        <f t="shared" si="15"/>
        <v>#DIV/0!</v>
      </c>
      <c r="AJ38" s="74" t="e">
        <f t="shared" si="15"/>
        <v>#DIV/0!</v>
      </c>
      <c r="AK38" s="74" t="e">
        <f t="shared" si="15"/>
        <v>#DIV/0!</v>
      </c>
      <c r="AL38" s="74" t="e">
        <f t="shared" si="15"/>
        <v>#DIV/0!</v>
      </c>
      <c r="AM38" s="74" t="e">
        <f t="shared" si="15"/>
        <v>#DIV/0!</v>
      </c>
      <c r="AN38" s="74" t="e">
        <f t="shared" si="15"/>
        <v>#DIV/0!</v>
      </c>
      <c r="AO38" s="74" t="e">
        <f t="shared" si="15"/>
        <v>#DIV/0!</v>
      </c>
      <c r="AP38" s="74" t="e">
        <f t="shared" si="15"/>
        <v>#DIV/0!</v>
      </c>
      <c r="AQ38" s="74" t="e">
        <f t="shared" si="15"/>
        <v>#DIV/0!</v>
      </c>
      <c r="AR38" s="74" t="e">
        <f t="shared" si="15"/>
        <v>#DIV/0!</v>
      </c>
      <c r="AS38" s="74" t="e">
        <f t="shared" si="15"/>
        <v>#DIV/0!</v>
      </c>
      <c r="AT38" s="74" t="e">
        <f t="shared" si="15"/>
        <v>#DIV/0!</v>
      </c>
      <c r="AU38" s="74" t="e">
        <f t="shared" si="15"/>
        <v>#DIV/0!</v>
      </c>
      <c r="AV38" s="74" t="e">
        <f t="shared" si="15"/>
        <v>#DIV/0!</v>
      </c>
      <c r="AW38" s="74" t="e">
        <f t="shared" si="15"/>
        <v>#DIV/0!</v>
      </c>
      <c r="AX38" s="74" t="e">
        <f t="shared" si="15"/>
        <v>#DIV/0!</v>
      </c>
      <c r="AY38" s="74" t="e">
        <f t="shared" si="15"/>
        <v>#DIV/0!</v>
      </c>
      <c r="AZ38" s="74" t="e">
        <f t="shared" si="15"/>
        <v>#DIV/0!</v>
      </c>
      <c r="BA38" s="74" t="e">
        <f t="shared" si="15"/>
        <v>#DIV/0!</v>
      </c>
      <c r="BB38" s="74" t="e">
        <f t="shared" si="15"/>
        <v>#DIV/0!</v>
      </c>
      <c r="BC38" s="92" t="s">
        <v>11</v>
      </c>
      <c r="BD38" s="67">
        <f t="shared" ref="BD38:CU38" si="16">STDEVA(BD5:BD35)</f>
        <v>0.17960530202677499</v>
      </c>
      <c r="BE38" s="67">
        <f t="shared" si="16"/>
        <v>0.17870823681602935</v>
      </c>
      <c r="BF38" s="67">
        <f t="shared" si="16"/>
        <v>0.17937941056210846</v>
      </c>
      <c r="BG38" s="67">
        <f t="shared" si="16"/>
        <v>0.17903809725998454</v>
      </c>
      <c r="BH38" s="67">
        <f t="shared" si="16"/>
        <v>0.14168862715445574</v>
      </c>
      <c r="BI38" s="67">
        <f t="shared" si="16"/>
        <v>0.29405356096568747</v>
      </c>
      <c r="BJ38" s="67">
        <f t="shared" si="16"/>
        <v>0.29306994405200443</v>
      </c>
      <c r="BK38" s="67">
        <f t="shared" si="16"/>
        <v>0.41612717285392431</v>
      </c>
      <c r="BL38" s="67">
        <f t="shared" si="16"/>
        <v>0.48411225196865026</v>
      </c>
      <c r="BM38" s="67">
        <f t="shared" si="16"/>
        <v>0.49643413555331234</v>
      </c>
      <c r="BN38" s="67">
        <f t="shared" si="16"/>
        <v>0.46475046364201844</v>
      </c>
      <c r="BO38" s="67">
        <f t="shared" si="16"/>
        <v>0.46226407195600411</v>
      </c>
      <c r="BP38" s="67">
        <f t="shared" si="16"/>
        <v>0.29414662073730391</v>
      </c>
      <c r="BQ38" s="67">
        <f t="shared" si="16"/>
        <v>0.21488015106650146</v>
      </c>
      <c r="BR38" s="67">
        <f t="shared" si="16"/>
        <v>0.17156327357781481</v>
      </c>
      <c r="BS38" s="67">
        <f t="shared" si="16"/>
        <v>0</v>
      </c>
      <c r="BT38" s="67">
        <f t="shared" si="16"/>
        <v>0</v>
      </c>
      <c r="BU38" s="67">
        <f t="shared" si="16"/>
        <v>0</v>
      </c>
      <c r="BV38" s="67">
        <f t="shared" si="16"/>
        <v>0</v>
      </c>
      <c r="BW38" s="67">
        <f t="shared" si="16"/>
        <v>0</v>
      </c>
      <c r="BX38" s="67">
        <f t="shared" si="16"/>
        <v>0</v>
      </c>
      <c r="BY38" s="67">
        <f t="shared" si="16"/>
        <v>0</v>
      </c>
      <c r="BZ38" s="67">
        <f t="shared" si="16"/>
        <v>0</v>
      </c>
      <c r="CA38" s="67">
        <f t="shared" si="16"/>
        <v>0</v>
      </c>
      <c r="CB38" s="67">
        <f t="shared" si="16"/>
        <v>0</v>
      </c>
      <c r="CC38" s="67">
        <f t="shared" si="16"/>
        <v>0</v>
      </c>
      <c r="CD38" s="67">
        <f t="shared" si="16"/>
        <v>0</v>
      </c>
      <c r="CE38" s="67">
        <f t="shared" si="16"/>
        <v>0</v>
      </c>
      <c r="CF38" s="67">
        <f t="shared" si="16"/>
        <v>0</v>
      </c>
      <c r="CG38" s="67">
        <f t="shared" si="16"/>
        <v>0</v>
      </c>
      <c r="CH38" s="67">
        <f t="shared" si="16"/>
        <v>0</v>
      </c>
      <c r="CI38" s="67">
        <f t="shared" si="16"/>
        <v>0</v>
      </c>
      <c r="CJ38" s="67">
        <f t="shared" si="16"/>
        <v>0</v>
      </c>
      <c r="CK38" s="67">
        <f t="shared" si="16"/>
        <v>0</v>
      </c>
      <c r="CL38" s="67">
        <f t="shared" si="16"/>
        <v>0</v>
      </c>
      <c r="CM38" s="67">
        <f t="shared" si="16"/>
        <v>0</v>
      </c>
      <c r="CN38" s="67">
        <f t="shared" si="16"/>
        <v>0</v>
      </c>
      <c r="CO38" s="67">
        <f t="shared" si="16"/>
        <v>0</v>
      </c>
      <c r="CP38" s="67">
        <f t="shared" si="16"/>
        <v>0</v>
      </c>
      <c r="CQ38" s="67">
        <f t="shared" si="16"/>
        <v>0</v>
      </c>
      <c r="CR38" s="67">
        <f t="shared" si="16"/>
        <v>0</v>
      </c>
      <c r="CS38" s="67">
        <f t="shared" si="16"/>
        <v>0</v>
      </c>
      <c r="CT38" s="67">
        <f t="shared" si="16"/>
        <v>0</v>
      </c>
      <c r="CU38" s="67">
        <f t="shared" si="16"/>
        <v>0</v>
      </c>
      <c r="CV38" s="3"/>
    </row>
    <row r="39" spans="1:100" ht="12.75" customHeight="1">
      <c r="A39" s="103"/>
      <c r="E39" s="83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</row>
    <row r="40" spans="1:100" ht="14.25" customHeight="1">
      <c r="A40" s="103"/>
      <c r="E40" s="108" t="str">
        <f>'5GY EBRT Groups'!C6</f>
        <v>Untreated Control</v>
      </c>
      <c r="H40" s="108" t="str">
        <f>E40</f>
        <v>Untreated Control</v>
      </c>
      <c r="I40" s="277">
        <f>AVERAGEIF($E$5:$E$35,$E40,I$5:I$35)</f>
        <v>28.233333333333331</v>
      </c>
      <c r="J40" s="65" t="s">
        <v>9</v>
      </c>
      <c r="K40" s="71">
        <f t="shared" ref="K40:BB40" si="17">AVERAGEIF($E$5:$E$35,$E40,K$5:K$35)</f>
        <v>28.233333333333331</v>
      </c>
      <c r="L40" s="71">
        <f t="shared" si="17"/>
        <v>28.100000000000005</v>
      </c>
      <c r="M40" s="71">
        <f t="shared" si="17"/>
        <v>28.566666666666663</v>
      </c>
      <c r="N40" s="71">
        <f t="shared" si="17"/>
        <v>28</v>
      </c>
      <c r="O40" s="71" t="e">
        <f t="shared" si="17"/>
        <v>#DIV/0!</v>
      </c>
      <c r="P40" s="71">
        <f t="shared" si="17"/>
        <v>28</v>
      </c>
      <c r="Q40" s="71">
        <f t="shared" si="17"/>
        <v>28.160000000000004</v>
      </c>
      <c r="R40" s="71">
        <f t="shared" si="17"/>
        <v>27.599999999999998</v>
      </c>
      <c r="S40" s="71">
        <f t="shared" si="17"/>
        <v>27.1</v>
      </c>
      <c r="T40" s="71">
        <f t="shared" si="17"/>
        <v>25.7</v>
      </c>
      <c r="U40" s="71" t="e">
        <f t="shared" si="17"/>
        <v>#DIV/0!</v>
      </c>
      <c r="V40" s="71" t="e">
        <f t="shared" si="17"/>
        <v>#DIV/0!</v>
      </c>
      <c r="W40" s="71" t="e">
        <f t="shared" si="17"/>
        <v>#DIV/0!</v>
      </c>
      <c r="X40" s="71" t="e">
        <f t="shared" si="17"/>
        <v>#DIV/0!</v>
      </c>
      <c r="Y40" s="71" t="e">
        <f t="shared" si="17"/>
        <v>#DIV/0!</v>
      </c>
      <c r="Z40" s="71" t="e">
        <f t="shared" si="17"/>
        <v>#DIV/0!</v>
      </c>
      <c r="AA40" s="71" t="e">
        <f t="shared" si="17"/>
        <v>#DIV/0!</v>
      </c>
      <c r="AB40" s="71" t="e">
        <f t="shared" si="17"/>
        <v>#DIV/0!</v>
      </c>
      <c r="AC40" s="71" t="e">
        <f t="shared" si="17"/>
        <v>#DIV/0!</v>
      </c>
      <c r="AD40" s="71" t="e">
        <f t="shared" si="17"/>
        <v>#DIV/0!</v>
      </c>
      <c r="AE40" s="71" t="e">
        <f t="shared" si="17"/>
        <v>#DIV/0!</v>
      </c>
      <c r="AF40" s="71" t="e">
        <f t="shared" si="17"/>
        <v>#DIV/0!</v>
      </c>
      <c r="AG40" s="71" t="e">
        <f t="shared" si="17"/>
        <v>#DIV/0!</v>
      </c>
      <c r="AH40" s="71" t="e">
        <f t="shared" si="17"/>
        <v>#DIV/0!</v>
      </c>
      <c r="AI40" s="71" t="e">
        <f t="shared" si="17"/>
        <v>#DIV/0!</v>
      </c>
      <c r="AJ40" s="71" t="e">
        <f t="shared" si="17"/>
        <v>#DIV/0!</v>
      </c>
      <c r="AK40" s="71" t="e">
        <f t="shared" si="17"/>
        <v>#DIV/0!</v>
      </c>
      <c r="AL40" s="71" t="e">
        <f t="shared" si="17"/>
        <v>#DIV/0!</v>
      </c>
      <c r="AM40" s="71" t="e">
        <f t="shared" si="17"/>
        <v>#DIV/0!</v>
      </c>
      <c r="AN40" s="71" t="e">
        <f t="shared" si="17"/>
        <v>#DIV/0!</v>
      </c>
      <c r="AO40" s="71" t="e">
        <f t="shared" si="17"/>
        <v>#DIV/0!</v>
      </c>
      <c r="AP40" s="71" t="e">
        <f t="shared" si="17"/>
        <v>#DIV/0!</v>
      </c>
      <c r="AQ40" s="71" t="e">
        <f t="shared" si="17"/>
        <v>#DIV/0!</v>
      </c>
      <c r="AR40" s="71" t="e">
        <f t="shared" si="17"/>
        <v>#DIV/0!</v>
      </c>
      <c r="AS40" s="71" t="e">
        <f t="shared" si="17"/>
        <v>#DIV/0!</v>
      </c>
      <c r="AT40" s="71" t="e">
        <f t="shared" si="17"/>
        <v>#DIV/0!</v>
      </c>
      <c r="AU40" s="71" t="e">
        <f t="shared" si="17"/>
        <v>#DIV/0!</v>
      </c>
      <c r="AV40" s="71" t="e">
        <f t="shared" si="17"/>
        <v>#DIV/0!</v>
      </c>
      <c r="AW40" s="71" t="e">
        <f t="shared" si="17"/>
        <v>#DIV/0!</v>
      </c>
      <c r="AX40" s="71" t="e">
        <f t="shared" si="17"/>
        <v>#DIV/0!</v>
      </c>
      <c r="AY40" s="71" t="e">
        <f t="shared" si="17"/>
        <v>#DIV/0!</v>
      </c>
      <c r="AZ40" s="71" t="e">
        <f t="shared" si="17"/>
        <v>#DIV/0!</v>
      </c>
      <c r="BA40" s="71" t="e">
        <f t="shared" si="17"/>
        <v>#DIV/0!</v>
      </c>
      <c r="BB40" s="71" t="e">
        <f t="shared" si="17"/>
        <v>#DIV/0!</v>
      </c>
      <c r="BC40" s="93" t="s">
        <v>9</v>
      </c>
      <c r="BD40" s="66">
        <f t="shared" ref="BD40:CU40" si="18">AVERAGEIF($E$5:$E$35,$E40,BD$5:BD$35)</f>
        <v>1</v>
      </c>
      <c r="BE40" s="66">
        <f t="shared" si="18"/>
        <v>0.99660699133369279</v>
      </c>
      <c r="BF40" s="66">
        <f t="shared" si="18"/>
        <v>1.0115923828705908</v>
      </c>
      <c r="BG40" s="66">
        <f t="shared" si="18"/>
        <v>0.99172324660759459</v>
      </c>
      <c r="BH40" s="66" t="e">
        <f t="shared" si="18"/>
        <v>#DIV/0!</v>
      </c>
      <c r="BI40" s="66">
        <f t="shared" si="18"/>
        <v>0.9916611904529653</v>
      </c>
      <c r="BJ40" s="66">
        <f t="shared" si="18"/>
        <v>0.99765848453894412</v>
      </c>
      <c r="BK40" s="66">
        <f t="shared" si="18"/>
        <v>0.99822079622971627</v>
      </c>
      <c r="BL40" s="66">
        <f t="shared" si="18"/>
        <v>0.98675268132101523</v>
      </c>
      <c r="BM40" s="66">
        <f t="shared" si="18"/>
        <v>0.99612403100775193</v>
      </c>
      <c r="BN40" s="66" t="e">
        <f t="shared" si="18"/>
        <v>#DIV/0!</v>
      </c>
      <c r="BO40" s="66" t="e">
        <f t="shared" si="18"/>
        <v>#DIV/0!</v>
      </c>
      <c r="BP40" s="66" t="e">
        <f t="shared" si="18"/>
        <v>#DIV/0!</v>
      </c>
      <c r="BQ40" s="66" t="e">
        <f t="shared" si="18"/>
        <v>#DIV/0!</v>
      </c>
      <c r="BR40" s="66" t="e">
        <f t="shared" si="18"/>
        <v>#DIV/0!</v>
      </c>
      <c r="BS40" s="66" t="e">
        <f t="shared" si="18"/>
        <v>#DIV/0!</v>
      </c>
      <c r="BT40" s="66" t="e">
        <f t="shared" si="18"/>
        <v>#DIV/0!</v>
      </c>
      <c r="BU40" s="66" t="e">
        <f t="shared" si="18"/>
        <v>#DIV/0!</v>
      </c>
      <c r="BV40" s="66" t="e">
        <f t="shared" si="18"/>
        <v>#DIV/0!</v>
      </c>
      <c r="BW40" s="66" t="e">
        <f t="shared" si="18"/>
        <v>#DIV/0!</v>
      </c>
      <c r="BX40" s="66" t="e">
        <f t="shared" si="18"/>
        <v>#DIV/0!</v>
      </c>
      <c r="BY40" s="66" t="e">
        <f t="shared" si="18"/>
        <v>#DIV/0!</v>
      </c>
      <c r="BZ40" s="66" t="e">
        <f t="shared" si="18"/>
        <v>#DIV/0!</v>
      </c>
      <c r="CA40" s="66" t="e">
        <f t="shared" si="18"/>
        <v>#DIV/0!</v>
      </c>
      <c r="CB40" s="66" t="e">
        <f t="shared" si="18"/>
        <v>#DIV/0!</v>
      </c>
      <c r="CC40" s="66" t="e">
        <f t="shared" si="18"/>
        <v>#DIV/0!</v>
      </c>
      <c r="CD40" s="66" t="e">
        <f t="shared" si="18"/>
        <v>#DIV/0!</v>
      </c>
      <c r="CE40" s="66" t="e">
        <f t="shared" si="18"/>
        <v>#DIV/0!</v>
      </c>
      <c r="CF40" s="66" t="e">
        <f t="shared" si="18"/>
        <v>#DIV/0!</v>
      </c>
      <c r="CG40" s="66" t="e">
        <f t="shared" si="18"/>
        <v>#DIV/0!</v>
      </c>
      <c r="CH40" s="66" t="e">
        <f t="shared" si="18"/>
        <v>#DIV/0!</v>
      </c>
      <c r="CI40" s="66" t="e">
        <f t="shared" si="18"/>
        <v>#DIV/0!</v>
      </c>
      <c r="CJ40" s="66" t="e">
        <f t="shared" si="18"/>
        <v>#DIV/0!</v>
      </c>
      <c r="CK40" s="66" t="e">
        <f t="shared" si="18"/>
        <v>#DIV/0!</v>
      </c>
      <c r="CL40" s="66" t="e">
        <f t="shared" si="18"/>
        <v>#DIV/0!</v>
      </c>
      <c r="CM40" s="66" t="e">
        <f t="shared" si="18"/>
        <v>#DIV/0!</v>
      </c>
      <c r="CN40" s="66" t="e">
        <f t="shared" si="18"/>
        <v>#DIV/0!</v>
      </c>
      <c r="CO40" s="66" t="e">
        <f t="shared" si="18"/>
        <v>#DIV/0!</v>
      </c>
      <c r="CP40" s="66" t="e">
        <f t="shared" si="18"/>
        <v>#DIV/0!</v>
      </c>
      <c r="CQ40" s="66" t="e">
        <f t="shared" si="18"/>
        <v>#DIV/0!</v>
      </c>
      <c r="CR40" s="66" t="e">
        <f t="shared" si="18"/>
        <v>#DIV/0!</v>
      </c>
      <c r="CS40" s="66" t="e">
        <f t="shared" si="18"/>
        <v>#DIV/0!</v>
      </c>
      <c r="CT40" s="66" t="e">
        <f t="shared" si="18"/>
        <v>#DIV/0!</v>
      </c>
      <c r="CU40" s="66" t="e">
        <f t="shared" si="18"/>
        <v>#DIV/0!</v>
      </c>
      <c r="CV40" s="69"/>
    </row>
    <row r="41" spans="1:100" ht="14.25" customHeight="1">
      <c r="A41" s="103"/>
      <c r="E41" s="83"/>
      <c r="H41" s="83"/>
      <c r="I41" s="277">
        <f t="array" ref="I41">_xlfn.STDEV.P(IF($E$5:$E$35=$E40,I$5:I$35))</f>
        <v>2.2924998485399199</v>
      </c>
      <c r="J41" s="65" t="s">
        <v>11</v>
      </c>
      <c r="K41" s="74">
        <f t="array" ref="K41">_xlfn.STDEV.P(IF($E$5:$E$35=$E40,K$5:K$35))</f>
        <v>2.2924998485399199</v>
      </c>
      <c r="L41" s="74">
        <f t="array" ref="L41">_xlfn.STDEV.P(IF($E$5:$E$35=$E40,L$5:L$35))</f>
        <v>1.989137166378093</v>
      </c>
      <c r="M41" s="74">
        <f t="array" ref="M41">_xlfn.STDEV.P(IF($E$5:$E$35=$E40,M$5:M$35))</f>
        <v>2.4267032964268398</v>
      </c>
      <c r="N41" s="74">
        <f t="array" ref="N41">_xlfn.STDEV.P(IF($E$5:$E$35=$E40,N$5:N$35))</f>
        <v>2.3776739333502679</v>
      </c>
      <c r="O41" s="74">
        <f t="array" ref="O41">_xlfn.STDEV.P(IF($E$5:$E$35=$E40,O$5:O$35))</f>
        <v>0</v>
      </c>
      <c r="P41" s="74">
        <f t="array" ref="P41">_xlfn.STDEV.P(IF($E$5:$E$35=$E40,P$5:P$35))</f>
        <v>10.674684486620155</v>
      </c>
      <c r="Q41" s="74">
        <f t="array" ref="Q41">_xlfn.STDEV.P(IF($E$5:$E$35=$E40,Q$5:Q$35))</f>
        <v>10.711468412666651</v>
      </c>
      <c r="R41" s="74">
        <f t="array" ref="R41">_xlfn.STDEV.P(IF($E$5:$E$35=$E40,R$5:R$35))</f>
        <v>13.820757335737191</v>
      </c>
      <c r="S41" s="74">
        <f t="array" ref="S41">_xlfn.STDEV.P(IF($E$5:$E$35=$E40,S$5:S$35))</f>
        <v>12.790838735421362</v>
      </c>
      <c r="T41" s="74">
        <f t="array" ref="T41">_xlfn.STDEV.P(IF($E$5:$E$35=$E40,T$5:T$35))</f>
        <v>9.5778245036240985</v>
      </c>
      <c r="U41" s="74">
        <f t="array" ref="U41">_xlfn.STDEV.P(IF($E$5:$E$35=$E40,U$5:U$35))</f>
        <v>0</v>
      </c>
      <c r="V41" s="74">
        <f t="array" ref="V41">_xlfn.STDEV.P(IF($E$5:$E$35=$E40,V$5:V$35))</f>
        <v>0</v>
      </c>
      <c r="W41" s="74">
        <f t="array" ref="W41">_xlfn.STDEV.P(IF($E$5:$E$35=$E40,W$5:W$35))</f>
        <v>0</v>
      </c>
      <c r="X41" s="74">
        <f t="array" ref="X41">_xlfn.STDEV.P(IF($E$5:$E$35=$E40,X$5:X$35))</f>
        <v>0</v>
      </c>
      <c r="Y41" s="74">
        <f t="array" ref="Y41">_xlfn.STDEV.P(IF($E$5:$E$35=$E40,Y$5:Y$35))</f>
        <v>0</v>
      </c>
      <c r="Z41" s="74">
        <f t="array" ref="Z41">_xlfn.STDEV.P(IF($E$5:$E$35=$E40,Z$5:Z$35))</f>
        <v>0</v>
      </c>
      <c r="AA41" s="74">
        <f t="array" ref="AA41">_xlfn.STDEV.P(IF($E$5:$E$35=$E40,AA$5:AA$35))</f>
        <v>0</v>
      </c>
      <c r="AB41" s="74">
        <f t="array" ref="AB41">_xlfn.STDEV.P(IF($E$5:$E$35=$E40,AB$5:AB$35))</f>
        <v>0</v>
      </c>
      <c r="AC41" s="74">
        <f t="array" ref="AC41">_xlfn.STDEV.P(IF($E$5:$E$35=$E40,AC$5:AC$35))</f>
        <v>0</v>
      </c>
      <c r="AD41" s="74">
        <f t="array" ref="AD41">_xlfn.STDEV.P(IF($E$5:$E$35=$E40,AD$5:AD$35))</f>
        <v>0</v>
      </c>
      <c r="AE41" s="74">
        <f t="array" ref="AE41">_xlfn.STDEV.P(IF($E$5:$E$35=$E40,AE$5:AE$35))</f>
        <v>0</v>
      </c>
      <c r="AF41" s="74">
        <f t="array" ref="AF41">_xlfn.STDEV.P(IF($E$5:$E$35=$E40,AF$5:AF$35))</f>
        <v>0</v>
      </c>
      <c r="AG41" s="74">
        <f t="array" ref="AG41">_xlfn.STDEV.P(IF($E$5:$E$35=$E40,AG$5:AG$35))</f>
        <v>0</v>
      </c>
      <c r="AH41" s="74">
        <f t="array" ref="AH41">_xlfn.STDEV.P(IF($E$5:$E$35=$E40,AH$5:AH$35))</f>
        <v>0</v>
      </c>
      <c r="AI41" s="74">
        <f t="array" ref="AI41">_xlfn.STDEV.P(IF($E$5:$E$35=$E40,AI$5:AI$35))</f>
        <v>0</v>
      </c>
      <c r="AJ41" s="74">
        <f t="array" ref="AJ41">_xlfn.STDEV.P(IF($E$5:$E$35=$E40,AJ$5:AJ$35))</f>
        <v>0</v>
      </c>
      <c r="AK41" s="74">
        <f t="array" ref="AK41">_xlfn.STDEV.P(IF($E$5:$E$35=$E40,AK$5:AK$35))</f>
        <v>0</v>
      </c>
      <c r="AL41" s="74">
        <f t="array" ref="AL41">_xlfn.STDEV.P(IF($E$5:$E$35=$E40,AL$5:AL$35))</f>
        <v>0</v>
      </c>
      <c r="AM41" s="74">
        <f t="array" ref="AM41">_xlfn.STDEV.P(IF($E$5:$E$35=$E40,AM$5:AM$35))</f>
        <v>0</v>
      </c>
      <c r="AN41" s="74">
        <f t="array" ref="AN41">_xlfn.STDEV.P(IF($E$5:$E$35=$E40,AN$5:AN$35))</f>
        <v>0</v>
      </c>
      <c r="AO41" s="74">
        <f t="array" ref="AO41">_xlfn.STDEV.P(IF($E$5:$E$35=$E40,AO$5:AO$35))</f>
        <v>0</v>
      </c>
      <c r="AP41" s="74">
        <f t="array" ref="AP41">_xlfn.STDEV.P(IF($E$5:$E$35=$E40,AP$5:AP$35))</f>
        <v>0</v>
      </c>
      <c r="AQ41" s="74">
        <f t="array" ref="AQ41">_xlfn.STDEV.P(IF($E$5:$E$35=$E40,AQ$5:AQ$35))</f>
        <v>0</v>
      </c>
      <c r="AR41" s="74">
        <f t="array" ref="AR41">_xlfn.STDEV.P(IF($E$5:$E$35=$E40,AR$5:AR$35))</f>
        <v>0</v>
      </c>
      <c r="AS41" s="74">
        <f t="array" ref="AS41">_xlfn.STDEV.P(IF($E$5:$E$35=$E40,AS$5:AS$35))</f>
        <v>0</v>
      </c>
      <c r="AT41" s="74">
        <f t="array" ref="AT41">_xlfn.STDEV.P(IF($E$5:$E$35=$E40,AT$5:AT$35))</f>
        <v>0</v>
      </c>
      <c r="AU41" s="74">
        <f t="array" ref="AU41">_xlfn.STDEV.P(IF($E$5:$E$35=$E40,AU$5:AU$35))</f>
        <v>0</v>
      </c>
      <c r="AV41" s="74">
        <f t="array" ref="AV41">_xlfn.STDEV.P(IF($E$5:$E$35=$E40,AV$5:AV$35))</f>
        <v>0</v>
      </c>
      <c r="AW41" s="74">
        <f t="array" ref="AW41">_xlfn.STDEV.P(IF($E$5:$E$35=$E40,AW$5:AW$35))</f>
        <v>0</v>
      </c>
      <c r="AX41" s="74">
        <f t="array" ref="AX41">_xlfn.STDEV.P(IF($E$5:$E$35=$E40,AX$5:AX$35))</f>
        <v>0</v>
      </c>
      <c r="AY41" s="74">
        <f t="array" ref="AY41">_xlfn.STDEV.P(IF($E$5:$E$35=$E40,AY$5:AY$35))</f>
        <v>0</v>
      </c>
      <c r="AZ41" s="74">
        <f t="array" ref="AZ41">_xlfn.STDEV.P(IF($E$5:$E$35=$E40,AZ$5:AZ$35))</f>
        <v>0</v>
      </c>
      <c r="BA41" s="74">
        <f t="array" ref="BA41">_xlfn.STDEV.P(IF($E$5:$E$35=$E40,BA$5:BA$35))</f>
        <v>0</v>
      </c>
      <c r="BB41" s="74">
        <f t="array" ref="BB41">_xlfn.STDEV.P(IF($E$5:$E$35=$E40,BB$5:BB$35))</f>
        <v>0</v>
      </c>
      <c r="BC41" s="94" t="s">
        <v>11</v>
      </c>
      <c r="BD41" s="67">
        <f t="array" ref="BD41">_xlfn.STDEV.P(IF($E$5:$E$35=$E40,BD$5:BD$35))</f>
        <v>0</v>
      </c>
      <c r="BE41" s="67">
        <f t="array" ref="BE41">_xlfn.STDEV.P(IF($E$5:$E$35=$E40,BE$5:BE$35))</f>
        <v>3.4364289272343598E-2</v>
      </c>
      <c r="BF41" s="67">
        <f t="array" ref="BF41">_xlfn.STDEV.P(IF($E$5:$E$35=$E40,BF$5:BF$35))</f>
        <v>1.554652582988892E-2</v>
      </c>
      <c r="BG41" s="67">
        <f t="array" ref="BG41">_xlfn.STDEV.P(IF($E$5:$E$35=$E40,BG$5:BG$35))</f>
        <v>2.3417673531548073E-2</v>
      </c>
      <c r="BH41" s="67" t="e">
        <f t="array" ref="BH41">_xlfn.STDEV.P(IF($E$5:$E$35=$E40,BH$5:BH$35))</f>
        <v>#DIV/0!</v>
      </c>
      <c r="BI41" s="67">
        <f t="array" ref="BI41">_xlfn.STDEV.P(IF($E$5:$E$35=$E40,BI$5:BI$35))</f>
        <v>1.475183015856449E-2</v>
      </c>
      <c r="BJ41" s="67">
        <f t="array" ref="BJ41">_xlfn.STDEV.P(IF($E$5:$E$35=$E40,BJ$5:BJ$35))</f>
        <v>1.1910409023456529E-2</v>
      </c>
      <c r="BK41" s="67">
        <f t="array" ref="BK41">_xlfn.STDEV.P(IF($E$5:$E$35=$E40,BK$5:BK$35))</f>
        <v>1.251061346332963E-2</v>
      </c>
      <c r="BL41" s="67">
        <f t="array" ref="BL41">_xlfn.STDEV.P(IF($E$5:$E$35=$E40,BL$5:BL$35))</f>
        <v>2.0999256663480959E-2</v>
      </c>
      <c r="BM41" s="67">
        <f t="array" ref="BM41">_xlfn.STDEV.P(IF($E$5:$E$35=$E40,BM$5:BM$35))</f>
        <v>0</v>
      </c>
      <c r="BN41" s="67" t="e">
        <f t="array" ref="BN41">_xlfn.STDEV.P(IF($E$5:$E$35=$E40,BN$5:BN$35))</f>
        <v>#DIV/0!</v>
      </c>
      <c r="BO41" s="67" t="e">
        <f t="array" ref="BO41">_xlfn.STDEV.P(IF($E$5:$E$35=$E40,BO$5:BO$35))</f>
        <v>#DIV/0!</v>
      </c>
      <c r="BP41" s="67" t="e">
        <f t="array" ref="BP41">_xlfn.STDEV.P(IF($E$5:$E$35=$E40,BP$5:BP$35))</f>
        <v>#DIV/0!</v>
      </c>
      <c r="BQ41" s="67" t="e">
        <f t="array" ref="BQ41">_xlfn.STDEV.P(IF($E$5:$E$35=$E40,BQ$5:BQ$35))</f>
        <v>#DIV/0!</v>
      </c>
      <c r="BR41" s="67" t="e">
        <f t="array" ref="BR41">_xlfn.STDEV.P(IF($E$5:$E$35=$E40,BR$5:BR$35))</f>
        <v>#DIV/0!</v>
      </c>
      <c r="BS41" s="67" t="e">
        <f t="array" ref="BS41">_xlfn.STDEV.P(IF($E$5:$E$35=$E40,BS$5:BS$35))</f>
        <v>#DIV/0!</v>
      </c>
      <c r="BT41" s="67" t="e">
        <f t="array" ref="BT41">_xlfn.STDEV.P(IF($E$5:$E$35=$E40,BT$5:BT$35))</f>
        <v>#DIV/0!</v>
      </c>
      <c r="BU41" s="67" t="e">
        <f t="array" ref="BU41">_xlfn.STDEV.P(IF($E$5:$E$35=$E40,BU$5:BU$35))</f>
        <v>#DIV/0!</v>
      </c>
      <c r="BV41" s="67" t="e">
        <f t="array" ref="BV41">_xlfn.STDEV.P(IF($E$5:$E$35=$E40,BV$5:BV$35))</f>
        <v>#DIV/0!</v>
      </c>
      <c r="BW41" s="67" t="e">
        <f t="array" ref="BW41">_xlfn.STDEV.P(IF($E$5:$E$35=$E40,BW$5:BW$35))</f>
        <v>#DIV/0!</v>
      </c>
      <c r="BX41" s="67" t="e">
        <f t="array" ref="BX41">_xlfn.STDEV.P(IF($E$5:$E$35=$E40,BX$5:BX$35))</f>
        <v>#DIV/0!</v>
      </c>
      <c r="BY41" s="67" t="e">
        <f t="array" ref="BY41">_xlfn.STDEV.P(IF($E$5:$E$35=$E40,BY$5:BY$35))</f>
        <v>#DIV/0!</v>
      </c>
      <c r="BZ41" s="67" t="e">
        <f t="array" ref="BZ41">_xlfn.STDEV.P(IF($E$5:$E$35=$E40,BZ$5:BZ$35))</f>
        <v>#DIV/0!</v>
      </c>
      <c r="CA41" s="67" t="e">
        <f t="array" ref="CA41">_xlfn.STDEV.P(IF($E$5:$E$35=$E40,CA$5:CA$35))</f>
        <v>#DIV/0!</v>
      </c>
      <c r="CB41" s="67" t="e">
        <f t="array" ref="CB41">_xlfn.STDEV.P(IF($E$5:$E$35=$E40,CB$5:CB$35))</f>
        <v>#DIV/0!</v>
      </c>
      <c r="CC41" s="67" t="e">
        <f t="array" ref="CC41">_xlfn.STDEV.P(IF($E$5:$E$35=$E40,CC$5:CC$35))</f>
        <v>#DIV/0!</v>
      </c>
      <c r="CD41" s="67" t="e">
        <f t="array" ref="CD41">_xlfn.STDEV.P(IF($E$5:$E$35=$E40,CD$5:CD$35))</f>
        <v>#DIV/0!</v>
      </c>
      <c r="CE41" s="67" t="e">
        <f t="array" ref="CE41">_xlfn.STDEV.P(IF($E$5:$E$35=$E40,CE$5:CE$35))</f>
        <v>#DIV/0!</v>
      </c>
      <c r="CF41" s="67" t="e">
        <f t="array" ref="CF41">_xlfn.STDEV.P(IF($E$5:$E$35=$E40,CF$5:CF$35))</f>
        <v>#DIV/0!</v>
      </c>
      <c r="CG41" s="67" t="e">
        <f t="array" ref="CG41">_xlfn.STDEV.P(IF($E$5:$E$35=$E40,CG$5:CG$35))</f>
        <v>#DIV/0!</v>
      </c>
      <c r="CH41" s="67" t="e">
        <f t="array" ref="CH41">_xlfn.STDEV.P(IF($E$5:$E$35=$E40,CH$5:CH$35))</f>
        <v>#DIV/0!</v>
      </c>
      <c r="CI41" s="67" t="e">
        <f t="array" ref="CI41">_xlfn.STDEV.P(IF($E$5:$E$35=$E40,CI$5:CI$35))</f>
        <v>#DIV/0!</v>
      </c>
      <c r="CJ41" s="67" t="e">
        <f t="array" ref="CJ41">_xlfn.STDEV.P(IF($E$5:$E$35=$E40,CJ$5:CJ$35))</f>
        <v>#DIV/0!</v>
      </c>
      <c r="CK41" s="67" t="e">
        <f t="array" ref="CK41">_xlfn.STDEV.P(IF($E$5:$E$35=$E40,CK$5:CK$35))</f>
        <v>#DIV/0!</v>
      </c>
      <c r="CL41" s="67" t="e">
        <f t="array" ref="CL41">_xlfn.STDEV.P(IF($E$5:$E$35=$E40,CL$5:CL$35))</f>
        <v>#DIV/0!</v>
      </c>
      <c r="CM41" s="67" t="e">
        <f t="array" ref="CM41">_xlfn.STDEV.P(IF($E$5:$E$35=$E40,CM$5:CM$35))</f>
        <v>#DIV/0!</v>
      </c>
      <c r="CN41" s="67" t="e">
        <f t="array" ref="CN41">_xlfn.STDEV.P(IF($E$5:$E$35=$E40,CN$5:CN$35))</f>
        <v>#DIV/0!</v>
      </c>
      <c r="CO41" s="67" t="e">
        <f t="array" ref="CO41">_xlfn.STDEV.P(IF($E$5:$E$35=$E40,CO$5:CO$35))</f>
        <v>#DIV/0!</v>
      </c>
      <c r="CP41" s="67" t="e">
        <f t="array" ref="CP41">_xlfn.STDEV.P(IF($E$5:$E$35=$E40,CP$5:CP$35))</f>
        <v>#DIV/0!</v>
      </c>
      <c r="CQ41" s="67" t="e">
        <f t="array" ref="CQ41">_xlfn.STDEV.P(IF($E$5:$E$35=$E40,CQ$5:CQ$35))</f>
        <v>#DIV/0!</v>
      </c>
      <c r="CR41" s="67" t="e">
        <f t="array" ref="CR41">_xlfn.STDEV.P(IF($E$5:$E$35=$E40,CR$5:CR$35))</f>
        <v>#DIV/0!</v>
      </c>
      <c r="CS41" s="67" t="e">
        <f t="array" ref="CS41">_xlfn.STDEV.P(IF($E$5:$E$35=$E40,CS$5:CS$35))</f>
        <v>#DIV/0!</v>
      </c>
      <c r="CT41" s="67" t="e">
        <f t="array" ref="CT41">_xlfn.STDEV.P(IF($E$5:$E$35=$E40,CT$5:CT$35))</f>
        <v>#DIV/0!</v>
      </c>
      <c r="CU41" s="67" t="e">
        <f t="array" ref="CU41">_xlfn.STDEV.P(IF($E$5:$E$35=$E40,CU$5:CU$35))</f>
        <v>#DIV/0!</v>
      </c>
      <c r="CV41" s="69"/>
    </row>
    <row r="42" spans="1:100" ht="15">
      <c r="A42" s="103"/>
      <c r="E42" s="45"/>
      <c r="H42" s="45"/>
    </row>
    <row r="43" spans="1:100" ht="14.25" customHeight="1">
      <c r="A43" s="103"/>
      <c r="E43" s="108" t="str">
        <f>'5GY EBRT Groups'!C7</f>
        <v>CP-PTX</v>
      </c>
      <c r="H43" s="108" t="str">
        <f>E43</f>
        <v>CP-PTX</v>
      </c>
      <c r="I43" s="277">
        <f>AVERAGEIF($E$5:$E$35,$E43,I$5:I$35)</f>
        <v>28</v>
      </c>
      <c r="J43" s="65" t="s">
        <v>9</v>
      </c>
      <c r="K43" s="71">
        <f t="shared" ref="K43:BB43" si="19">AVERAGEIF($E$5:$E$35,$E43,K$5:K$35)</f>
        <v>28</v>
      </c>
      <c r="L43" s="71">
        <f t="shared" si="19"/>
        <v>27.600000000000005</v>
      </c>
      <c r="M43" s="71">
        <f t="shared" si="19"/>
        <v>27.816666666666666</v>
      </c>
      <c r="N43" s="71">
        <f t="shared" si="19"/>
        <v>27.733333333333334</v>
      </c>
      <c r="O43" s="71" t="e">
        <f t="shared" si="19"/>
        <v>#DIV/0!</v>
      </c>
      <c r="P43" s="71">
        <f t="shared" si="19"/>
        <v>27.733333333333334</v>
      </c>
      <c r="Q43" s="71">
        <f t="shared" si="19"/>
        <v>27.116666666666664</v>
      </c>
      <c r="R43" s="71">
        <f t="shared" si="19"/>
        <v>27.360000000000003</v>
      </c>
      <c r="S43" s="71">
        <f t="shared" si="19"/>
        <v>27.633333333333336</v>
      </c>
      <c r="T43" s="71">
        <f t="shared" si="19"/>
        <v>26.3</v>
      </c>
      <c r="U43" s="71" t="e">
        <f t="shared" si="19"/>
        <v>#DIV/0!</v>
      </c>
      <c r="V43" s="71" t="e">
        <f t="shared" si="19"/>
        <v>#DIV/0!</v>
      </c>
      <c r="W43" s="71" t="e">
        <f t="shared" si="19"/>
        <v>#DIV/0!</v>
      </c>
      <c r="X43" s="71" t="e">
        <f t="shared" si="19"/>
        <v>#DIV/0!</v>
      </c>
      <c r="Y43" s="71" t="e">
        <f t="shared" si="19"/>
        <v>#DIV/0!</v>
      </c>
      <c r="Z43" s="71" t="e">
        <f t="shared" si="19"/>
        <v>#DIV/0!</v>
      </c>
      <c r="AA43" s="71" t="e">
        <f t="shared" si="19"/>
        <v>#DIV/0!</v>
      </c>
      <c r="AB43" s="71" t="e">
        <f t="shared" si="19"/>
        <v>#DIV/0!</v>
      </c>
      <c r="AC43" s="71" t="e">
        <f t="shared" si="19"/>
        <v>#DIV/0!</v>
      </c>
      <c r="AD43" s="71" t="e">
        <f t="shared" si="19"/>
        <v>#DIV/0!</v>
      </c>
      <c r="AE43" s="71" t="e">
        <f t="shared" si="19"/>
        <v>#DIV/0!</v>
      </c>
      <c r="AF43" s="71" t="e">
        <f t="shared" si="19"/>
        <v>#DIV/0!</v>
      </c>
      <c r="AG43" s="71" t="e">
        <f t="shared" si="19"/>
        <v>#DIV/0!</v>
      </c>
      <c r="AH43" s="71" t="e">
        <f t="shared" si="19"/>
        <v>#DIV/0!</v>
      </c>
      <c r="AI43" s="71" t="e">
        <f t="shared" si="19"/>
        <v>#DIV/0!</v>
      </c>
      <c r="AJ43" s="71" t="e">
        <f t="shared" si="19"/>
        <v>#DIV/0!</v>
      </c>
      <c r="AK43" s="71" t="e">
        <f t="shared" si="19"/>
        <v>#DIV/0!</v>
      </c>
      <c r="AL43" s="71" t="e">
        <f t="shared" si="19"/>
        <v>#DIV/0!</v>
      </c>
      <c r="AM43" s="71" t="e">
        <f t="shared" si="19"/>
        <v>#DIV/0!</v>
      </c>
      <c r="AN43" s="71" t="e">
        <f t="shared" si="19"/>
        <v>#DIV/0!</v>
      </c>
      <c r="AO43" s="71" t="e">
        <f t="shared" si="19"/>
        <v>#DIV/0!</v>
      </c>
      <c r="AP43" s="71" t="e">
        <f t="shared" si="19"/>
        <v>#DIV/0!</v>
      </c>
      <c r="AQ43" s="71" t="e">
        <f t="shared" si="19"/>
        <v>#DIV/0!</v>
      </c>
      <c r="AR43" s="71" t="e">
        <f t="shared" si="19"/>
        <v>#DIV/0!</v>
      </c>
      <c r="AS43" s="71" t="e">
        <f t="shared" si="19"/>
        <v>#DIV/0!</v>
      </c>
      <c r="AT43" s="71" t="e">
        <f t="shared" si="19"/>
        <v>#DIV/0!</v>
      </c>
      <c r="AU43" s="71" t="e">
        <f t="shared" si="19"/>
        <v>#DIV/0!</v>
      </c>
      <c r="AV43" s="71" t="e">
        <f t="shared" si="19"/>
        <v>#DIV/0!</v>
      </c>
      <c r="AW43" s="71" t="e">
        <f t="shared" si="19"/>
        <v>#DIV/0!</v>
      </c>
      <c r="AX43" s="71" t="e">
        <f t="shared" si="19"/>
        <v>#DIV/0!</v>
      </c>
      <c r="AY43" s="71" t="e">
        <f t="shared" si="19"/>
        <v>#DIV/0!</v>
      </c>
      <c r="AZ43" s="71" t="e">
        <f t="shared" si="19"/>
        <v>#DIV/0!</v>
      </c>
      <c r="BA43" s="71" t="e">
        <f t="shared" si="19"/>
        <v>#DIV/0!</v>
      </c>
      <c r="BB43" s="71" t="e">
        <f t="shared" si="19"/>
        <v>#DIV/0!</v>
      </c>
      <c r="BC43" s="93" t="s">
        <v>9</v>
      </c>
      <c r="BD43" s="66">
        <f t="shared" ref="BD43:CU43" si="20">AVERAGEIF($E$5:$E$35,$E43,BD$5:BD$35)</f>
        <v>1</v>
      </c>
      <c r="BE43" s="66">
        <f t="shared" si="20"/>
        <v>0.98577283791194592</v>
      </c>
      <c r="BF43" s="66">
        <f t="shared" si="20"/>
        <v>0.99366306372976432</v>
      </c>
      <c r="BG43" s="66">
        <f t="shared" si="20"/>
        <v>0.99073644110925085</v>
      </c>
      <c r="BH43" s="66" t="e">
        <f t="shared" si="20"/>
        <v>#DIV/0!</v>
      </c>
      <c r="BI43" s="66">
        <f t="shared" si="20"/>
        <v>0.99090010712306686</v>
      </c>
      <c r="BJ43" s="66">
        <f t="shared" si="20"/>
        <v>0.96915076927647281</v>
      </c>
      <c r="BK43" s="66">
        <f t="shared" si="20"/>
        <v>0.98141298691392076</v>
      </c>
      <c r="BL43" s="66">
        <f t="shared" si="20"/>
        <v>0.97633404231842824</v>
      </c>
      <c r="BM43" s="66">
        <f t="shared" si="20"/>
        <v>0.99245283018867925</v>
      </c>
      <c r="BN43" s="66" t="e">
        <f t="shared" si="20"/>
        <v>#DIV/0!</v>
      </c>
      <c r="BO43" s="66" t="e">
        <f t="shared" si="20"/>
        <v>#DIV/0!</v>
      </c>
      <c r="BP43" s="66" t="e">
        <f t="shared" si="20"/>
        <v>#DIV/0!</v>
      </c>
      <c r="BQ43" s="66" t="e">
        <f t="shared" si="20"/>
        <v>#DIV/0!</v>
      </c>
      <c r="BR43" s="66" t="e">
        <f t="shared" si="20"/>
        <v>#DIV/0!</v>
      </c>
      <c r="BS43" s="66" t="e">
        <f t="shared" si="20"/>
        <v>#DIV/0!</v>
      </c>
      <c r="BT43" s="66" t="e">
        <f t="shared" si="20"/>
        <v>#DIV/0!</v>
      </c>
      <c r="BU43" s="66" t="e">
        <f t="shared" si="20"/>
        <v>#DIV/0!</v>
      </c>
      <c r="BV43" s="66" t="e">
        <f t="shared" si="20"/>
        <v>#DIV/0!</v>
      </c>
      <c r="BW43" s="66" t="e">
        <f t="shared" si="20"/>
        <v>#DIV/0!</v>
      </c>
      <c r="BX43" s="66" t="e">
        <f t="shared" si="20"/>
        <v>#DIV/0!</v>
      </c>
      <c r="BY43" s="66" t="e">
        <f t="shared" si="20"/>
        <v>#DIV/0!</v>
      </c>
      <c r="BZ43" s="66" t="e">
        <f t="shared" si="20"/>
        <v>#DIV/0!</v>
      </c>
      <c r="CA43" s="66" t="e">
        <f t="shared" si="20"/>
        <v>#DIV/0!</v>
      </c>
      <c r="CB43" s="66" t="e">
        <f t="shared" si="20"/>
        <v>#DIV/0!</v>
      </c>
      <c r="CC43" s="66" t="e">
        <f t="shared" si="20"/>
        <v>#DIV/0!</v>
      </c>
      <c r="CD43" s="66" t="e">
        <f t="shared" si="20"/>
        <v>#DIV/0!</v>
      </c>
      <c r="CE43" s="66" t="e">
        <f t="shared" si="20"/>
        <v>#DIV/0!</v>
      </c>
      <c r="CF43" s="66" t="e">
        <f t="shared" si="20"/>
        <v>#DIV/0!</v>
      </c>
      <c r="CG43" s="66" t="e">
        <f t="shared" si="20"/>
        <v>#DIV/0!</v>
      </c>
      <c r="CH43" s="66" t="e">
        <f t="shared" si="20"/>
        <v>#DIV/0!</v>
      </c>
      <c r="CI43" s="66" t="e">
        <f t="shared" si="20"/>
        <v>#DIV/0!</v>
      </c>
      <c r="CJ43" s="66" t="e">
        <f t="shared" si="20"/>
        <v>#DIV/0!</v>
      </c>
      <c r="CK43" s="66" t="e">
        <f t="shared" si="20"/>
        <v>#DIV/0!</v>
      </c>
      <c r="CL43" s="66" t="e">
        <f t="shared" si="20"/>
        <v>#DIV/0!</v>
      </c>
      <c r="CM43" s="66" t="e">
        <f t="shared" si="20"/>
        <v>#DIV/0!</v>
      </c>
      <c r="CN43" s="66" t="e">
        <f t="shared" si="20"/>
        <v>#DIV/0!</v>
      </c>
      <c r="CO43" s="66" t="e">
        <f t="shared" si="20"/>
        <v>#DIV/0!</v>
      </c>
      <c r="CP43" s="66" t="e">
        <f t="shared" si="20"/>
        <v>#DIV/0!</v>
      </c>
      <c r="CQ43" s="66" t="e">
        <f t="shared" si="20"/>
        <v>#DIV/0!</v>
      </c>
      <c r="CR43" s="66" t="e">
        <f t="shared" si="20"/>
        <v>#DIV/0!</v>
      </c>
      <c r="CS43" s="66" t="e">
        <f t="shared" si="20"/>
        <v>#DIV/0!</v>
      </c>
      <c r="CT43" s="66" t="e">
        <f t="shared" si="20"/>
        <v>#DIV/0!</v>
      </c>
      <c r="CU43" s="66" t="e">
        <f t="shared" si="20"/>
        <v>#DIV/0!</v>
      </c>
      <c r="CV43" s="69"/>
    </row>
    <row r="44" spans="1:100" ht="14.25" customHeight="1">
      <c r="A44" s="103"/>
      <c r="E44" s="83"/>
      <c r="H44" s="83"/>
      <c r="I44" s="277">
        <f t="array" ref="I44">_xlfn.STDEV.P(IF($E$5:$E$35=$E43,I$5:I$35))</f>
        <v>1.2449899597988727</v>
      </c>
      <c r="J44" s="65" t="s">
        <v>11</v>
      </c>
      <c r="K44" s="74">
        <f t="array" ref="K44">_xlfn.STDEV.P(IF($E$5:$E$35=$E43,K$5:K$35))</f>
        <v>1.2449899597988727</v>
      </c>
      <c r="L44" s="74">
        <f t="array" ref="L44">_xlfn.STDEV.P(IF($E$5:$E$35=$E43,L$5:L$35))</f>
        <v>1.2179217270963405</v>
      </c>
      <c r="M44" s="74">
        <f t="array" ref="M44">_xlfn.STDEV.P(IF($E$5:$E$35=$E43,M$5:M$35))</f>
        <v>1.1186549463033222</v>
      </c>
      <c r="N44" s="74">
        <f t="array" ref="N44">_xlfn.STDEV.P(IF($E$5:$E$35=$E43,N$5:N$35))</f>
        <v>1.12644968324772</v>
      </c>
      <c r="O44" s="74">
        <f t="array" ref="O44">_xlfn.STDEV.P(IF($E$5:$E$35=$E43,O$5:O$35))</f>
        <v>0</v>
      </c>
      <c r="P44" s="74">
        <f t="array" ref="P44">_xlfn.STDEV.P(IF($E$5:$E$35=$E43,P$5:P$35))</f>
        <v>1.0903618155864074</v>
      </c>
      <c r="Q44" s="74">
        <f t="array" ref="Q44">_xlfn.STDEV.P(IF($E$5:$E$35=$E43,Q$5:Q$35))</f>
        <v>1.1480660066196355</v>
      </c>
      <c r="R44" s="74">
        <f t="array" ref="R44">_xlfn.STDEV.P(IF($E$5:$E$35=$E43,R$5:R$35))</f>
        <v>10.240279944090068</v>
      </c>
      <c r="S44" s="74">
        <f t="array" ref="S44">_xlfn.STDEV.P(IF($E$5:$E$35=$E43,S$5:S$35))</f>
        <v>13.846108558805327</v>
      </c>
      <c r="T44" s="74">
        <f t="array" ref="T44">_xlfn.STDEV.P(IF($E$5:$E$35=$E43,T$5:T$35))</f>
        <v>9.8014313013740786</v>
      </c>
      <c r="U44" s="74">
        <f t="array" ref="U44">_xlfn.STDEV.P(IF($E$5:$E$35=$E43,U$5:U$35))</f>
        <v>0</v>
      </c>
      <c r="V44" s="74">
        <f t="array" ref="V44">_xlfn.STDEV.P(IF($E$5:$E$35=$E43,V$5:V$35))</f>
        <v>0</v>
      </c>
      <c r="W44" s="74">
        <f t="array" ref="W44">_xlfn.STDEV.P(IF($E$5:$E$35=$E43,W$5:W$35))</f>
        <v>0</v>
      </c>
      <c r="X44" s="74">
        <f t="array" ref="X44">_xlfn.STDEV.P(IF($E$5:$E$35=$E43,X$5:X$35))</f>
        <v>0</v>
      </c>
      <c r="Y44" s="74">
        <f t="array" ref="Y44">_xlfn.STDEV.P(IF($E$5:$E$35=$E43,Y$5:Y$35))</f>
        <v>0</v>
      </c>
      <c r="Z44" s="74">
        <f t="array" ref="Z44">_xlfn.STDEV.P(IF($E$5:$E$35=$E43,Z$5:Z$35))</f>
        <v>0</v>
      </c>
      <c r="AA44" s="74">
        <f t="array" ref="AA44">_xlfn.STDEV.P(IF($E$5:$E$35=$E43,AA$5:AA$35))</f>
        <v>0</v>
      </c>
      <c r="AB44" s="74">
        <f t="array" ref="AB44">_xlfn.STDEV.P(IF($E$5:$E$35=$E43,AB$5:AB$35))</f>
        <v>0</v>
      </c>
      <c r="AC44" s="74">
        <f t="array" ref="AC44">_xlfn.STDEV.P(IF($E$5:$E$35=$E43,AC$5:AC$35))</f>
        <v>0</v>
      </c>
      <c r="AD44" s="74">
        <f t="array" ref="AD44">_xlfn.STDEV.P(IF($E$5:$E$35=$E43,AD$5:AD$35))</f>
        <v>0</v>
      </c>
      <c r="AE44" s="74">
        <f t="array" ref="AE44">_xlfn.STDEV.P(IF($E$5:$E$35=$E43,AE$5:AE$35))</f>
        <v>0</v>
      </c>
      <c r="AF44" s="74">
        <f t="array" ref="AF44">_xlfn.STDEV.P(IF($E$5:$E$35=$E43,AF$5:AF$35))</f>
        <v>0</v>
      </c>
      <c r="AG44" s="74">
        <f t="array" ref="AG44">_xlfn.STDEV.P(IF($E$5:$E$35=$E43,AG$5:AG$35))</f>
        <v>0</v>
      </c>
      <c r="AH44" s="74">
        <f t="array" ref="AH44">_xlfn.STDEV.P(IF($E$5:$E$35=$E43,AH$5:AH$35))</f>
        <v>0</v>
      </c>
      <c r="AI44" s="74">
        <f t="array" ref="AI44">_xlfn.STDEV.P(IF($E$5:$E$35=$E43,AI$5:AI$35))</f>
        <v>0</v>
      </c>
      <c r="AJ44" s="74">
        <f t="array" ref="AJ44">_xlfn.STDEV.P(IF($E$5:$E$35=$E43,AJ$5:AJ$35))</f>
        <v>0</v>
      </c>
      <c r="AK44" s="74">
        <f t="array" ref="AK44">_xlfn.STDEV.P(IF($E$5:$E$35=$E43,AK$5:AK$35))</f>
        <v>0</v>
      </c>
      <c r="AL44" s="74">
        <f t="array" ref="AL44">_xlfn.STDEV.P(IF($E$5:$E$35=$E43,AL$5:AL$35))</f>
        <v>0</v>
      </c>
      <c r="AM44" s="74">
        <f t="array" ref="AM44">_xlfn.STDEV.P(IF($E$5:$E$35=$E43,AM$5:AM$35))</f>
        <v>0</v>
      </c>
      <c r="AN44" s="74">
        <f t="array" ref="AN44">_xlfn.STDEV.P(IF($E$5:$E$35=$E43,AN$5:AN$35))</f>
        <v>0</v>
      </c>
      <c r="AO44" s="74">
        <f t="array" ref="AO44">_xlfn.STDEV.P(IF($E$5:$E$35=$E43,AO$5:AO$35))</f>
        <v>0</v>
      </c>
      <c r="AP44" s="74">
        <f t="array" ref="AP44">_xlfn.STDEV.P(IF($E$5:$E$35=$E43,AP$5:AP$35))</f>
        <v>0</v>
      </c>
      <c r="AQ44" s="74">
        <f t="array" ref="AQ44">_xlfn.STDEV.P(IF($E$5:$E$35=$E43,AQ$5:AQ$35))</f>
        <v>0</v>
      </c>
      <c r="AR44" s="74">
        <f t="array" ref="AR44">_xlfn.STDEV.P(IF($E$5:$E$35=$E43,AR$5:AR$35))</f>
        <v>0</v>
      </c>
      <c r="AS44" s="74">
        <f t="array" ref="AS44">_xlfn.STDEV.P(IF($E$5:$E$35=$E43,AS$5:AS$35))</f>
        <v>0</v>
      </c>
      <c r="AT44" s="74">
        <f t="array" ref="AT44">_xlfn.STDEV.P(IF($E$5:$E$35=$E43,AT$5:AT$35))</f>
        <v>0</v>
      </c>
      <c r="AU44" s="74">
        <f t="array" ref="AU44">_xlfn.STDEV.P(IF($E$5:$E$35=$E43,AU$5:AU$35))</f>
        <v>0</v>
      </c>
      <c r="AV44" s="74">
        <f t="array" ref="AV44">_xlfn.STDEV.P(IF($E$5:$E$35=$E43,AV$5:AV$35))</f>
        <v>0</v>
      </c>
      <c r="AW44" s="74">
        <f t="array" ref="AW44">_xlfn.STDEV.P(IF($E$5:$E$35=$E43,AW$5:AW$35))</f>
        <v>0</v>
      </c>
      <c r="AX44" s="74">
        <f t="array" ref="AX44">_xlfn.STDEV.P(IF($E$5:$E$35=$E43,AX$5:AX$35))</f>
        <v>0</v>
      </c>
      <c r="AY44" s="74">
        <f t="array" ref="AY44">_xlfn.STDEV.P(IF($E$5:$E$35=$E43,AY$5:AY$35))</f>
        <v>0</v>
      </c>
      <c r="AZ44" s="74">
        <f t="array" ref="AZ44">_xlfn.STDEV.P(IF($E$5:$E$35=$E43,AZ$5:AZ$35))</f>
        <v>0</v>
      </c>
      <c r="BA44" s="74">
        <f t="array" ref="BA44">_xlfn.STDEV.P(IF($E$5:$E$35=$E43,BA$5:BA$35))</f>
        <v>0</v>
      </c>
      <c r="BB44" s="74">
        <f t="array" ref="BB44">_xlfn.STDEV.P(IF($E$5:$E$35=$E43,BB$5:BB$35))</f>
        <v>0</v>
      </c>
      <c r="BC44" s="94" t="s">
        <v>11</v>
      </c>
      <c r="BD44" s="67">
        <f t="array" ref="BD44">_xlfn.STDEV.P(IF($E$5:$E$35=$E43,BD$5:BD$35))</f>
        <v>0</v>
      </c>
      <c r="BE44" s="67">
        <f t="array" ref="BE44">_xlfn.STDEV.P(IF($E$5:$E$35=$E43,BE$5:BE$35))</f>
        <v>1.0335397455946103E-2</v>
      </c>
      <c r="BF44" s="67">
        <f t="array" ref="BF44">_xlfn.STDEV.P(IF($E$5:$E$35=$E43,BF$5:BF$35))</f>
        <v>8.5180931461973936E-3</v>
      </c>
      <c r="BG44" s="67">
        <f t="array" ref="BG44">_xlfn.STDEV.P(IF($E$5:$E$35=$E43,BG$5:BG$35))</f>
        <v>1.5362798012212263E-2</v>
      </c>
      <c r="BH44" s="67" t="e">
        <f t="array" ref="BH44">_xlfn.STDEV.P(IF($E$5:$E$35=$E43,BH$5:BH$35))</f>
        <v>#DIV/0!</v>
      </c>
      <c r="BI44" s="67">
        <f t="array" ref="BI44">_xlfn.STDEV.P(IF($E$5:$E$35=$E43,BI$5:BI$35))</f>
        <v>2.1144734376345242E-2</v>
      </c>
      <c r="BJ44" s="67">
        <f t="array" ref="BJ44">_xlfn.STDEV.P(IF($E$5:$E$35=$E43,BJ$5:BJ$35))</f>
        <v>3.4581194324018467E-2</v>
      </c>
      <c r="BK44" s="67">
        <f t="array" ref="BK44">_xlfn.STDEV.P(IF($E$5:$E$35=$E43,BK$5:BK$35))</f>
        <v>5.7011675670806394E-2</v>
      </c>
      <c r="BL44" s="67">
        <f t="array" ref="BL44">_xlfn.STDEV.P(IF($E$5:$E$35=$E43,BL$5:BL$35))</f>
        <v>5.6886007293519572E-2</v>
      </c>
      <c r="BM44" s="67">
        <f t="array" ref="BM44">_xlfn.STDEV.P(IF($E$5:$E$35=$E43,BM$5:BM$35))</f>
        <v>0</v>
      </c>
      <c r="BN44" s="67" t="e">
        <f t="array" ref="BN44">_xlfn.STDEV.P(IF($E$5:$E$35=$E43,BN$5:BN$35))</f>
        <v>#DIV/0!</v>
      </c>
      <c r="BO44" s="67" t="e">
        <f t="array" ref="BO44">_xlfn.STDEV.P(IF($E$5:$E$35=$E43,BO$5:BO$35))</f>
        <v>#DIV/0!</v>
      </c>
      <c r="BP44" s="67" t="e">
        <f t="array" ref="BP44">_xlfn.STDEV.P(IF($E$5:$E$35=$E43,BP$5:BP$35))</f>
        <v>#DIV/0!</v>
      </c>
      <c r="BQ44" s="67" t="e">
        <f t="array" ref="BQ44">_xlfn.STDEV.P(IF($E$5:$E$35=$E43,BQ$5:BQ$35))</f>
        <v>#DIV/0!</v>
      </c>
      <c r="BR44" s="67" t="e">
        <f t="array" ref="BR44">_xlfn.STDEV.P(IF($E$5:$E$35=$E43,BR$5:BR$35))</f>
        <v>#DIV/0!</v>
      </c>
      <c r="BS44" s="67" t="e">
        <f t="array" ref="BS44">_xlfn.STDEV.P(IF($E$5:$E$35=$E43,BS$5:BS$35))</f>
        <v>#DIV/0!</v>
      </c>
      <c r="BT44" s="67" t="e">
        <f t="array" ref="BT44">_xlfn.STDEV.P(IF($E$5:$E$35=$E43,BT$5:BT$35))</f>
        <v>#DIV/0!</v>
      </c>
      <c r="BU44" s="67" t="e">
        <f t="array" ref="BU44">_xlfn.STDEV.P(IF($E$5:$E$35=$E43,BU$5:BU$35))</f>
        <v>#DIV/0!</v>
      </c>
      <c r="BV44" s="67" t="e">
        <f t="array" ref="BV44">_xlfn.STDEV.P(IF($E$5:$E$35=$E43,BV$5:BV$35))</f>
        <v>#DIV/0!</v>
      </c>
      <c r="BW44" s="67" t="e">
        <f t="array" ref="BW44">_xlfn.STDEV.P(IF($E$5:$E$35=$E43,BW$5:BW$35))</f>
        <v>#DIV/0!</v>
      </c>
      <c r="BX44" s="67" t="e">
        <f t="array" ref="BX44">_xlfn.STDEV.P(IF($E$5:$E$35=$E43,BX$5:BX$35))</f>
        <v>#DIV/0!</v>
      </c>
      <c r="BY44" s="67" t="e">
        <f t="array" ref="BY44">_xlfn.STDEV.P(IF($E$5:$E$35=$E43,BY$5:BY$35))</f>
        <v>#DIV/0!</v>
      </c>
      <c r="BZ44" s="67" t="e">
        <f t="array" ref="BZ44">_xlfn.STDEV.P(IF($E$5:$E$35=$E43,BZ$5:BZ$35))</f>
        <v>#DIV/0!</v>
      </c>
      <c r="CA44" s="67" t="e">
        <f t="array" ref="CA44">_xlfn.STDEV.P(IF($E$5:$E$35=$E43,CA$5:CA$35))</f>
        <v>#DIV/0!</v>
      </c>
      <c r="CB44" s="67" t="e">
        <f t="array" ref="CB44">_xlfn.STDEV.P(IF($E$5:$E$35=$E43,CB$5:CB$35))</f>
        <v>#DIV/0!</v>
      </c>
      <c r="CC44" s="67" t="e">
        <f t="array" ref="CC44">_xlfn.STDEV.P(IF($E$5:$E$35=$E43,CC$5:CC$35))</f>
        <v>#DIV/0!</v>
      </c>
      <c r="CD44" s="67" t="e">
        <f t="array" ref="CD44">_xlfn.STDEV.P(IF($E$5:$E$35=$E43,CD$5:CD$35))</f>
        <v>#DIV/0!</v>
      </c>
      <c r="CE44" s="67" t="e">
        <f t="array" ref="CE44">_xlfn.STDEV.P(IF($E$5:$E$35=$E43,CE$5:CE$35))</f>
        <v>#DIV/0!</v>
      </c>
      <c r="CF44" s="67" t="e">
        <f t="array" ref="CF44">_xlfn.STDEV.P(IF($E$5:$E$35=$E43,CF$5:CF$35))</f>
        <v>#DIV/0!</v>
      </c>
      <c r="CG44" s="67" t="e">
        <f t="array" ref="CG44">_xlfn.STDEV.P(IF($E$5:$E$35=$E43,CG$5:CG$35))</f>
        <v>#DIV/0!</v>
      </c>
      <c r="CH44" s="67" t="e">
        <f t="array" ref="CH44">_xlfn.STDEV.P(IF($E$5:$E$35=$E43,CH$5:CH$35))</f>
        <v>#DIV/0!</v>
      </c>
      <c r="CI44" s="67" t="e">
        <f t="array" ref="CI44">_xlfn.STDEV.P(IF($E$5:$E$35=$E43,CI$5:CI$35))</f>
        <v>#DIV/0!</v>
      </c>
      <c r="CJ44" s="67" t="e">
        <f t="array" ref="CJ44">_xlfn.STDEV.P(IF($E$5:$E$35=$E43,CJ$5:CJ$35))</f>
        <v>#DIV/0!</v>
      </c>
      <c r="CK44" s="67" t="e">
        <f t="array" ref="CK44">_xlfn.STDEV.P(IF($E$5:$E$35=$E43,CK$5:CK$35))</f>
        <v>#DIV/0!</v>
      </c>
      <c r="CL44" s="67" t="e">
        <f t="array" ref="CL44">_xlfn.STDEV.P(IF($E$5:$E$35=$E43,CL$5:CL$35))</f>
        <v>#DIV/0!</v>
      </c>
      <c r="CM44" s="67" t="e">
        <f t="array" ref="CM44">_xlfn.STDEV.P(IF($E$5:$E$35=$E43,CM$5:CM$35))</f>
        <v>#DIV/0!</v>
      </c>
      <c r="CN44" s="67" t="e">
        <f t="array" ref="CN44">_xlfn.STDEV.P(IF($E$5:$E$35=$E43,CN$5:CN$35))</f>
        <v>#DIV/0!</v>
      </c>
      <c r="CO44" s="67" t="e">
        <f t="array" ref="CO44">_xlfn.STDEV.P(IF($E$5:$E$35=$E43,CO$5:CO$35))</f>
        <v>#DIV/0!</v>
      </c>
      <c r="CP44" s="67" t="e">
        <f t="array" ref="CP44">_xlfn.STDEV.P(IF($E$5:$E$35=$E43,CP$5:CP$35))</f>
        <v>#DIV/0!</v>
      </c>
      <c r="CQ44" s="67" t="e">
        <f t="array" ref="CQ44">_xlfn.STDEV.P(IF($E$5:$E$35=$E43,CQ$5:CQ$35))</f>
        <v>#DIV/0!</v>
      </c>
      <c r="CR44" s="67" t="e">
        <f t="array" ref="CR44">_xlfn.STDEV.P(IF($E$5:$E$35=$E43,CR$5:CR$35))</f>
        <v>#DIV/0!</v>
      </c>
      <c r="CS44" s="67" t="e">
        <f t="array" ref="CS44">_xlfn.STDEV.P(IF($E$5:$E$35=$E43,CS$5:CS$35))</f>
        <v>#DIV/0!</v>
      </c>
      <c r="CT44" s="67" t="e">
        <f t="array" ref="CT44">_xlfn.STDEV.P(IF($E$5:$E$35=$E43,CT$5:CT$35))</f>
        <v>#DIV/0!</v>
      </c>
      <c r="CU44" s="67" t="e">
        <f t="array" ref="CU44">_xlfn.STDEV.P(IF($E$5:$E$35=$E43,CU$5:CU$35))</f>
        <v>#DIV/0!</v>
      </c>
      <c r="CV44" s="69"/>
    </row>
    <row r="45" spans="1:100" ht="15">
      <c r="A45" s="103"/>
      <c r="E45" s="45"/>
      <c r="H45" s="45"/>
    </row>
    <row r="46" spans="1:100" ht="14.25" customHeight="1">
      <c r="A46" s="103"/>
      <c r="E46" s="108" t="str">
        <f>'5GY EBRT Groups'!C8</f>
        <v>5x 5Gy EBRT</v>
      </c>
      <c r="H46" s="108" t="str">
        <f>E46</f>
        <v>5x 5Gy EBRT</v>
      </c>
      <c r="I46" s="277">
        <f>AVERAGEIF($E$5:$E$35,$E46,I$5:I$35)</f>
        <v>28.350000000000005</v>
      </c>
      <c r="J46" s="65" t="s">
        <v>9</v>
      </c>
      <c r="K46" s="71">
        <f t="shared" ref="K46:BB46" si="21">AVERAGEIF($E$5:$E$35,$E46,K$5:K$35)</f>
        <v>28.350000000000005</v>
      </c>
      <c r="L46" s="71">
        <f t="shared" si="21"/>
        <v>27.925000000000001</v>
      </c>
      <c r="M46" s="71">
        <f t="shared" si="21"/>
        <v>28</v>
      </c>
      <c r="N46" s="71">
        <f t="shared" si="21"/>
        <v>27.299999999999997</v>
      </c>
      <c r="O46" s="71" t="e">
        <f t="shared" si="21"/>
        <v>#DIV/0!</v>
      </c>
      <c r="P46" s="71">
        <f t="shared" si="21"/>
        <v>27.225000000000001</v>
      </c>
      <c r="Q46" s="71">
        <f t="shared" si="21"/>
        <v>27.087500000000002</v>
      </c>
      <c r="R46" s="71">
        <f t="shared" si="21"/>
        <v>26.971428571428572</v>
      </c>
      <c r="S46" s="71">
        <f t="shared" si="21"/>
        <v>26.716666666666669</v>
      </c>
      <c r="T46" s="71">
        <f t="shared" si="21"/>
        <v>27.283333333333331</v>
      </c>
      <c r="U46" s="71">
        <f t="shared" si="21"/>
        <v>28.76</v>
      </c>
      <c r="V46" s="71">
        <f t="shared" si="21"/>
        <v>28.900000000000002</v>
      </c>
      <c r="W46" s="71">
        <f t="shared" si="21"/>
        <v>29.599999999999998</v>
      </c>
      <c r="X46" s="71">
        <f t="shared" si="21"/>
        <v>26.1</v>
      </c>
      <c r="Y46" s="71">
        <f t="shared" si="21"/>
        <v>25.6</v>
      </c>
      <c r="Z46" s="71" t="e">
        <f t="shared" si="21"/>
        <v>#DIV/0!</v>
      </c>
      <c r="AA46" s="71" t="e">
        <f t="shared" si="21"/>
        <v>#DIV/0!</v>
      </c>
      <c r="AB46" s="71" t="e">
        <f t="shared" si="21"/>
        <v>#DIV/0!</v>
      </c>
      <c r="AC46" s="71" t="e">
        <f t="shared" si="21"/>
        <v>#DIV/0!</v>
      </c>
      <c r="AD46" s="71" t="e">
        <f t="shared" si="21"/>
        <v>#DIV/0!</v>
      </c>
      <c r="AE46" s="71" t="e">
        <f t="shared" si="21"/>
        <v>#DIV/0!</v>
      </c>
      <c r="AF46" s="71" t="e">
        <f t="shared" si="21"/>
        <v>#DIV/0!</v>
      </c>
      <c r="AG46" s="71" t="e">
        <f t="shared" si="21"/>
        <v>#DIV/0!</v>
      </c>
      <c r="AH46" s="71" t="e">
        <f t="shared" si="21"/>
        <v>#DIV/0!</v>
      </c>
      <c r="AI46" s="71" t="e">
        <f t="shared" si="21"/>
        <v>#DIV/0!</v>
      </c>
      <c r="AJ46" s="71" t="e">
        <f t="shared" si="21"/>
        <v>#DIV/0!</v>
      </c>
      <c r="AK46" s="71" t="e">
        <f t="shared" si="21"/>
        <v>#DIV/0!</v>
      </c>
      <c r="AL46" s="71" t="e">
        <f t="shared" si="21"/>
        <v>#DIV/0!</v>
      </c>
      <c r="AM46" s="71" t="e">
        <f t="shared" si="21"/>
        <v>#DIV/0!</v>
      </c>
      <c r="AN46" s="71" t="e">
        <f t="shared" si="21"/>
        <v>#DIV/0!</v>
      </c>
      <c r="AO46" s="71" t="e">
        <f t="shared" si="21"/>
        <v>#DIV/0!</v>
      </c>
      <c r="AP46" s="71" t="e">
        <f t="shared" si="21"/>
        <v>#DIV/0!</v>
      </c>
      <c r="AQ46" s="71" t="e">
        <f t="shared" si="21"/>
        <v>#DIV/0!</v>
      </c>
      <c r="AR46" s="71" t="e">
        <f t="shared" si="21"/>
        <v>#DIV/0!</v>
      </c>
      <c r="AS46" s="71" t="e">
        <f t="shared" si="21"/>
        <v>#DIV/0!</v>
      </c>
      <c r="AT46" s="71" t="e">
        <f t="shared" si="21"/>
        <v>#DIV/0!</v>
      </c>
      <c r="AU46" s="71" t="e">
        <f t="shared" si="21"/>
        <v>#DIV/0!</v>
      </c>
      <c r="AV46" s="71" t="e">
        <f t="shared" si="21"/>
        <v>#DIV/0!</v>
      </c>
      <c r="AW46" s="71" t="e">
        <f t="shared" si="21"/>
        <v>#DIV/0!</v>
      </c>
      <c r="AX46" s="71" t="e">
        <f t="shared" si="21"/>
        <v>#DIV/0!</v>
      </c>
      <c r="AY46" s="71" t="e">
        <f t="shared" si="21"/>
        <v>#DIV/0!</v>
      </c>
      <c r="AZ46" s="71" t="e">
        <f t="shared" si="21"/>
        <v>#DIV/0!</v>
      </c>
      <c r="BA46" s="71" t="e">
        <f t="shared" si="21"/>
        <v>#DIV/0!</v>
      </c>
      <c r="BB46" s="71" t="e">
        <f t="shared" si="21"/>
        <v>#DIV/0!</v>
      </c>
      <c r="BC46" s="93" t="s">
        <v>9</v>
      </c>
      <c r="BD46" s="66">
        <f t="shared" ref="BD46:CU46" si="22">AVERAGEIF($E$5:$E$35,$E46,BD$5:BD$35)</f>
        <v>1</v>
      </c>
      <c r="BE46" s="66">
        <f t="shared" si="22"/>
        <v>0.98397983976730585</v>
      </c>
      <c r="BF46" s="66">
        <f t="shared" si="22"/>
        <v>0.98763876420292285</v>
      </c>
      <c r="BG46" s="66">
        <f t="shared" si="22"/>
        <v>0.96306154161402402</v>
      </c>
      <c r="BH46" s="66" t="e">
        <f t="shared" si="22"/>
        <v>#DIV/0!</v>
      </c>
      <c r="BI46" s="66">
        <f t="shared" si="22"/>
        <v>0.96059311821492754</v>
      </c>
      <c r="BJ46" s="66">
        <f t="shared" si="22"/>
        <v>0.95556722257793791</v>
      </c>
      <c r="BK46" s="66">
        <f t="shared" si="22"/>
        <v>0.95716147992010203</v>
      </c>
      <c r="BL46" s="66">
        <f t="shared" si="22"/>
        <v>0.94783114473650654</v>
      </c>
      <c r="BM46" s="66">
        <f t="shared" si="22"/>
        <v>0.96698577797908281</v>
      </c>
      <c r="BN46" s="66">
        <f t="shared" si="22"/>
        <v>0.9938420211225063</v>
      </c>
      <c r="BO46" s="66">
        <f t="shared" si="22"/>
        <v>1.0268387112266659</v>
      </c>
      <c r="BP46" s="66">
        <f t="shared" si="22"/>
        <v>1.0082605838730874</v>
      </c>
      <c r="BQ46" s="66">
        <f t="shared" si="22"/>
        <v>0.97388059701492535</v>
      </c>
      <c r="BR46" s="66">
        <f t="shared" si="22"/>
        <v>0.95522388059701491</v>
      </c>
      <c r="BS46" s="66" t="e">
        <f t="shared" si="22"/>
        <v>#DIV/0!</v>
      </c>
      <c r="BT46" s="66" t="e">
        <f t="shared" si="22"/>
        <v>#DIV/0!</v>
      </c>
      <c r="BU46" s="66" t="e">
        <f t="shared" si="22"/>
        <v>#DIV/0!</v>
      </c>
      <c r="BV46" s="66" t="e">
        <f t="shared" si="22"/>
        <v>#DIV/0!</v>
      </c>
      <c r="BW46" s="66" t="e">
        <f t="shared" si="22"/>
        <v>#DIV/0!</v>
      </c>
      <c r="BX46" s="66" t="e">
        <f t="shared" si="22"/>
        <v>#DIV/0!</v>
      </c>
      <c r="BY46" s="66" t="e">
        <f t="shared" si="22"/>
        <v>#DIV/0!</v>
      </c>
      <c r="BZ46" s="66" t="e">
        <f t="shared" si="22"/>
        <v>#DIV/0!</v>
      </c>
      <c r="CA46" s="66" t="e">
        <f t="shared" si="22"/>
        <v>#DIV/0!</v>
      </c>
      <c r="CB46" s="66" t="e">
        <f t="shared" si="22"/>
        <v>#DIV/0!</v>
      </c>
      <c r="CC46" s="66" t="e">
        <f t="shared" si="22"/>
        <v>#DIV/0!</v>
      </c>
      <c r="CD46" s="66" t="e">
        <f t="shared" si="22"/>
        <v>#DIV/0!</v>
      </c>
      <c r="CE46" s="66" t="e">
        <f t="shared" si="22"/>
        <v>#DIV/0!</v>
      </c>
      <c r="CF46" s="66" t="e">
        <f t="shared" si="22"/>
        <v>#DIV/0!</v>
      </c>
      <c r="CG46" s="66" t="e">
        <f t="shared" si="22"/>
        <v>#DIV/0!</v>
      </c>
      <c r="CH46" s="66" t="e">
        <f t="shared" si="22"/>
        <v>#DIV/0!</v>
      </c>
      <c r="CI46" s="66" t="e">
        <f t="shared" si="22"/>
        <v>#DIV/0!</v>
      </c>
      <c r="CJ46" s="66" t="e">
        <f t="shared" si="22"/>
        <v>#DIV/0!</v>
      </c>
      <c r="CK46" s="66" t="e">
        <f t="shared" si="22"/>
        <v>#DIV/0!</v>
      </c>
      <c r="CL46" s="66" t="e">
        <f t="shared" si="22"/>
        <v>#DIV/0!</v>
      </c>
      <c r="CM46" s="66" t="e">
        <f t="shared" si="22"/>
        <v>#DIV/0!</v>
      </c>
      <c r="CN46" s="66" t="e">
        <f t="shared" si="22"/>
        <v>#DIV/0!</v>
      </c>
      <c r="CO46" s="66" t="e">
        <f t="shared" si="22"/>
        <v>#DIV/0!</v>
      </c>
      <c r="CP46" s="66" t="e">
        <f t="shared" si="22"/>
        <v>#DIV/0!</v>
      </c>
      <c r="CQ46" s="66" t="e">
        <f t="shared" si="22"/>
        <v>#DIV/0!</v>
      </c>
      <c r="CR46" s="66" t="e">
        <f t="shared" si="22"/>
        <v>#DIV/0!</v>
      </c>
      <c r="CS46" s="66" t="e">
        <f t="shared" si="22"/>
        <v>#DIV/0!</v>
      </c>
      <c r="CT46" s="66" t="e">
        <f t="shared" si="22"/>
        <v>#DIV/0!</v>
      </c>
      <c r="CU46" s="66" t="e">
        <f t="shared" si="22"/>
        <v>#DIV/0!</v>
      </c>
      <c r="CV46" s="69"/>
    </row>
    <row r="47" spans="1:100" ht="14.25" customHeight="1">
      <c r="A47" s="103"/>
      <c r="E47" s="83"/>
      <c r="H47" s="83"/>
      <c r="I47" s="277">
        <f t="array" ref="I47">_xlfn.STDEV.P(IF($E$5:$E$35=$E46,I$5:I$35))</f>
        <v>2.3361292772447331</v>
      </c>
      <c r="J47" s="65" t="s">
        <v>11</v>
      </c>
      <c r="K47" s="74">
        <f t="array" ref="K47">_xlfn.STDEV.P(IF($E$5:$E$35=$E46,K$5:K$35))</f>
        <v>2.3361292772447331</v>
      </c>
      <c r="L47" s="74">
        <f t="array" ref="L47">_xlfn.STDEV.P(IF($E$5:$E$35=$E46,L$5:L$35))</f>
        <v>2.6766350143417017</v>
      </c>
      <c r="M47" s="74">
        <f t="array" ref="M47">_xlfn.STDEV.P(IF($E$5:$E$35=$E46,M$5:M$35))</f>
        <v>2.3334523779156071</v>
      </c>
      <c r="N47" s="74">
        <f t="array" ref="N47">_xlfn.STDEV.P(IF($E$5:$E$35=$E46,N$5:N$35))</f>
        <v>2.457132475061123</v>
      </c>
      <c r="O47" s="74">
        <f t="array" ref="O47">_xlfn.STDEV.P(IF($E$5:$E$35=$E46,O$5:O$35))</f>
        <v>0</v>
      </c>
      <c r="P47" s="74">
        <f t="array" ref="P47">_xlfn.STDEV.P(IF($E$5:$E$35=$E46,P$5:P$35))</f>
        <v>2.385241077962561</v>
      </c>
      <c r="Q47" s="74">
        <f t="array" ref="Q47">_xlfn.STDEV.P(IF($E$5:$E$35=$E46,Q$5:Q$35))</f>
        <v>2.4634515927860243</v>
      </c>
      <c r="R47" s="74">
        <f t="array" ref="R47">_xlfn.STDEV.P(IF($E$5:$E$35=$E46,R$5:R$35))</f>
        <v>9.2378298317299592</v>
      </c>
      <c r="S47" s="74">
        <f t="array" ref="S47">_xlfn.STDEV.P(IF($E$5:$E$35=$E46,S$5:S$35))</f>
        <v>11.766471168111529</v>
      </c>
      <c r="T47" s="74">
        <f t="array" ref="T47">_xlfn.STDEV.P(IF($E$5:$E$35=$E46,T$5:T$35))</f>
        <v>12.06098436073939</v>
      </c>
      <c r="U47" s="74">
        <f t="array" ref="U47">_xlfn.STDEV.P(IF($E$5:$E$35=$E46,U$5:U$35))</f>
        <v>14.062516666656789</v>
      </c>
      <c r="V47" s="74">
        <f t="array" ref="V47">_xlfn.STDEV.P(IF($E$5:$E$35=$E46,V$5:V$35))</f>
        <v>14.103540114099014</v>
      </c>
      <c r="W47" s="74">
        <f t="array" ref="W47">_xlfn.STDEV.P(IF($E$5:$E$35=$E46,W$5:W$35))</f>
        <v>12.916655913974019</v>
      </c>
      <c r="X47" s="74">
        <f t="array" ref="X47">_xlfn.STDEV.P(IF($E$5:$E$35=$E46,X$5:X$35))</f>
        <v>8.6317636523482264</v>
      </c>
      <c r="Y47" s="74">
        <f t="array" ref="Y47">_xlfn.STDEV.P(IF($E$5:$E$35=$E46,Y$5:Y$35))</f>
        <v>8.4664041954066906</v>
      </c>
      <c r="Z47" s="74">
        <f t="array" ref="Z47">_xlfn.STDEV.P(IF($E$5:$E$35=$E46,Z$5:Z$35))</f>
        <v>0</v>
      </c>
      <c r="AA47" s="74">
        <f t="array" ref="AA47">_xlfn.STDEV.P(IF($E$5:$E$35=$E46,AA$5:AA$35))</f>
        <v>0</v>
      </c>
      <c r="AB47" s="74">
        <f t="array" ref="AB47">_xlfn.STDEV.P(IF($E$5:$E$35=$E46,AB$5:AB$35))</f>
        <v>0</v>
      </c>
      <c r="AC47" s="74">
        <f t="array" ref="AC47">_xlfn.STDEV.P(IF($E$5:$E$35=$E46,AC$5:AC$35))</f>
        <v>0</v>
      </c>
      <c r="AD47" s="74">
        <f t="array" ref="AD47">_xlfn.STDEV.P(IF($E$5:$E$35=$E46,AD$5:AD$35))</f>
        <v>0</v>
      </c>
      <c r="AE47" s="74">
        <f t="array" ref="AE47">_xlfn.STDEV.P(IF($E$5:$E$35=$E46,AE$5:AE$35))</f>
        <v>0</v>
      </c>
      <c r="AF47" s="74">
        <f t="array" ref="AF47">_xlfn.STDEV.P(IF($E$5:$E$35=$E46,AF$5:AF$35))</f>
        <v>0</v>
      </c>
      <c r="AG47" s="74">
        <f t="array" ref="AG47">_xlfn.STDEV.P(IF($E$5:$E$35=$E46,AG$5:AG$35))</f>
        <v>0</v>
      </c>
      <c r="AH47" s="74">
        <f t="array" ref="AH47">_xlfn.STDEV.P(IF($E$5:$E$35=$E46,AH$5:AH$35))</f>
        <v>0</v>
      </c>
      <c r="AI47" s="74">
        <f t="array" ref="AI47">_xlfn.STDEV.P(IF($E$5:$E$35=$E46,AI$5:AI$35))</f>
        <v>0</v>
      </c>
      <c r="AJ47" s="74">
        <f t="array" ref="AJ47">_xlfn.STDEV.P(IF($E$5:$E$35=$E46,AJ$5:AJ$35))</f>
        <v>0</v>
      </c>
      <c r="AK47" s="74">
        <f t="array" ref="AK47">_xlfn.STDEV.P(IF($E$5:$E$35=$E46,AK$5:AK$35))</f>
        <v>0</v>
      </c>
      <c r="AL47" s="74">
        <f t="array" ref="AL47">_xlfn.STDEV.P(IF($E$5:$E$35=$E46,AL$5:AL$35))</f>
        <v>0</v>
      </c>
      <c r="AM47" s="74">
        <f t="array" ref="AM47">_xlfn.STDEV.P(IF($E$5:$E$35=$E46,AM$5:AM$35))</f>
        <v>0</v>
      </c>
      <c r="AN47" s="74">
        <f t="array" ref="AN47">_xlfn.STDEV.P(IF($E$5:$E$35=$E46,AN$5:AN$35))</f>
        <v>0</v>
      </c>
      <c r="AO47" s="74">
        <f t="array" ref="AO47">_xlfn.STDEV.P(IF($E$5:$E$35=$E46,AO$5:AO$35))</f>
        <v>0</v>
      </c>
      <c r="AP47" s="74">
        <f t="array" ref="AP47">_xlfn.STDEV.P(IF($E$5:$E$35=$E46,AP$5:AP$35))</f>
        <v>0</v>
      </c>
      <c r="AQ47" s="74">
        <f t="array" ref="AQ47">_xlfn.STDEV.P(IF($E$5:$E$35=$E46,AQ$5:AQ$35))</f>
        <v>0</v>
      </c>
      <c r="AR47" s="74">
        <f t="array" ref="AR47">_xlfn.STDEV.P(IF($E$5:$E$35=$E46,AR$5:AR$35))</f>
        <v>0</v>
      </c>
      <c r="AS47" s="74">
        <f t="array" ref="AS47">_xlfn.STDEV.P(IF($E$5:$E$35=$E46,AS$5:AS$35))</f>
        <v>0</v>
      </c>
      <c r="AT47" s="74">
        <f t="array" ref="AT47">_xlfn.STDEV.P(IF($E$5:$E$35=$E46,AT$5:AT$35))</f>
        <v>0</v>
      </c>
      <c r="AU47" s="74">
        <f t="array" ref="AU47">_xlfn.STDEV.P(IF($E$5:$E$35=$E46,AU$5:AU$35))</f>
        <v>0</v>
      </c>
      <c r="AV47" s="74">
        <f t="array" ref="AV47">_xlfn.STDEV.P(IF($E$5:$E$35=$E46,AV$5:AV$35))</f>
        <v>0</v>
      </c>
      <c r="AW47" s="74">
        <f t="array" ref="AW47">_xlfn.STDEV.P(IF($E$5:$E$35=$E46,AW$5:AW$35))</f>
        <v>0</v>
      </c>
      <c r="AX47" s="74">
        <f t="array" ref="AX47">_xlfn.STDEV.P(IF($E$5:$E$35=$E46,AX$5:AX$35))</f>
        <v>0</v>
      </c>
      <c r="AY47" s="74">
        <f t="array" ref="AY47">_xlfn.STDEV.P(IF($E$5:$E$35=$E46,AY$5:AY$35))</f>
        <v>0</v>
      </c>
      <c r="AZ47" s="74">
        <f t="array" ref="AZ47">_xlfn.STDEV.P(IF($E$5:$E$35=$E46,AZ$5:AZ$35))</f>
        <v>0</v>
      </c>
      <c r="BA47" s="74">
        <f t="array" ref="BA47">_xlfn.STDEV.P(IF($E$5:$E$35=$E46,BA$5:BA$35))</f>
        <v>0</v>
      </c>
      <c r="BB47" s="74">
        <f t="array" ref="BB47">_xlfn.STDEV.P(IF($E$5:$E$35=$E46,BB$5:BB$35))</f>
        <v>0</v>
      </c>
      <c r="BC47" s="94" t="s">
        <v>11</v>
      </c>
      <c r="BD47" s="67">
        <f t="array" ref="BD47">_xlfn.STDEV.P(IF($E$5:$E$35=$E46,BD$5:BD$35))</f>
        <v>0</v>
      </c>
      <c r="BE47" s="67">
        <f t="array" ref="BE47">_xlfn.STDEV.P(IF($E$5:$E$35=$E46,BE$5:BE$35))</f>
        <v>2.0116326488494693E-2</v>
      </c>
      <c r="BF47" s="67">
        <f t="array" ref="BF47">_xlfn.STDEV.P(IF($E$5:$E$35=$E46,BF$5:BF$35))</f>
        <v>1.3429033774065204E-2</v>
      </c>
      <c r="BG47" s="67">
        <f t="array" ref="BG47">_xlfn.STDEV.P(IF($E$5:$E$35=$E46,BG$5:BG$35))</f>
        <v>3.814503112932123E-2</v>
      </c>
      <c r="BH47" s="67" t="e">
        <f t="array" ref="BH47">_xlfn.STDEV.P(IF($E$5:$E$35=$E46,BH$5:BH$35))</f>
        <v>#DIV/0!</v>
      </c>
      <c r="BI47" s="67">
        <f t="array" ref="BI47">_xlfn.STDEV.P(IF($E$5:$E$35=$E46,BI$5:BI$35))</f>
        <v>3.7897077336195323E-2</v>
      </c>
      <c r="BJ47" s="67">
        <f t="array" ref="BJ47">_xlfn.STDEV.P(IF($E$5:$E$35=$E46,BJ$5:BJ$35))</f>
        <v>4.0286626669464601E-2</v>
      </c>
      <c r="BK47" s="67">
        <f t="array" ref="BK47">_xlfn.STDEV.P(IF($E$5:$E$35=$E46,BK$5:BK$35))</f>
        <v>5.1552570515801387E-2</v>
      </c>
      <c r="BL47" s="67">
        <f t="array" ref="BL47">_xlfn.STDEV.P(IF($E$5:$E$35=$E46,BL$5:BL$35))</f>
        <v>4.0040118684090964E-2</v>
      </c>
      <c r="BM47" s="67">
        <f t="array" ref="BM47">_xlfn.STDEV.P(IF($E$5:$E$35=$E46,BM$5:BM$35))</f>
        <v>3.9616993797586639E-2</v>
      </c>
      <c r="BN47" s="67">
        <f t="array" ref="BN47">_xlfn.STDEV.P(IF($E$5:$E$35=$E46,BN$5:BN$35))</f>
        <v>4.8993390438518303E-2</v>
      </c>
      <c r="BO47" s="67">
        <f t="array" ref="BO47">_xlfn.STDEV.P(IF($E$5:$E$35=$E46,BO$5:BO$35))</f>
        <v>2.1911180527717258E-2</v>
      </c>
      <c r="BP47" s="67">
        <f t="array" ref="BP47">_xlfn.STDEV.P(IF($E$5:$E$35=$E46,BP$5:BP$35))</f>
        <v>2.3185957007415769E-2</v>
      </c>
      <c r="BQ47" s="67">
        <f t="array" ref="BQ47">_xlfn.STDEV.P(IF($E$5:$E$35=$E46,BQ$5:BQ$35))</f>
        <v>0</v>
      </c>
      <c r="BR47" s="67">
        <f t="array" ref="BR47">_xlfn.STDEV.P(IF($E$5:$E$35=$E46,BR$5:BR$35))</f>
        <v>0</v>
      </c>
      <c r="BS47" s="67" t="e">
        <f t="array" ref="BS47">_xlfn.STDEV.P(IF($E$5:$E$35=$E46,BS$5:BS$35))</f>
        <v>#DIV/0!</v>
      </c>
      <c r="BT47" s="67" t="e">
        <f t="array" ref="BT47">_xlfn.STDEV.P(IF($E$5:$E$35=$E46,BT$5:BT$35))</f>
        <v>#DIV/0!</v>
      </c>
      <c r="BU47" s="67" t="e">
        <f t="array" ref="BU47">_xlfn.STDEV.P(IF($E$5:$E$35=$E46,BU$5:BU$35))</f>
        <v>#DIV/0!</v>
      </c>
      <c r="BV47" s="67" t="e">
        <f t="array" ref="BV47">_xlfn.STDEV.P(IF($E$5:$E$35=$E46,BV$5:BV$35))</f>
        <v>#DIV/0!</v>
      </c>
      <c r="BW47" s="67" t="e">
        <f t="array" ref="BW47">_xlfn.STDEV.P(IF($E$5:$E$35=$E46,BW$5:BW$35))</f>
        <v>#DIV/0!</v>
      </c>
      <c r="BX47" s="67" t="e">
        <f t="array" ref="BX47">_xlfn.STDEV.P(IF($E$5:$E$35=$E46,BX$5:BX$35))</f>
        <v>#DIV/0!</v>
      </c>
      <c r="BY47" s="67" t="e">
        <f t="array" ref="BY47">_xlfn.STDEV.P(IF($E$5:$E$35=$E46,BY$5:BY$35))</f>
        <v>#DIV/0!</v>
      </c>
      <c r="BZ47" s="67" t="e">
        <f t="array" ref="BZ47">_xlfn.STDEV.P(IF($E$5:$E$35=$E46,BZ$5:BZ$35))</f>
        <v>#DIV/0!</v>
      </c>
      <c r="CA47" s="67" t="e">
        <f t="array" ref="CA47">_xlfn.STDEV.P(IF($E$5:$E$35=$E46,CA$5:CA$35))</f>
        <v>#DIV/0!</v>
      </c>
      <c r="CB47" s="67" t="e">
        <f t="array" ref="CB47">_xlfn.STDEV.P(IF($E$5:$E$35=$E46,CB$5:CB$35))</f>
        <v>#DIV/0!</v>
      </c>
      <c r="CC47" s="67" t="e">
        <f t="array" ref="CC47">_xlfn.STDEV.P(IF($E$5:$E$35=$E46,CC$5:CC$35))</f>
        <v>#DIV/0!</v>
      </c>
      <c r="CD47" s="67" t="e">
        <f t="array" ref="CD47">_xlfn.STDEV.P(IF($E$5:$E$35=$E46,CD$5:CD$35))</f>
        <v>#DIV/0!</v>
      </c>
      <c r="CE47" s="67" t="e">
        <f t="array" ref="CE47">_xlfn.STDEV.P(IF($E$5:$E$35=$E46,CE$5:CE$35))</f>
        <v>#DIV/0!</v>
      </c>
      <c r="CF47" s="67" t="e">
        <f t="array" ref="CF47">_xlfn.STDEV.P(IF($E$5:$E$35=$E46,CF$5:CF$35))</f>
        <v>#DIV/0!</v>
      </c>
      <c r="CG47" s="67" t="e">
        <f t="array" ref="CG47">_xlfn.STDEV.P(IF($E$5:$E$35=$E46,CG$5:CG$35))</f>
        <v>#DIV/0!</v>
      </c>
      <c r="CH47" s="67" t="e">
        <f t="array" ref="CH47">_xlfn.STDEV.P(IF($E$5:$E$35=$E46,CH$5:CH$35))</f>
        <v>#DIV/0!</v>
      </c>
      <c r="CI47" s="67" t="e">
        <f t="array" ref="CI47">_xlfn.STDEV.P(IF($E$5:$E$35=$E46,CI$5:CI$35))</f>
        <v>#DIV/0!</v>
      </c>
      <c r="CJ47" s="67" t="e">
        <f t="array" ref="CJ47">_xlfn.STDEV.P(IF($E$5:$E$35=$E46,CJ$5:CJ$35))</f>
        <v>#DIV/0!</v>
      </c>
      <c r="CK47" s="67" t="e">
        <f t="array" ref="CK47">_xlfn.STDEV.P(IF($E$5:$E$35=$E46,CK$5:CK$35))</f>
        <v>#DIV/0!</v>
      </c>
      <c r="CL47" s="67" t="e">
        <f t="array" ref="CL47">_xlfn.STDEV.P(IF($E$5:$E$35=$E46,CL$5:CL$35))</f>
        <v>#DIV/0!</v>
      </c>
      <c r="CM47" s="67" t="e">
        <f t="array" ref="CM47">_xlfn.STDEV.P(IF($E$5:$E$35=$E46,CM$5:CM$35))</f>
        <v>#DIV/0!</v>
      </c>
      <c r="CN47" s="67" t="e">
        <f t="array" ref="CN47">_xlfn.STDEV.P(IF($E$5:$E$35=$E46,CN$5:CN$35))</f>
        <v>#DIV/0!</v>
      </c>
      <c r="CO47" s="67" t="e">
        <f t="array" ref="CO47">_xlfn.STDEV.P(IF($E$5:$E$35=$E46,CO$5:CO$35))</f>
        <v>#DIV/0!</v>
      </c>
      <c r="CP47" s="67" t="e">
        <f t="array" ref="CP47">_xlfn.STDEV.P(IF($E$5:$E$35=$E46,CP$5:CP$35))</f>
        <v>#DIV/0!</v>
      </c>
      <c r="CQ47" s="67" t="e">
        <f t="array" ref="CQ47">_xlfn.STDEV.P(IF($E$5:$E$35=$E46,CQ$5:CQ$35))</f>
        <v>#DIV/0!</v>
      </c>
      <c r="CR47" s="67" t="e">
        <f t="array" ref="CR47">_xlfn.STDEV.P(IF($E$5:$E$35=$E46,CR$5:CR$35))</f>
        <v>#DIV/0!</v>
      </c>
      <c r="CS47" s="67" t="e">
        <f t="array" ref="CS47">_xlfn.STDEV.P(IF($E$5:$E$35=$E46,CS$5:CS$35))</f>
        <v>#DIV/0!</v>
      </c>
      <c r="CT47" s="67" t="e">
        <f t="array" ref="CT47">_xlfn.STDEV.P(IF($E$5:$E$35=$E46,CT$5:CT$35))</f>
        <v>#DIV/0!</v>
      </c>
      <c r="CU47" s="67" t="e">
        <f t="array" ref="CU47">_xlfn.STDEV.P(IF($E$5:$E$35=$E46,CU$5:CU$35))</f>
        <v>#DIV/0!</v>
      </c>
      <c r="CV47" s="69"/>
    </row>
    <row r="48" spans="1:100" ht="15">
      <c r="A48" s="103"/>
      <c r="E48" s="45"/>
      <c r="H48" s="45"/>
    </row>
    <row r="49" spans="1:100" ht="14.25" customHeight="1">
      <c r="A49" s="103"/>
      <c r="E49" s="108" t="str">
        <f>'5GY EBRT Groups'!C9</f>
        <v>5x 5Gy EBRT Combo</v>
      </c>
      <c r="H49" s="108" t="str">
        <f>E49</f>
        <v>5x 5Gy EBRT Combo</v>
      </c>
      <c r="I49" s="277">
        <f>AVERAGEIF($E$5:$E$35,$E49,I$5:I$35)</f>
        <v>27.587499999999999</v>
      </c>
      <c r="J49" s="65" t="s">
        <v>9</v>
      </c>
      <c r="K49" s="71">
        <f t="shared" ref="K49:BB49" si="23">AVERAGEIF($E$5:$E$35,$E49,K$5:K$35)</f>
        <v>27.587499999999999</v>
      </c>
      <c r="L49" s="71">
        <f t="shared" si="23"/>
        <v>27.325000000000003</v>
      </c>
      <c r="M49" s="71">
        <f t="shared" si="23"/>
        <v>27.200000000000003</v>
      </c>
      <c r="N49" s="71">
        <f t="shared" si="23"/>
        <v>26.05</v>
      </c>
      <c r="O49" s="71">
        <f t="shared" si="23"/>
        <v>21.3</v>
      </c>
      <c r="P49" s="71">
        <f t="shared" si="23"/>
        <v>26.528571428571428</v>
      </c>
      <c r="Q49" s="71">
        <f t="shared" si="23"/>
        <v>26.557142857142857</v>
      </c>
      <c r="R49" s="71">
        <f t="shared" si="23"/>
        <v>26.985714285714284</v>
      </c>
      <c r="S49" s="71">
        <f t="shared" si="23"/>
        <v>27.450000000000003</v>
      </c>
      <c r="T49" s="71">
        <f t="shared" si="23"/>
        <v>27.683333333333334</v>
      </c>
      <c r="U49" s="71">
        <f t="shared" si="23"/>
        <v>27.983333333333331</v>
      </c>
      <c r="V49" s="71">
        <f t="shared" si="23"/>
        <v>27.650000000000002</v>
      </c>
      <c r="W49" s="71">
        <f t="shared" si="23"/>
        <v>28.3</v>
      </c>
      <c r="X49" s="71">
        <f t="shared" si="23"/>
        <v>22.5</v>
      </c>
      <c r="Y49" s="71" t="e">
        <f t="shared" si="23"/>
        <v>#DIV/0!</v>
      </c>
      <c r="Z49" s="71" t="e">
        <f t="shared" si="23"/>
        <v>#DIV/0!</v>
      </c>
      <c r="AA49" s="71" t="e">
        <f t="shared" si="23"/>
        <v>#DIV/0!</v>
      </c>
      <c r="AB49" s="71" t="e">
        <f t="shared" si="23"/>
        <v>#DIV/0!</v>
      </c>
      <c r="AC49" s="71" t="e">
        <f t="shared" si="23"/>
        <v>#DIV/0!</v>
      </c>
      <c r="AD49" s="71" t="e">
        <f t="shared" si="23"/>
        <v>#DIV/0!</v>
      </c>
      <c r="AE49" s="71" t="e">
        <f t="shared" si="23"/>
        <v>#DIV/0!</v>
      </c>
      <c r="AF49" s="71" t="e">
        <f t="shared" si="23"/>
        <v>#DIV/0!</v>
      </c>
      <c r="AG49" s="71" t="e">
        <f t="shared" si="23"/>
        <v>#DIV/0!</v>
      </c>
      <c r="AH49" s="71" t="e">
        <f t="shared" si="23"/>
        <v>#DIV/0!</v>
      </c>
      <c r="AI49" s="71" t="e">
        <f t="shared" si="23"/>
        <v>#DIV/0!</v>
      </c>
      <c r="AJ49" s="71" t="e">
        <f t="shared" si="23"/>
        <v>#DIV/0!</v>
      </c>
      <c r="AK49" s="71" t="e">
        <f t="shared" si="23"/>
        <v>#DIV/0!</v>
      </c>
      <c r="AL49" s="71" t="e">
        <f t="shared" si="23"/>
        <v>#DIV/0!</v>
      </c>
      <c r="AM49" s="71" t="e">
        <f t="shared" si="23"/>
        <v>#DIV/0!</v>
      </c>
      <c r="AN49" s="71" t="e">
        <f t="shared" si="23"/>
        <v>#DIV/0!</v>
      </c>
      <c r="AO49" s="71" t="e">
        <f t="shared" si="23"/>
        <v>#DIV/0!</v>
      </c>
      <c r="AP49" s="71" t="e">
        <f t="shared" si="23"/>
        <v>#DIV/0!</v>
      </c>
      <c r="AQ49" s="71" t="e">
        <f t="shared" si="23"/>
        <v>#DIV/0!</v>
      </c>
      <c r="AR49" s="71" t="e">
        <f t="shared" si="23"/>
        <v>#DIV/0!</v>
      </c>
      <c r="AS49" s="71" t="e">
        <f t="shared" si="23"/>
        <v>#DIV/0!</v>
      </c>
      <c r="AT49" s="71" t="e">
        <f t="shared" si="23"/>
        <v>#DIV/0!</v>
      </c>
      <c r="AU49" s="71" t="e">
        <f t="shared" si="23"/>
        <v>#DIV/0!</v>
      </c>
      <c r="AV49" s="71" t="e">
        <f t="shared" si="23"/>
        <v>#DIV/0!</v>
      </c>
      <c r="AW49" s="71" t="e">
        <f t="shared" si="23"/>
        <v>#DIV/0!</v>
      </c>
      <c r="AX49" s="71" t="e">
        <f t="shared" si="23"/>
        <v>#DIV/0!</v>
      </c>
      <c r="AY49" s="71" t="e">
        <f t="shared" si="23"/>
        <v>#DIV/0!</v>
      </c>
      <c r="AZ49" s="71" t="e">
        <f t="shared" si="23"/>
        <v>#DIV/0!</v>
      </c>
      <c r="BA49" s="71" t="e">
        <f t="shared" si="23"/>
        <v>#DIV/0!</v>
      </c>
      <c r="BB49" s="71" t="e">
        <f t="shared" si="23"/>
        <v>#DIV/0!</v>
      </c>
      <c r="BC49" s="93" t="s">
        <v>9</v>
      </c>
      <c r="BD49" s="66">
        <f t="shared" ref="BD49:CU49" si="24">AVERAGEIF($E$5:$E$35,$E49,BD$5:BD$35)</f>
        <v>1</v>
      </c>
      <c r="BE49" s="66">
        <f t="shared" si="24"/>
        <v>0.99079730361650997</v>
      </c>
      <c r="BF49" s="66">
        <f t="shared" si="24"/>
        <v>0.9858495552102815</v>
      </c>
      <c r="BG49" s="66">
        <f t="shared" si="24"/>
        <v>0.94425698194649776</v>
      </c>
      <c r="BH49" s="66">
        <f t="shared" si="24"/>
        <v>0.78888888888888886</v>
      </c>
      <c r="BI49" s="66">
        <f t="shared" si="24"/>
        <v>0.95942940814926747</v>
      </c>
      <c r="BJ49" s="66">
        <f t="shared" si="24"/>
        <v>0.96041601724894898</v>
      </c>
      <c r="BK49" s="66">
        <f t="shared" si="24"/>
        <v>0.97594504072046284</v>
      </c>
      <c r="BL49" s="66">
        <f t="shared" si="24"/>
        <v>0.97937405076785788</v>
      </c>
      <c r="BM49" s="66">
        <f t="shared" si="24"/>
        <v>0.98770506538224989</v>
      </c>
      <c r="BN49" s="66">
        <f t="shared" si="24"/>
        <v>1.0206882953114154</v>
      </c>
      <c r="BO49" s="66">
        <f t="shared" si="24"/>
        <v>0.98723647427797123</v>
      </c>
      <c r="BP49" s="66">
        <f t="shared" si="24"/>
        <v>0.91585760517799364</v>
      </c>
      <c r="BQ49" s="66">
        <f t="shared" si="24"/>
        <v>0.72815533980582525</v>
      </c>
      <c r="BR49" s="66" t="e">
        <f t="shared" si="24"/>
        <v>#DIV/0!</v>
      </c>
      <c r="BS49" s="66" t="e">
        <f t="shared" si="24"/>
        <v>#DIV/0!</v>
      </c>
      <c r="BT49" s="66" t="e">
        <f t="shared" si="24"/>
        <v>#DIV/0!</v>
      </c>
      <c r="BU49" s="66" t="e">
        <f t="shared" si="24"/>
        <v>#DIV/0!</v>
      </c>
      <c r="BV49" s="66" t="e">
        <f t="shared" si="24"/>
        <v>#DIV/0!</v>
      </c>
      <c r="BW49" s="66" t="e">
        <f t="shared" si="24"/>
        <v>#DIV/0!</v>
      </c>
      <c r="BX49" s="66" t="e">
        <f t="shared" si="24"/>
        <v>#DIV/0!</v>
      </c>
      <c r="BY49" s="66" t="e">
        <f t="shared" si="24"/>
        <v>#DIV/0!</v>
      </c>
      <c r="BZ49" s="66" t="e">
        <f t="shared" si="24"/>
        <v>#DIV/0!</v>
      </c>
      <c r="CA49" s="66" t="e">
        <f t="shared" si="24"/>
        <v>#DIV/0!</v>
      </c>
      <c r="CB49" s="66" t="e">
        <f t="shared" si="24"/>
        <v>#DIV/0!</v>
      </c>
      <c r="CC49" s="66" t="e">
        <f t="shared" si="24"/>
        <v>#DIV/0!</v>
      </c>
      <c r="CD49" s="66" t="e">
        <f t="shared" si="24"/>
        <v>#DIV/0!</v>
      </c>
      <c r="CE49" s="66" t="e">
        <f t="shared" si="24"/>
        <v>#DIV/0!</v>
      </c>
      <c r="CF49" s="66" t="e">
        <f t="shared" si="24"/>
        <v>#DIV/0!</v>
      </c>
      <c r="CG49" s="66" t="e">
        <f t="shared" si="24"/>
        <v>#DIV/0!</v>
      </c>
      <c r="CH49" s="66" t="e">
        <f t="shared" si="24"/>
        <v>#DIV/0!</v>
      </c>
      <c r="CI49" s="66" t="e">
        <f t="shared" si="24"/>
        <v>#DIV/0!</v>
      </c>
      <c r="CJ49" s="66" t="e">
        <f t="shared" si="24"/>
        <v>#DIV/0!</v>
      </c>
      <c r="CK49" s="66" t="e">
        <f t="shared" si="24"/>
        <v>#DIV/0!</v>
      </c>
      <c r="CL49" s="66" t="e">
        <f t="shared" si="24"/>
        <v>#DIV/0!</v>
      </c>
      <c r="CM49" s="66" t="e">
        <f t="shared" si="24"/>
        <v>#DIV/0!</v>
      </c>
      <c r="CN49" s="66" t="e">
        <f t="shared" si="24"/>
        <v>#DIV/0!</v>
      </c>
      <c r="CO49" s="66" t="e">
        <f t="shared" si="24"/>
        <v>#DIV/0!</v>
      </c>
      <c r="CP49" s="66" t="e">
        <f t="shared" si="24"/>
        <v>#DIV/0!</v>
      </c>
      <c r="CQ49" s="66" t="e">
        <f t="shared" si="24"/>
        <v>#DIV/0!</v>
      </c>
      <c r="CR49" s="66" t="e">
        <f t="shared" si="24"/>
        <v>#DIV/0!</v>
      </c>
      <c r="CS49" s="66" t="e">
        <f t="shared" si="24"/>
        <v>#DIV/0!</v>
      </c>
      <c r="CT49" s="66" t="e">
        <f t="shared" si="24"/>
        <v>#DIV/0!</v>
      </c>
      <c r="CU49" s="66" t="e">
        <f t="shared" si="24"/>
        <v>#DIV/0!</v>
      </c>
      <c r="CV49" s="69"/>
    </row>
    <row r="50" spans="1:100" ht="14.25" customHeight="1">
      <c r="A50" s="103"/>
      <c r="E50" s="108"/>
      <c r="H50" s="83"/>
      <c r="I50" s="277">
        <f t="array" ref="I50">_xlfn.STDEV.P(IF($E$5:$E$35=$E49,I$5:I$35))</f>
        <v>1.481078576578569</v>
      </c>
      <c r="J50" s="65" t="s">
        <v>11</v>
      </c>
      <c r="K50" s="74">
        <f t="array" ref="K50">_xlfn.STDEV.P(IF($E$5:$E$35=$E49,K$5:K$35))</f>
        <v>1.481078576578569</v>
      </c>
      <c r="L50" s="74">
        <f t="array" ref="L50">_xlfn.STDEV.P(IF($E$5:$E$35=$E49,L$5:L$35))</f>
        <v>1.3432702632009688</v>
      </c>
      <c r="M50" s="74">
        <f t="array" ref="M50">_xlfn.STDEV.P(IF($E$5:$E$35=$E49,M$5:M$35))</f>
        <v>1.691892431568863</v>
      </c>
      <c r="N50" s="74">
        <f t="array" ref="N50">_xlfn.STDEV.P(IF($E$5:$E$35=$E49,N$5:N$35))</f>
        <v>2.0445048300260877</v>
      </c>
      <c r="O50" s="74">
        <f t="array" ref="O50">_xlfn.STDEV.P(IF($E$5:$E$35=$E49,O$5:O$35))</f>
        <v>7.0443128657094727</v>
      </c>
      <c r="P50" s="74">
        <f t="array" ref="P50">_xlfn.STDEV.P(IF($E$5:$E$35=$E49,P$5:P$35))</f>
        <v>8.8661487552375338</v>
      </c>
      <c r="Q50" s="74">
        <f t="array" ref="Q50">_xlfn.STDEV.P(IF($E$5:$E$35=$E49,Q$5:Q$35))</f>
        <v>8.9015360331798874</v>
      </c>
      <c r="R50" s="74">
        <f t="array" ref="R50">_xlfn.STDEV.P(IF($E$5:$E$35=$E49,R$5:R$35))</f>
        <v>9.0673090688472815</v>
      </c>
      <c r="S50" s="74">
        <f t="array" ref="S50">_xlfn.STDEV.P(IF($E$5:$E$35=$E49,S$5:S$35))</f>
        <v>11.948895084902199</v>
      </c>
      <c r="T50" s="74">
        <f t="array" ref="T50">_xlfn.STDEV.P(IF($E$5:$E$35=$E49,T$5:T$35))</f>
        <v>12.05507543526792</v>
      </c>
      <c r="U50" s="74">
        <f t="array" ref="U50">_xlfn.STDEV.P(IF($E$5:$E$35=$E49,U$5:U$35))</f>
        <v>12.146340755552686</v>
      </c>
      <c r="V50" s="74">
        <f t="array" ref="V50">_xlfn.STDEV.P(IF($E$5:$E$35=$E49,V$5:V$35))</f>
        <v>12.008532123036519</v>
      </c>
      <c r="W50" s="74">
        <f t="array" ref="W50">_xlfn.STDEV.P(IF($E$5:$E$35=$E49,W$5:W$35))</f>
        <v>9.3593452628909883</v>
      </c>
      <c r="X50" s="74">
        <f t="array" ref="X50">_xlfn.STDEV.P(IF($E$5:$E$35=$E49,X$5:X$35))</f>
        <v>7.4411755623691613</v>
      </c>
      <c r="Y50" s="74">
        <f t="array" ref="Y50">_xlfn.STDEV.P(IF($E$5:$E$35=$E49,Y$5:Y$35))</f>
        <v>0</v>
      </c>
      <c r="Z50" s="74">
        <f t="array" ref="Z50">_xlfn.STDEV.P(IF($E$5:$E$35=$E49,Z$5:Z$35))</f>
        <v>0</v>
      </c>
      <c r="AA50" s="74">
        <f t="array" ref="AA50">_xlfn.STDEV.P(IF($E$5:$E$35=$E49,AA$5:AA$35))</f>
        <v>0</v>
      </c>
      <c r="AB50" s="74">
        <f t="array" ref="AB50">_xlfn.STDEV.P(IF($E$5:$E$35=$E49,AB$5:AB$35))</f>
        <v>0</v>
      </c>
      <c r="AC50" s="74">
        <f t="array" ref="AC50">_xlfn.STDEV.P(IF($E$5:$E$35=$E49,AC$5:AC$35))</f>
        <v>0</v>
      </c>
      <c r="AD50" s="74">
        <f t="array" ref="AD50">_xlfn.STDEV.P(IF($E$5:$E$35=$E49,AD$5:AD$35))</f>
        <v>0</v>
      </c>
      <c r="AE50" s="74">
        <f t="array" ref="AE50">_xlfn.STDEV.P(IF($E$5:$E$35=$E49,AE$5:AE$35))</f>
        <v>0</v>
      </c>
      <c r="AF50" s="74">
        <f t="array" ref="AF50">_xlfn.STDEV.P(IF($E$5:$E$35=$E49,AF$5:AF$35))</f>
        <v>0</v>
      </c>
      <c r="AG50" s="74">
        <f t="array" ref="AG50">_xlfn.STDEV.P(IF($E$5:$E$35=$E49,AG$5:AG$35))</f>
        <v>0</v>
      </c>
      <c r="AH50" s="74">
        <f t="array" ref="AH50">_xlfn.STDEV.P(IF($E$5:$E$35=$E49,AH$5:AH$35))</f>
        <v>0</v>
      </c>
      <c r="AI50" s="74">
        <f t="array" ref="AI50">_xlfn.STDEV.P(IF($E$5:$E$35=$E49,AI$5:AI$35))</f>
        <v>0</v>
      </c>
      <c r="AJ50" s="74">
        <f t="array" ref="AJ50">_xlfn.STDEV.P(IF($E$5:$E$35=$E49,AJ$5:AJ$35))</f>
        <v>0</v>
      </c>
      <c r="AK50" s="74">
        <f t="array" ref="AK50">_xlfn.STDEV.P(IF($E$5:$E$35=$E49,AK$5:AK$35))</f>
        <v>0</v>
      </c>
      <c r="AL50" s="74">
        <f t="array" ref="AL50">_xlfn.STDEV.P(IF($E$5:$E$35=$E49,AL$5:AL$35))</f>
        <v>0</v>
      </c>
      <c r="AM50" s="74">
        <f t="array" ref="AM50">_xlfn.STDEV.P(IF($E$5:$E$35=$E49,AM$5:AM$35))</f>
        <v>0</v>
      </c>
      <c r="AN50" s="74">
        <f t="array" ref="AN50">_xlfn.STDEV.P(IF($E$5:$E$35=$E49,AN$5:AN$35))</f>
        <v>0</v>
      </c>
      <c r="AO50" s="74">
        <f t="array" ref="AO50">_xlfn.STDEV.P(IF($E$5:$E$35=$E49,AO$5:AO$35))</f>
        <v>0</v>
      </c>
      <c r="AP50" s="74">
        <f t="array" ref="AP50">_xlfn.STDEV.P(IF($E$5:$E$35=$E49,AP$5:AP$35))</f>
        <v>0</v>
      </c>
      <c r="AQ50" s="74">
        <f t="array" ref="AQ50">_xlfn.STDEV.P(IF($E$5:$E$35=$E49,AQ$5:AQ$35))</f>
        <v>0</v>
      </c>
      <c r="AR50" s="74">
        <f t="array" ref="AR50">_xlfn.STDEV.P(IF($E$5:$E$35=$E49,AR$5:AR$35))</f>
        <v>0</v>
      </c>
      <c r="AS50" s="74">
        <f t="array" ref="AS50">_xlfn.STDEV.P(IF($E$5:$E$35=$E49,AS$5:AS$35))</f>
        <v>0</v>
      </c>
      <c r="AT50" s="74">
        <f t="array" ref="AT50">_xlfn.STDEV.P(IF($E$5:$E$35=$E49,AT$5:AT$35))</f>
        <v>0</v>
      </c>
      <c r="AU50" s="74">
        <f t="array" ref="AU50">_xlfn.STDEV.P(IF($E$5:$E$35=$E49,AU$5:AU$35))</f>
        <v>0</v>
      </c>
      <c r="AV50" s="74">
        <f t="array" ref="AV50">_xlfn.STDEV.P(IF($E$5:$E$35=$E49,AV$5:AV$35))</f>
        <v>0</v>
      </c>
      <c r="AW50" s="74">
        <f t="array" ref="AW50">_xlfn.STDEV.P(IF($E$5:$E$35=$E49,AW$5:AW$35))</f>
        <v>0</v>
      </c>
      <c r="AX50" s="74">
        <f t="array" ref="AX50">_xlfn.STDEV.P(IF($E$5:$E$35=$E49,AX$5:AX$35))</f>
        <v>0</v>
      </c>
      <c r="AY50" s="74">
        <f t="array" ref="AY50">_xlfn.STDEV.P(IF($E$5:$E$35=$E49,AY$5:AY$35))</f>
        <v>0</v>
      </c>
      <c r="AZ50" s="74">
        <f t="array" ref="AZ50">_xlfn.STDEV.P(IF($E$5:$E$35=$E49,AZ$5:AZ$35))</f>
        <v>0</v>
      </c>
      <c r="BA50" s="74">
        <f t="array" ref="BA50">_xlfn.STDEV.P(IF($E$5:$E$35=$E49,BA$5:BA$35))</f>
        <v>0</v>
      </c>
      <c r="BB50" s="74">
        <f t="array" ref="BB50">_xlfn.STDEV.P(IF($E$5:$E$35=$E49,BB$5:BB$35))</f>
        <v>0</v>
      </c>
      <c r="BC50" s="94" t="s">
        <v>11</v>
      </c>
      <c r="BD50" s="67">
        <f t="array" ref="BD50">_xlfn.STDEV.P(IF($E$5:$E$35=$E49,BD$5:BD$35))</f>
        <v>0</v>
      </c>
      <c r="BE50" s="67">
        <f t="array" ref="BE50">_xlfn.STDEV.P(IF($E$5:$E$35=$E49,BE$5:BE$35))</f>
        <v>1.2999217709013107E-2</v>
      </c>
      <c r="BF50" s="67">
        <f t="array" ref="BF50">_xlfn.STDEV.P(IF($E$5:$E$35=$E49,BF$5:BF$35))</f>
        <v>2.7636702575429918E-2</v>
      </c>
      <c r="BG50" s="67">
        <f t="array" ref="BG50">_xlfn.STDEV.P(IF($E$5:$E$35=$E49,BG$5:BG$35))</f>
        <v>5.4491012493150089E-2</v>
      </c>
      <c r="BH50" s="67">
        <f t="array" ref="BH50">_xlfn.STDEV.P(IF($E$5:$E$35=$E49,BH$5:BH$35))</f>
        <v>0</v>
      </c>
      <c r="BI50" s="67">
        <f t="array" ref="BI50">_xlfn.STDEV.P(IF($E$5:$E$35=$E49,BI$5:BI$35))</f>
        <v>3.0642849463239901E-2</v>
      </c>
      <c r="BJ50" s="67">
        <f t="array" ref="BJ50">_xlfn.STDEV.P(IF($E$5:$E$35=$E49,BJ$5:BJ$35))</f>
        <v>3.9918535150934929E-2</v>
      </c>
      <c r="BK50" s="67">
        <f t="array" ref="BK50">_xlfn.STDEV.P(IF($E$5:$E$35=$E49,BK$5:BK$35))</f>
        <v>4.7957166637637903E-2</v>
      </c>
      <c r="BL50" s="67">
        <f t="array" ref="BL50">_xlfn.STDEV.P(IF($E$5:$E$35=$E49,BL$5:BL$35))</f>
        <v>4.2538446536944149E-2</v>
      </c>
      <c r="BM50" s="67">
        <f t="array" ref="BM50">_xlfn.STDEV.P(IF($E$5:$E$35=$E49,BM$5:BM$35))</f>
        <v>4.5334331645178659E-2</v>
      </c>
      <c r="BN50" s="67">
        <f t="array" ref="BN50">_xlfn.STDEV.P(IF($E$5:$E$35=$E49,BN$5:BN$35))</f>
        <v>3.5785479639992832E-2</v>
      </c>
      <c r="BO50" s="67">
        <f t="array" ref="BO50">_xlfn.STDEV.P(IF($E$5:$E$35=$E49,BO$5:BO$35))</f>
        <v>4.7226520912034498E-2</v>
      </c>
      <c r="BP50" s="67">
        <f t="array" ref="BP50">_xlfn.STDEV.P(IF($E$5:$E$35=$E49,BP$5:BP$35))</f>
        <v>0</v>
      </c>
      <c r="BQ50" s="67">
        <f t="array" ref="BQ50">_xlfn.STDEV.P(IF($E$5:$E$35=$E49,BQ$5:BQ$35))</f>
        <v>0</v>
      </c>
      <c r="BR50" s="67" t="e">
        <f t="array" ref="BR50">_xlfn.STDEV.P(IF($E$5:$E$35=$E49,BR$5:BR$35))</f>
        <v>#DIV/0!</v>
      </c>
      <c r="BS50" s="67" t="e">
        <f t="array" ref="BS50">_xlfn.STDEV.P(IF($E$5:$E$35=$E49,BS$5:BS$35))</f>
        <v>#DIV/0!</v>
      </c>
      <c r="BT50" s="67" t="e">
        <f t="array" ref="BT50">_xlfn.STDEV.P(IF($E$5:$E$35=$E49,BT$5:BT$35))</f>
        <v>#DIV/0!</v>
      </c>
      <c r="BU50" s="67" t="e">
        <f t="array" ref="BU50">_xlfn.STDEV.P(IF($E$5:$E$35=$E49,BU$5:BU$35))</f>
        <v>#DIV/0!</v>
      </c>
      <c r="BV50" s="67" t="e">
        <f t="array" ref="BV50">_xlfn.STDEV.P(IF($E$5:$E$35=$E49,BV$5:BV$35))</f>
        <v>#DIV/0!</v>
      </c>
      <c r="BW50" s="67" t="e">
        <f t="array" ref="BW50">_xlfn.STDEV.P(IF($E$5:$E$35=$E49,BW$5:BW$35))</f>
        <v>#DIV/0!</v>
      </c>
      <c r="BX50" s="67" t="e">
        <f t="array" ref="BX50">_xlfn.STDEV.P(IF($E$5:$E$35=$E49,BX$5:BX$35))</f>
        <v>#DIV/0!</v>
      </c>
      <c r="BY50" s="67" t="e">
        <f t="array" ref="BY50">_xlfn.STDEV.P(IF($E$5:$E$35=$E49,BY$5:BY$35))</f>
        <v>#DIV/0!</v>
      </c>
      <c r="BZ50" s="67" t="e">
        <f t="array" ref="BZ50">_xlfn.STDEV.P(IF($E$5:$E$35=$E49,BZ$5:BZ$35))</f>
        <v>#DIV/0!</v>
      </c>
      <c r="CA50" s="67" t="e">
        <f t="array" ref="CA50">_xlfn.STDEV.P(IF($E$5:$E$35=$E49,CA$5:CA$35))</f>
        <v>#DIV/0!</v>
      </c>
      <c r="CB50" s="67" t="e">
        <f t="array" ref="CB50">_xlfn.STDEV.P(IF($E$5:$E$35=$E49,CB$5:CB$35))</f>
        <v>#DIV/0!</v>
      </c>
      <c r="CC50" s="67" t="e">
        <f t="array" ref="CC50">_xlfn.STDEV.P(IF($E$5:$E$35=$E49,CC$5:CC$35))</f>
        <v>#DIV/0!</v>
      </c>
      <c r="CD50" s="67" t="e">
        <f t="array" ref="CD50">_xlfn.STDEV.P(IF($E$5:$E$35=$E49,CD$5:CD$35))</f>
        <v>#DIV/0!</v>
      </c>
      <c r="CE50" s="67" t="e">
        <f t="array" ref="CE50">_xlfn.STDEV.P(IF($E$5:$E$35=$E49,CE$5:CE$35))</f>
        <v>#DIV/0!</v>
      </c>
      <c r="CF50" s="67" t="e">
        <f t="array" ref="CF50">_xlfn.STDEV.P(IF($E$5:$E$35=$E49,CF$5:CF$35))</f>
        <v>#DIV/0!</v>
      </c>
      <c r="CG50" s="67" t="e">
        <f t="array" ref="CG50">_xlfn.STDEV.P(IF($E$5:$E$35=$E49,CG$5:CG$35))</f>
        <v>#DIV/0!</v>
      </c>
      <c r="CH50" s="67" t="e">
        <f t="array" ref="CH50">_xlfn.STDEV.P(IF($E$5:$E$35=$E49,CH$5:CH$35))</f>
        <v>#DIV/0!</v>
      </c>
      <c r="CI50" s="67" t="e">
        <f t="array" ref="CI50">_xlfn.STDEV.P(IF($E$5:$E$35=$E49,CI$5:CI$35))</f>
        <v>#DIV/0!</v>
      </c>
      <c r="CJ50" s="67" t="e">
        <f t="array" ref="CJ50">_xlfn.STDEV.P(IF($E$5:$E$35=$E49,CJ$5:CJ$35))</f>
        <v>#DIV/0!</v>
      </c>
      <c r="CK50" s="67" t="e">
        <f t="array" ref="CK50">_xlfn.STDEV.P(IF($E$5:$E$35=$E49,CK$5:CK$35))</f>
        <v>#DIV/0!</v>
      </c>
      <c r="CL50" s="67" t="e">
        <f t="array" ref="CL50">_xlfn.STDEV.P(IF($E$5:$E$35=$E49,CL$5:CL$35))</f>
        <v>#DIV/0!</v>
      </c>
      <c r="CM50" s="67" t="e">
        <f t="array" ref="CM50">_xlfn.STDEV.P(IF($E$5:$E$35=$E49,CM$5:CM$35))</f>
        <v>#DIV/0!</v>
      </c>
      <c r="CN50" s="67" t="e">
        <f t="array" ref="CN50">_xlfn.STDEV.P(IF($E$5:$E$35=$E49,CN$5:CN$35))</f>
        <v>#DIV/0!</v>
      </c>
      <c r="CO50" s="67" t="e">
        <f t="array" ref="CO50">_xlfn.STDEV.P(IF($E$5:$E$35=$E49,CO$5:CO$35))</f>
        <v>#DIV/0!</v>
      </c>
      <c r="CP50" s="67" t="e">
        <f t="array" ref="CP50">_xlfn.STDEV.P(IF($E$5:$E$35=$E49,CP$5:CP$35))</f>
        <v>#DIV/0!</v>
      </c>
      <c r="CQ50" s="67" t="e">
        <f t="array" ref="CQ50">_xlfn.STDEV.P(IF($E$5:$E$35=$E49,CQ$5:CQ$35))</f>
        <v>#DIV/0!</v>
      </c>
      <c r="CR50" s="67" t="e">
        <f t="array" ref="CR50">_xlfn.STDEV.P(IF($E$5:$E$35=$E49,CR$5:CR$35))</f>
        <v>#DIV/0!</v>
      </c>
      <c r="CS50" s="67" t="e">
        <f t="array" ref="CS50">_xlfn.STDEV.P(IF($E$5:$E$35=$E49,CS$5:CS$35))</f>
        <v>#DIV/0!</v>
      </c>
      <c r="CT50" s="67" t="e">
        <f t="array" ref="CT50">_xlfn.STDEV.P(IF($E$5:$E$35=$E49,CT$5:CT$35))</f>
        <v>#DIV/0!</v>
      </c>
      <c r="CU50" s="67" t="e">
        <f t="array" ref="CU50">_xlfn.STDEV.P(IF($E$5:$E$35=$E49,CU$5:CU$35))</f>
        <v>#DIV/0!</v>
      </c>
      <c r="CV50" s="69"/>
    </row>
    <row r="51" spans="1:100" ht="15">
      <c r="A51" s="103"/>
      <c r="E51" s="108"/>
      <c r="H51" s="45"/>
    </row>
    <row r="52" spans="1:100" ht="14.25" customHeight="1">
      <c r="A52" s="103"/>
      <c r="E52" s="108" t="str">
        <f>'5GY EBRT Groups'!C10</f>
        <v>Group 5</v>
      </c>
      <c r="H52" s="108" t="str">
        <f>E52</f>
        <v>Group 5</v>
      </c>
      <c r="I52" s="277" t="e">
        <f>AVERAGEIF($E$5:$E$35,$E52,I$5:I$35)</f>
        <v>#DIV/0!</v>
      </c>
      <c r="J52" s="65" t="s">
        <v>9</v>
      </c>
      <c r="K52" s="71" t="e">
        <f t="shared" ref="K52:BB52" si="25">AVERAGEIF($E$5:$E$35,$E52,K$5:K$35)</f>
        <v>#DIV/0!</v>
      </c>
      <c r="L52" s="71" t="e">
        <f t="shared" si="25"/>
        <v>#DIV/0!</v>
      </c>
      <c r="M52" s="71" t="e">
        <f t="shared" si="25"/>
        <v>#DIV/0!</v>
      </c>
      <c r="N52" s="71" t="e">
        <f t="shared" si="25"/>
        <v>#DIV/0!</v>
      </c>
      <c r="O52" s="71" t="e">
        <f t="shared" si="25"/>
        <v>#DIV/0!</v>
      </c>
      <c r="P52" s="71" t="e">
        <f t="shared" si="25"/>
        <v>#DIV/0!</v>
      </c>
      <c r="Q52" s="71" t="e">
        <f t="shared" si="25"/>
        <v>#DIV/0!</v>
      </c>
      <c r="R52" s="71" t="e">
        <f t="shared" si="25"/>
        <v>#DIV/0!</v>
      </c>
      <c r="S52" s="71" t="e">
        <f t="shared" si="25"/>
        <v>#DIV/0!</v>
      </c>
      <c r="T52" s="71" t="e">
        <f t="shared" si="25"/>
        <v>#DIV/0!</v>
      </c>
      <c r="U52" s="71" t="e">
        <f t="shared" si="25"/>
        <v>#DIV/0!</v>
      </c>
      <c r="V52" s="71" t="e">
        <f t="shared" si="25"/>
        <v>#DIV/0!</v>
      </c>
      <c r="W52" s="71" t="e">
        <f t="shared" si="25"/>
        <v>#DIV/0!</v>
      </c>
      <c r="X52" s="71" t="e">
        <f t="shared" si="25"/>
        <v>#DIV/0!</v>
      </c>
      <c r="Y52" s="71" t="e">
        <f t="shared" si="25"/>
        <v>#DIV/0!</v>
      </c>
      <c r="Z52" s="71" t="e">
        <f t="shared" si="25"/>
        <v>#DIV/0!</v>
      </c>
      <c r="AA52" s="71" t="e">
        <f t="shared" si="25"/>
        <v>#DIV/0!</v>
      </c>
      <c r="AB52" s="71" t="e">
        <f t="shared" si="25"/>
        <v>#DIV/0!</v>
      </c>
      <c r="AC52" s="71" t="e">
        <f t="shared" si="25"/>
        <v>#DIV/0!</v>
      </c>
      <c r="AD52" s="71" t="e">
        <f t="shared" si="25"/>
        <v>#DIV/0!</v>
      </c>
      <c r="AE52" s="71" t="e">
        <f t="shared" si="25"/>
        <v>#DIV/0!</v>
      </c>
      <c r="AF52" s="71" t="e">
        <f t="shared" si="25"/>
        <v>#DIV/0!</v>
      </c>
      <c r="AG52" s="71" t="e">
        <f t="shared" si="25"/>
        <v>#DIV/0!</v>
      </c>
      <c r="AH52" s="71" t="e">
        <f t="shared" si="25"/>
        <v>#DIV/0!</v>
      </c>
      <c r="AI52" s="71" t="e">
        <f t="shared" si="25"/>
        <v>#DIV/0!</v>
      </c>
      <c r="AJ52" s="71" t="e">
        <f t="shared" si="25"/>
        <v>#DIV/0!</v>
      </c>
      <c r="AK52" s="71" t="e">
        <f t="shared" si="25"/>
        <v>#DIV/0!</v>
      </c>
      <c r="AL52" s="71" t="e">
        <f t="shared" si="25"/>
        <v>#DIV/0!</v>
      </c>
      <c r="AM52" s="71" t="e">
        <f t="shared" si="25"/>
        <v>#DIV/0!</v>
      </c>
      <c r="AN52" s="71" t="e">
        <f t="shared" si="25"/>
        <v>#DIV/0!</v>
      </c>
      <c r="AO52" s="71" t="e">
        <f t="shared" si="25"/>
        <v>#DIV/0!</v>
      </c>
      <c r="AP52" s="71" t="e">
        <f t="shared" si="25"/>
        <v>#DIV/0!</v>
      </c>
      <c r="AQ52" s="71" t="e">
        <f t="shared" si="25"/>
        <v>#DIV/0!</v>
      </c>
      <c r="AR52" s="71" t="e">
        <f t="shared" si="25"/>
        <v>#DIV/0!</v>
      </c>
      <c r="AS52" s="71" t="e">
        <f t="shared" si="25"/>
        <v>#DIV/0!</v>
      </c>
      <c r="AT52" s="71" t="e">
        <f t="shared" si="25"/>
        <v>#DIV/0!</v>
      </c>
      <c r="AU52" s="71" t="e">
        <f t="shared" si="25"/>
        <v>#DIV/0!</v>
      </c>
      <c r="AV52" s="71" t="e">
        <f t="shared" si="25"/>
        <v>#DIV/0!</v>
      </c>
      <c r="AW52" s="71" t="e">
        <f t="shared" si="25"/>
        <v>#DIV/0!</v>
      </c>
      <c r="AX52" s="71" t="e">
        <f t="shared" si="25"/>
        <v>#DIV/0!</v>
      </c>
      <c r="AY52" s="71" t="e">
        <f t="shared" si="25"/>
        <v>#DIV/0!</v>
      </c>
      <c r="AZ52" s="71" t="e">
        <f t="shared" si="25"/>
        <v>#DIV/0!</v>
      </c>
      <c r="BA52" s="71" t="e">
        <f t="shared" si="25"/>
        <v>#DIV/0!</v>
      </c>
      <c r="BB52" s="71" t="e">
        <f t="shared" si="25"/>
        <v>#DIV/0!</v>
      </c>
      <c r="BC52" s="93" t="s">
        <v>9</v>
      </c>
      <c r="BD52" s="66" t="e">
        <f t="shared" ref="BD52:CU52" si="26">AVERAGEIF($E$5:$E$35,$E52,BD$5:BD$35)</f>
        <v>#DIV/0!</v>
      </c>
      <c r="BE52" s="66" t="e">
        <f t="shared" si="26"/>
        <v>#DIV/0!</v>
      </c>
      <c r="BF52" s="66" t="e">
        <f t="shared" si="26"/>
        <v>#DIV/0!</v>
      </c>
      <c r="BG52" s="66" t="e">
        <f t="shared" si="26"/>
        <v>#DIV/0!</v>
      </c>
      <c r="BH52" s="66" t="e">
        <f t="shared" si="26"/>
        <v>#DIV/0!</v>
      </c>
      <c r="BI52" s="66" t="e">
        <f t="shared" si="26"/>
        <v>#DIV/0!</v>
      </c>
      <c r="BJ52" s="66" t="e">
        <f t="shared" si="26"/>
        <v>#DIV/0!</v>
      </c>
      <c r="BK52" s="66" t="e">
        <f t="shared" si="26"/>
        <v>#DIV/0!</v>
      </c>
      <c r="BL52" s="66" t="e">
        <f t="shared" si="26"/>
        <v>#DIV/0!</v>
      </c>
      <c r="BM52" s="66" t="e">
        <f t="shared" si="26"/>
        <v>#DIV/0!</v>
      </c>
      <c r="BN52" s="66" t="e">
        <f t="shared" si="26"/>
        <v>#DIV/0!</v>
      </c>
      <c r="BO52" s="66" t="e">
        <f t="shared" si="26"/>
        <v>#DIV/0!</v>
      </c>
      <c r="BP52" s="66" t="e">
        <f t="shared" si="26"/>
        <v>#DIV/0!</v>
      </c>
      <c r="BQ52" s="66" t="e">
        <f t="shared" si="26"/>
        <v>#DIV/0!</v>
      </c>
      <c r="BR52" s="66" t="e">
        <f t="shared" si="26"/>
        <v>#DIV/0!</v>
      </c>
      <c r="BS52" s="66" t="e">
        <f t="shared" si="26"/>
        <v>#DIV/0!</v>
      </c>
      <c r="BT52" s="66" t="e">
        <f t="shared" si="26"/>
        <v>#DIV/0!</v>
      </c>
      <c r="BU52" s="66" t="e">
        <f t="shared" si="26"/>
        <v>#DIV/0!</v>
      </c>
      <c r="BV52" s="66" t="e">
        <f t="shared" si="26"/>
        <v>#DIV/0!</v>
      </c>
      <c r="BW52" s="66" t="e">
        <f t="shared" si="26"/>
        <v>#DIV/0!</v>
      </c>
      <c r="BX52" s="66" t="e">
        <f t="shared" si="26"/>
        <v>#DIV/0!</v>
      </c>
      <c r="BY52" s="66" t="e">
        <f t="shared" si="26"/>
        <v>#DIV/0!</v>
      </c>
      <c r="BZ52" s="66" t="e">
        <f t="shared" si="26"/>
        <v>#DIV/0!</v>
      </c>
      <c r="CA52" s="66" t="e">
        <f t="shared" si="26"/>
        <v>#DIV/0!</v>
      </c>
      <c r="CB52" s="66" t="e">
        <f t="shared" si="26"/>
        <v>#DIV/0!</v>
      </c>
      <c r="CC52" s="66" t="e">
        <f t="shared" si="26"/>
        <v>#DIV/0!</v>
      </c>
      <c r="CD52" s="66" t="e">
        <f t="shared" si="26"/>
        <v>#DIV/0!</v>
      </c>
      <c r="CE52" s="66" t="e">
        <f t="shared" si="26"/>
        <v>#DIV/0!</v>
      </c>
      <c r="CF52" s="66" t="e">
        <f t="shared" si="26"/>
        <v>#DIV/0!</v>
      </c>
      <c r="CG52" s="66" t="e">
        <f t="shared" si="26"/>
        <v>#DIV/0!</v>
      </c>
      <c r="CH52" s="66" t="e">
        <f t="shared" si="26"/>
        <v>#DIV/0!</v>
      </c>
      <c r="CI52" s="66" t="e">
        <f t="shared" si="26"/>
        <v>#DIV/0!</v>
      </c>
      <c r="CJ52" s="66" t="e">
        <f t="shared" si="26"/>
        <v>#DIV/0!</v>
      </c>
      <c r="CK52" s="66" t="e">
        <f t="shared" si="26"/>
        <v>#DIV/0!</v>
      </c>
      <c r="CL52" s="66" t="e">
        <f t="shared" si="26"/>
        <v>#DIV/0!</v>
      </c>
      <c r="CM52" s="66" t="e">
        <f t="shared" si="26"/>
        <v>#DIV/0!</v>
      </c>
      <c r="CN52" s="66" t="e">
        <f t="shared" si="26"/>
        <v>#DIV/0!</v>
      </c>
      <c r="CO52" s="66" t="e">
        <f t="shared" si="26"/>
        <v>#DIV/0!</v>
      </c>
      <c r="CP52" s="66" t="e">
        <f t="shared" si="26"/>
        <v>#DIV/0!</v>
      </c>
      <c r="CQ52" s="66" t="e">
        <f t="shared" si="26"/>
        <v>#DIV/0!</v>
      </c>
      <c r="CR52" s="66" t="e">
        <f t="shared" si="26"/>
        <v>#DIV/0!</v>
      </c>
      <c r="CS52" s="66" t="e">
        <f t="shared" si="26"/>
        <v>#DIV/0!</v>
      </c>
      <c r="CT52" s="66" t="e">
        <f t="shared" si="26"/>
        <v>#DIV/0!</v>
      </c>
      <c r="CU52" s="66" t="e">
        <f t="shared" si="26"/>
        <v>#DIV/0!</v>
      </c>
      <c r="CV52" s="69"/>
    </row>
    <row r="53" spans="1:100" ht="14.25" customHeight="1">
      <c r="A53" s="103"/>
      <c r="E53" s="108"/>
      <c r="H53" s="83"/>
      <c r="I53" s="277" t="e">
        <f t="array" ref="I53">_xlfn.STDEV.P(IF($E$5:$E$35=$E52,I$5:I$35))</f>
        <v>#DIV/0!</v>
      </c>
      <c r="J53" s="65" t="s">
        <v>11</v>
      </c>
      <c r="K53" s="74" t="e">
        <f t="array" ref="K53">_xlfn.STDEV.P(IF($E$5:$E$35=$E52,K$5:K$35))</f>
        <v>#DIV/0!</v>
      </c>
      <c r="L53" s="74" t="e">
        <f t="array" ref="L53">_xlfn.STDEV.P(IF($E$5:$E$35=$E52,L$5:L$35))</f>
        <v>#DIV/0!</v>
      </c>
      <c r="M53" s="74" t="e">
        <f t="array" ref="M53">_xlfn.STDEV.P(IF($E$5:$E$35=$E52,M$5:M$35))</f>
        <v>#DIV/0!</v>
      </c>
      <c r="N53" s="74" t="e">
        <f t="array" ref="N53">_xlfn.STDEV.P(IF($E$5:$E$35=$E52,N$5:N$35))</f>
        <v>#DIV/0!</v>
      </c>
      <c r="O53" s="74" t="e">
        <f t="array" ref="O53">_xlfn.STDEV.P(IF($E$5:$E$35=$E52,O$5:O$35))</f>
        <v>#DIV/0!</v>
      </c>
      <c r="P53" s="74" t="e">
        <f t="array" ref="P53">_xlfn.STDEV.P(IF($E$5:$E$35=$E52,P$5:P$35))</f>
        <v>#DIV/0!</v>
      </c>
      <c r="Q53" s="74" t="e">
        <f t="array" ref="Q53">_xlfn.STDEV.P(IF($E$5:$E$35=$E52,Q$5:Q$35))</f>
        <v>#DIV/0!</v>
      </c>
      <c r="R53" s="74" t="e">
        <f t="array" ref="R53">_xlfn.STDEV.P(IF($E$5:$E$35=$E52,R$5:R$35))</f>
        <v>#DIV/0!</v>
      </c>
      <c r="S53" s="74" t="e">
        <f t="array" ref="S53">_xlfn.STDEV.P(IF($E$5:$E$35=$E52,S$5:S$35))</f>
        <v>#DIV/0!</v>
      </c>
      <c r="T53" s="74" t="e">
        <f t="array" ref="T53">_xlfn.STDEV.P(IF($E$5:$E$35=$E52,T$5:T$35))</f>
        <v>#DIV/0!</v>
      </c>
      <c r="U53" s="74" t="e">
        <f t="array" ref="U53">_xlfn.STDEV.P(IF($E$5:$E$35=$E52,U$5:U$35))</f>
        <v>#DIV/0!</v>
      </c>
      <c r="V53" s="74" t="e">
        <f t="array" ref="V53">_xlfn.STDEV.P(IF($E$5:$E$35=$E52,V$5:V$35))</f>
        <v>#DIV/0!</v>
      </c>
      <c r="W53" s="74" t="e">
        <f t="array" ref="W53">_xlfn.STDEV.P(IF($E$5:$E$35=$E52,W$5:W$35))</f>
        <v>#DIV/0!</v>
      </c>
      <c r="X53" s="74" t="e">
        <f t="array" ref="X53">_xlfn.STDEV.P(IF($E$5:$E$35=$E52,X$5:X$35))</f>
        <v>#DIV/0!</v>
      </c>
      <c r="Y53" s="74" t="e">
        <f t="array" ref="Y53">_xlfn.STDEV.P(IF($E$5:$E$35=$E52,Y$5:Y$35))</f>
        <v>#DIV/0!</v>
      </c>
      <c r="Z53" s="74" t="e">
        <f t="array" ref="Z53">_xlfn.STDEV.P(IF($E$5:$E$35=$E52,Z$5:Z$35))</f>
        <v>#DIV/0!</v>
      </c>
      <c r="AA53" s="74" t="e">
        <f t="array" ref="AA53">_xlfn.STDEV.P(IF($E$5:$E$35=$E52,AA$5:AA$35))</f>
        <v>#DIV/0!</v>
      </c>
      <c r="AB53" s="74" t="e">
        <f t="array" ref="AB53">_xlfn.STDEV.P(IF($E$5:$E$35=$E52,AB$5:AB$35))</f>
        <v>#DIV/0!</v>
      </c>
      <c r="AC53" s="74" t="e">
        <f t="array" ref="AC53">_xlfn.STDEV.P(IF($E$5:$E$35=$E52,AC$5:AC$35))</f>
        <v>#DIV/0!</v>
      </c>
      <c r="AD53" s="74" t="e">
        <f t="array" ref="AD53">_xlfn.STDEV.P(IF($E$5:$E$35=$E52,AD$5:AD$35))</f>
        <v>#DIV/0!</v>
      </c>
      <c r="AE53" s="74" t="e">
        <f t="array" ref="AE53">_xlfn.STDEV.P(IF($E$5:$E$35=$E52,AE$5:AE$35))</f>
        <v>#DIV/0!</v>
      </c>
      <c r="AF53" s="74" t="e">
        <f t="array" ref="AF53">_xlfn.STDEV.P(IF($E$5:$E$35=$E52,AF$5:AF$35))</f>
        <v>#DIV/0!</v>
      </c>
      <c r="AG53" s="74" t="e">
        <f t="array" ref="AG53">_xlfn.STDEV.P(IF($E$5:$E$35=$E52,AG$5:AG$35))</f>
        <v>#DIV/0!</v>
      </c>
      <c r="AH53" s="74" t="e">
        <f t="array" ref="AH53">_xlfn.STDEV.P(IF($E$5:$E$35=$E52,AH$5:AH$35))</f>
        <v>#DIV/0!</v>
      </c>
      <c r="AI53" s="74" t="e">
        <f t="array" ref="AI53">_xlfn.STDEV.P(IF($E$5:$E$35=$E52,AI$5:AI$35))</f>
        <v>#DIV/0!</v>
      </c>
      <c r="AJ53" s="74" t="e">
        <f t="array" ref="AJ53">_xlfn.STDEV.P(IF($E$5:$E$35=$E52,AJ$5:AJ$35))</f>
        <v>#DIV/0!</v>
      </c>
      <c r="AK53" s="74" t="e">
        <f t="array" ref="AK53">_xlfn.STDEV.P(IF($E$5:$E$35=$E52,AK$5:AK$35))</f>
        <v>#DIV/0!</v>
      </c>
      <c r="AL53" s="74" t="e">
        <f t="array" ref="AL53">_xlfn.STDEV.P(IF($E$5:$E$35=$E52,AL$5:AL$35))</f>
        <v>#DIV/0!</v>
      </c>
      <c r="AM53" s="74" t="e">
        <f t="array" ref="AM53">_xlfn.STDEV.P(IF($E$5:$E$35=$E52,AM$5:AM$35))</f>
        <v>#DIV/0!</v>
      </c>
      <c r="AN53" s="74" t="e">
        <f t="array" ref="AN53">_xlfn.STDEV.P(IF($E$5:$E$35=$E52,AN$5:AN$35))</f>
        <v>#DIV/0!</v>
      </c>
      <c r="AO53" s="74" t="e">
        <f t="array" ref="AO53">_xlfn.STDEV.P(IF($E$5:$E$35=$E52,AO$5:AO$35))</f>
        <v>#DIV/0!</v>
      </c>
      <c r="AP53" s="74" t="e">
        <f t="array" ref="AP53">_xlfn.STDEV.P(IF($E$5:$E$35=$E52,AP$5:AP$35))</f>
        <v>#DIV/0!</v>
      </c>
      <c r="AQ53" s="74" t="e">
        <f t="array" ref="AQ53">_xlfn.STDEV.P(IF($E$5:$E$35=$E52,AQ$5:AQ$35))</f>
        <v>#DIV/0!</v>
      </c>
      <c r="AR53" s="74" t="e">
        <f t="array" ref="AR53">_xlfn.STDEV.P(IF($E$5:$E$35=$E52,AR$5:AR$35))</f>
        <v>#DIV/0!</v>
      </c>
      <c r="AS53" s="74" t="e">
        <f t="array" ref="AS53">_xlfn.STDEV.P(IF($E$5:$E$35=$E52,AS$5:AS$35))</f>
        <v>#DIV/0!</v>
      </c>
      <c r="AT53" s="74" t="e">
        <f t="array" ref="AT53">_xlfn.STDEV.P(IF($E$5:$E$35=$E52,AT$5:AT$35))</f>
        <v>#DIV/0!</v>
      </c>
      <c r="AU53" s="74" t="e">
        <f t="array" ref="AU53">_xlfn.STDEV.P(IF($E$5:$E$35=$E52,AU$5:AU$35))</f>
        <v>#DIV/0!</v>
      </c>
      <c r="AV53" s="74" t="e">
        <f t="array" ref="AV53">_xlfn.STDEV.P(IF($E$5:$E$35=$E52,AV$5:AV$35))</f>
        <v>#DIV/0!</v>
      </c>
      <c r="AW53" s="74" t="e">
        <f t="array" ref="AW53">_xlfn.STDEV.P(IF($E$5:$E$35=$E52,AW$5:AW$35))</f>
        <v>#DIV/0!</v>
      </c>
      <c r="AX53" s="74" t="e">
        <f t="array" ref="AX53">_xlfn.STDEV.P(IF($E$5:$E$35=$E52,AX$5:AX$35))</f>
        <v>#DIV/0!</v>
      </c>
      <c r="AY53" s="74" t="e">
        <f t="array" ref="AY53">_xlfn.STDEV.P(IF($E$5:$E$35=$E52,AY$5:AY$35))</f>
        <v>#DIV/0!</v>
      </c>
      <c r="AZ53" s="74" t="e">
        <f t="array" ref="AZ53">_xlfn.STDEV.P(IF($E$5:$E$35=$E52,AZ$5:AZ$35))</f>
        <v>#DIV/0!</v>
      </c>
      <c r="BA53" s="74" t="e">
        <f t="array" ref="BA53">_xlfn.STDEV.P(IF($E$5:$E$35=$E52,BA$5:BA$35))</f>
        <v>#DIV/0!</v>
      </c>
      <c r="BB53" s="74" t="e">
        <f t="array" ref="BB53">_xlfn.STDEV.P(IF($E$5:$E$35=$E52,BB$5:BB$35))</f>
        <v>#DIV/0!</v>
      </c>
      <c r="BC53" s="94" t="s">
        <v>11</v>
      </c>
      <c r="BD53" s="67" t="e">
        <f t="array" ref="BD53">_xlfn.STDEV.P(IF($E$5:$E$35=$E52,BD$5:BD$35))</f>
        <v>#DIV/0!</v>
      </c>
      <c r="BE53" s="67" t="e">
        <f t="array" ref="BE53">_xlfn.STDEV.P(IF($E$5:$E$35=$E52,BE$5:BE$35))</f>
        <v>#DIV/0!</v>
      </c>
      <c r="BF53" s="67" t="e">
        <f t="array" ref="BF53">_xlfn.STDEV.P(IF($E$5:$E$35=$E52,BF$5:BF$35))</f>
        <v>#DIV/0!</v>
      </c>
      <c r="BG53" s="67" t="e">
        <f t="array" ref="BG53">_xlfn.STDEV.P(IF($E$5:$E$35=$E52,BG$5:BG$35))</f>
        <v>#DIV/0!</v>
      </c>
      <c r="BH53" s="67" t="e">
        <f t="array" ref="BH53">_xlfn.STDEV.P(IF($E$5:$E$35=$E52,BH$5:BH$35))</f>
        <v>#DIV/0!</v>
      </c>
      <c r="BI53" s="67" t="e">
        <f t="array" ref="BI53">_xlfn.STDEV.P(IF($E$5:$E$35=$E52,BI$5:BI$35))</f>
        <v>#DIV/0!</v>
      </c>
      <c r="BJ53" s="67" t="e">
        <f t="array" ref="BJ53">_xlfn.STDEV.P(IF($E$5:$E$35=$E52,BJ$5:BJ$35))</f>
        <v>#DIV/0!</v>
      </c>
      <c r="BK53" s="67" t="e">
        <f t="array" ref="BK53">_xlfn.STDEV.P(IF($E$5:$E$35=$E52,BK$5:BK$35))</f>
        <v>#DIV/0!</v>
      </c>
      <c r="BL53" s="67" t="e">
        <f t="array" ref="BL53">_xlfn.STDEV.P(IF($E$5:$E$35=$E52,BL$5:BL$35))</f>
        <v>#DIV/0!</v>
      </c>
      <c r="BM53" s="67" t="e">
        <f t="array" ref="BM53">_xlfn.STDEV.P(IF($E$5:$E$35=$E52,BM$5:BM$35))</f>
        <v>#DIV/0!</v>
      </c>
      <c r="BN53" s="67" t="e">
        <f t="array" ref="BN53">_xlfn.STDEV.P(IF($E$5:$E$35=$E52,BN$5:BN$35))</f>
        <v>#DIV/0!</v>
      </c>
      <c r="BO53" s="67" t="e">
        <f t="array" ref="BO53">_xlfn.STDEV.P(IF($E$5:$E$35=$E52,BO$5:BO$35))</f>
        <v>#DIV/0!</v>
      </c>
      <c r="BP53" s="67" t="e">
        <f t="array" ref="BP53">_xlfn.STDEV.P(IF($E$5:$E$35=$E52,BP$5:BP$35))</f>
        <v>#DIV/0!</v>
      </c>
      <c r="BQ53" s="67" t="e">
        <f t="array" ref="BQ53">_xlfn.STDEV.P(IF($E$5:$E$35=$E52,BQ$5:BQ$35))</f>
        <v>#DIV/0!</v>
      </c>
      <c r="BR53" s="67" t="e">
        <f t="array" ref="BR53">_xlfn.STDEV.P(IF($E$5:$E$35=$E52,BR$5:BR$35))</f>
        <v>#DIV/0!</v>
      </c>
      <c r="BS53" s="67" t="e">
        <f t="array" ref="BS53">_xlfn.STDEV.P(IF($E$5:$E$35=$E52,BS$5:BS$35))</f>
        <v>#DIV/0!</v>
      </c>
      <c r="BT53" s="67" t="e">
        <f t="array" ref="BT53">_xlfn.STDEV.P(IF($E$5:$E$35=$E52,BT$5:BT$35))</f>
        <v>#DIV/0!</v>
      </c>
      <c r="BU53" s="67" t="e">
        <f t="array" ref="BU53">_xlfn.STDEV.P(IF($E$5:$E$35=$E52,BU$5:BU$35))</f>
        <v>#DIV/0!</v>
      </c>
      <c r="BV53" s="67" t="e">
        <f t="array" ref="BV53">_xlfn.STDEV.P(IF($E$5:$E$35=$E52,BV$5:BV$35))</f>
        <v>#DIV/0!</v>
      </c>
      <c r="BW53" s="67" t="e">
        <f t="array" ref="BW53">_xlfn.STDEV.P(IF($E$5:$E$35=$E52,BW$5:BW$35))</f>
        <v>#DIV/0!</v>
      </c>
      <c r="BX53" s="67" t="e">
        <f t="array" ref="BX53">_xlfn.STDEV.P(IF($E$5:$E$35=$E52,BX$5:BX$35))</f>
        <v>#DIV/0!</v>
      </c>
      <c r="BY53" s="67" t="e">
        <f t="array" ref="BY53">_xlfn.STDEV.P(IF($E$5:$E$35=$E52,BY$5:BY$35))</f>
        <v>#DIV/0!</v>
      </c>
      <c r="BZ53" s="67" t="e">
        <f t="array" ref="BZ53">_xlfn.STDEV.P(IF($E$5:$E$35=$E52,BZ$5:BZ$35))</f>
        <v>#DIV/0!</v>
      </c>
      <c r="CA53" s="67" t="e">
        <f t="array" ref="CA53">_xlfn.STDEV.P(IF($E$5:$E$35=$E52,CA$5:CA$35))</f>
        <v>#DIV/0!</v>
      </c>
      <c r="CB53" s="67" t="e">
        <f t="array" ref="CB53">_xlfn.STDEV.P(IF($E$5:$E$35=$E52,CB$5:CB$35))</f>
        <v>#DIV/0!</v>
      </c>
      <c r="CC53" s="67" t="e">
        <f t="array" ref="CC53">_xlfn.STDEV.P(IF($E$5:$E$35=$E52,CC$5:CC$35))</f>
        <v>#DIV/0!</v>
      </c>
      <c r="CD53" s="67" t="e">
        <f t="array" ref="CD53">_xlfn.STDEV.P(IF($E$5:$E$35=$E52,CD$5:CD$35))</f>
        <v>#DIV/0!</v>
      </c>
      <c r="CE53" s="67" t="e">
        <f t="array" ref="CE53">_xlfn.STDEV.P(IF($E$5:$E$35=$E52,CE$5:CE$35))</f>
        <v>#DIV/0!</v>
      </c>
      <c r="CF53" s="67" t="e">
        <f t="array" ref="CF53">_xlfn.STDEV.P(IF($E$5:$E$35=$E52,CF$5:CF$35))</f>
        <v>#DIV/0!</v>
      </c>
      <c r="CG53" s="67" t="e">
        <f t="array" ref="CG53">_xlfn.STDEV.P(IF($E$5:$E$35=$E52,CG$5:CG$35))</f>
        <v>#DIV/0!</v>
      </c>
      <c r="CH53" s="67" t="e">
        <f t="array" ref="CH53">_xlfn.STDEV.P(IF($E$5:$E$35=$E52,CH$5:CH$35))</f>
        <v>#DIV/0!</v>
      </c>
      <c r="CI53" s="67" t="e">
        <f t="array" ref="CI53">_xlfn.STDEV.P(IF($E$5:$E$35=$E52,CI$5:CI$35))</f>
        <v>#DIV/0!</v>
      </c>
      <c r="CJ53" s="67" t="e">
        <f t="array" ref="CJ53">_xlfn.STDEV.P(IF($E$5:$E$35=$E52,CJ$5:CJ$35))</f>
        <v>#DIV/0!</v>
      </c>
      <c r="CK53" s="67" t="e">
        <f t="array" ref="CK53">_xlfn.STDEV.P(IF($E$5:$E$35=$E52,CK$5:CK$35))</f>
        <v>#DIV/0!</v>
      </c>
      <c r="CL53" s="67" t="e">
        <f t="array" ref="CL53">_xlfn.STDEV.P(IF($E$5:$E$35=$E52,CL$5:CL$35))</f>
        <v>#DIV/0!</v>
      </c>
      <c r="CM53" s="67" t="e">
        <f t="array" ref="CM53">_xlfn.STDEV.P(IF($E$5:$E$35=$E52,CM$5:CM$35))</f>
        <v>#DIV/0!</v>
      </c>
      <c r="CN53" s="67" t="e">
        <f t="array" ref="CN53">_xlfn.STDEV.P(IF($E$5:$E$35=$E52,CN$5:CN$35))</f>
        <v>#DIV/0!</v>
      </c>
      <c r="CO53" s="67" t="e">
        <f t="array" ref="CO53">_xlfn.STDEV.P(IF($E$5:$E$35=$E52,CO$5:CO$35))</f>
        <v>#DIV/0!</v>
      </c>
      <c r="CP53" s="67" t="e">
        <f t="array" ref="CP53">_xlfn.STDEV.P(IF($E$5:$E$35=$E52,CP$5:CP$35))</f>
        <v>#DIV/0!</v>
      </c>
      <c r="CQ53" s="67" t="e">
        <f t="array" ref="CQ53">_xlfn.STDEV.P(IF($E$5:$E$35=$E52,CQ$5:CQ$35))</f>
        <v>#DIV/0!</v>
      </c>
      <c r="CR53" s="67" t="e">
        <f t="array" ref="CR53">_xlfn.STDEV.P(IF($E$5:$E$35=$E52,CR$5:CR$35))</f>
        <v>#DIV/0!</v>
      </c>
      <c r="CS53" s="67" t="e">
        <f t="array" ref="CS53">_xlfn.STDEV.P(IF($E$5:$E$35=$E52,CS$5:CS$35))</f>
        <v>#DIV/0!</v>
      </c>
      <c r="CT53" s="67" t="e">
        <f t="array" ref="CT53">_xlfn.STDEV.P(IF($E$5:$E$35=$E52,CT$5:CT$35))</f>
        <v>#DIV/0!</v>
      </c>
      <c r="CU53" s="67" t="e">
        <f t="array" ref="CU53">_xlfn.STDEV.P(IF($E$5:$E$35=$E52,CU$5:CU$35))</f>
        <v>#DIV/0!</v>
      </c>
      <c r="CV53" s="69"/>
    </row>
    <row r="54" spans="1:100" ht="15">
      <c r="A54" s="103"/>
      <c r="E54" s="108"/>
      <c r="H54" s="45"/>
    </row>
    <row r="55" spans="1:100" ht="14.25" customHeight="1">
      <c r="A55" s="103"/>
      <c r="E55" s="108" t="str">
        <f>'5GY EBRT Groups'!C11</f>
        <v>Group 6</v>
      </c>
      <c r="H55" s="108" t="str">
        <f>E55</f>
        <v>Group 6</v>
      </c>
      <c r="I55" s="277" t="e">
        <f>AVERAGEIF($E$5:$E$35,$E55,I$5:I$35)</f>
        <v>#DIV/0!</v>
      </c>
      <c r="J55" s="65" t="s">
        <v>9</v>
      </c>
      <c r="K55" s="71" t="e">
        <f t="shared" ref="K55:BB55" si="27">AVERAGEIF($E$5:$E$35,$E55,K$5:K$35)</f>
        <v>#DIV/0!</v>
      </c>
      <c r="L55" s="71" t="e">
        <f t="shared" si="27"/>
        <v>#DIV/0!</v>
      </c>
      <c r="M55" s="71" t="e">
        <f t="shared" si="27"/>
        <v>#DIV/0!</v>
      </c>
      <c r="N55" s="71" t="e">
        <f t="shared" si="27"/>
        <v>#DIV/0!</v>
      </c>
      <c r="O55" s="71" t="e">
        <f t="shared" si="27"/>
        <v>#DIV/0!</v>
      </c>
      <c r="P55" s="71" t="e">
        <f t="shared" si="27"/>
        <v>#DIV/0!</v>
      </c>
      <c r="Q55" s="71" t="e">
        <f t="shared" si="27"/>
        <v>#DIV/0!</v>
      </c>
      <c r="R55" s="71" t="e">
        <f t="shared" si="27"/>
        <v>#DIV/0!</v>
      </c>
      <c r="S55" s="71" t="e">
        <f t="shared" si="27"/>
        <v>#DIV/0!</v>
      </c>
      <c r="T55" s="71" t="e">
        <f t="shared" si="27"/>
        <v>#DIV/0!</v>
      </c>
      <c r="U55" s="71" t="e">
        <f t="shared" si="27"/>
        <v>#DIV/0!</v>
      </c>
      <c r="V55" s="71" t="e">
        <f t="shared" si="27"/>
        <v>#DIV/0!</v>
      </c>
      <c r="W55" s="71" t="e">
        <f t="shared" si="27"/>
        <v>#DIV/0!</v>
      </c>
      <c r="X55" s="71" t="e">
        <f t="shared" si="27"/>
        <v>#DIV/0!</v>
      </c>
      <c r="Y55" s="71" t="e">
        <f t="shared" si="27"/>
        <v>#DIV/0!</v>
      </c>
      <c r="Z55" s="71" t="e">
        <f t="shared" si="27"/>
        <v>#DIV/0!</v>
      </c>
      <c r="AA55" s="71" t="e">
        <f t="shared" si="27"/>
        <v>#DIV/0!</v>
      </c>
      <c r="AB55" s="71" t="e">
        <f t="shared" si="27"/>
        <v>#DIV/0!</v>
      </c>
      <c r="AC55" s="71" t="e">
        <f t="shared" si="27"/>
        <v>#DIV/0!</v>
      </c>
      <c r="AD55" s="71" t="e">
        <f t="shared" si="27"/>
        <v>#DIV/0!</v>
      </c>
      <c r="AE55" s="71" t="e">
        <f t="shared" si="27"/>
        <v>#DIV/0!</v>
      </c>
      <c r="AF55" s="71" t="e">
        <f t="shared" si="27"/>
        <v>#DIV/0!</v>
      </c>
      <c r="AG55" s="71" t="e">
        <f t="shared" si="27"/>
        <v>#DIV/0!</v>
      </c>
      <c r="AH55" s="71" t="e">
        <f t="shared" si="27"/>
        <v>#DIV/0!</v>
      </c>
      <c r="AI55" s="71" t="e">
        <f t="shared" si="27"/>
        <v>#DIV/0!</v>
      </c>
      <c r="AJ55" s="71" t="e">
        <f t="shared" si="27"/>
        <v>#DIV/0!</v>
      </c>
      <c r="AK55" s="71" t="e">
        <f t="shared" si="27"/>
        <v>#DIV/0!</v>
      </c>
      <c r="AL55" s="71" t="e">
        <f t="shared" si="27"/>
        <v>#DIV/0!</v>
      </c>
      <c r="AM55" s="71" t="e">
        <f t="shared" si="27"/>
        <v>#DIV/0!</v>
      </c>
      <c r="AN55" s="71" t="e">
        <f t="shared" si="27"/>
        <v>#DIV/0!</v>
      </c>
      <c r="AO55" s="71" t="e">
        <f t="shared" si="27"/>
        <v>#DIV/0!</v>
      </c>
      <c r="AP55" s="71" t="e">
        <f t="shared" si="27"/>
        <v>#DIV/0!</v>
      </c>
      <c r="AQ55" s="71" t="e">
        <f t="shared" si="27"/>
        <v>#DIV/0!</v>
      </c>
      <c r="AR55" s="71" t="e">
        <f t="shared" si="27"/>
        <v>#DIV/0!</v>
      </c>
      <c r="AS55" s="71" t="e">
        <f t="shared" si="27"/>
        <v>#DIV/0!</v>
      </c>
      <c r="AT55" s="71" t="e">
        <f t="shared" si="27"/>
        <v>#DIV/0!</v>
      </c>
      <c r="AU55" s="71" t="e">
        <f t="shared" si="27"/>
        <v>#DIV/0!</v>
      </c>
      <c r="AV55" s="71" t="e">
        <f t="shared" si="27"/>
        <v>#DIV/0!</v>
      </c>
      <c r="AW55" s="71" t="e">
        <f t="shared" si="27"/>
        <v>#DIV/0!</v>
      </c>
      <c r="AX55" s="71" t="e">
        <f t="shared" si="27"/>
        <v>#DIV/0!</v>
      </c>
      <c r="AY55" s="71" t="e">
        <f t="shared" si="27"/>
        <v>#DIV/0!</v>
      </c>
      <c r="AZ55" s="71" t="e">
        <f t="shared" si="27"/>
        <v>#DIV/0!</v>
      </c>
      <c r="BA55" s="71" t="e">
        <f t="shared" si="27"/>
        <v>#DIV/0!</v>
      </c>
      <c r="BB55" s="71" t="e">
        <f t="shared" si="27"/>
        <v>#DIV/0!</v>
      </c>
      <c r="BC55" s="93" t="s">
        <v>9</v>
      </c>
      <c r="BD55" s="66" t="e">
        <f t="shared" ref="BD55:CU55" si="28">AVERAGEIF($E$5:$E$35,$E55,BD$5:BD$35)</f>
        <v>#DIV/0!</v>
      </c>
      <c r="BE55" s="66" t="e">
        <f t="shared" si="28"/>
        <v>#DIV/0!</v>
      </c>
      <c r="BF55" s="66" t="e">
        <f t="shared" si="28"/>
        <v>#DIV/0!</v>
      </c>
      <c r="BG55" s="66" t="e">
        <f t="shared" si="28"/>
        <v>#DIV/0!</v>
      </c>
      <c r="BH55" s="66" t="e">
        <f t="shared" si="28"/>
        <v>#DIV/0!</v>
      </c>
      <c r="BI55" s="66" t="e">
        <f t="shared" si="28"/>
        <v>#DIV/0!</v>
      </c>
      <c r="BJ55" s="66" t="e">
        <f t="shared" si="28"/>
        <v>#DIV/0!</v>
      </c>
      <c r="BK55" s="66" t="e">
        <f t="shared" si="28"/>
        <v>#DIV/0!</v>
      </c>
      <c r="BL55" s="66" t="e">
        <f t="shared" si="28"/>
        <v>#DIV/0!</v>
      </c>
      <c r="BM55" s="66" t="e">
        <f t="shared" si="28"/>
        <v>#DIV/0!</v>
      </c>
      <c r="BN55" s="66" t="e">
        <f t="shared" si="28"/>
        <v>#DIV/0!</v>
      </c>
      <c r="BO55" s="66" t="e">
        <f t="shared" si="28"/>
        <v>#DIV/0!</v>
      </c>
      <c r="BP55" s="66" t="e">
        <f t="shared" si="28"/>
        <v>#DIV/0!</v>
      </c>
      <c r="BQ55" s="66" t="e">
        <f t="shared" si="28"/>
        <v>#DIV/0!</v>
      </c>
      <c r="BR55" s="66" t="e">
        <f t="shared" si="28"/>
        <v>#DIV/0!</v>
      </c>
      <c r="BS55" s="66" t="e">
        <f t="shared" si="28"/>
        <v>#DIV/0!</v>
      </c>
      <c r="BT55" s="66" t="e">
        <f t="shared" si="28"/>
        <v>#DIV/0!</v>
      </c>
      <c r="BU55" s="66" t="e">
        <f t="shared" si="28"/>
        <v>#DIV/0!</v>
      </c>
      <c r="BV55" s="66" t="e">
        <f t="shared" si="28"/>
        <v>#DIV/0!</v>
      </c>
      <c r="BW55" s="66" t="e">
        <f t="shared" si="28"/>
        <v>#DIV/0!</v>
      </c>
      <c r="BX55" s="66" t="e">
        <f t="shared" si="28"/>
        <v>#DIV/0!</v>
      </c>
      <c r="BY55" s="66" t="e">
        <f t="shared" si="28"/>
        <v>#DIV/0!</v>
      </c>
      <c r="BZ55" s="66" t="e">
        <f t="shared" si="28"/>
        <v>#DIV/0!</v>
      </c>
      <c r="CA55" s="66" t="e">
        <f t="shared" si="28"/>
        <v>#DIV/0!</v>
      </c>
      <c r="CB55" s="66" t="e">
        <f t="shared" si="28"/>
        <v>#DIV/0!</v>
      </c>
      <c r="CC55" s="66" t="e">
        <f t="shared" si="28"/>
        <v>#DIV/0!</v>
      </c>
      <c r="CD55" s="66" t="e">
        <f t="shared" si="28"/>
        <v>#DIV/0!</v>
      </c>
      <c r="CE55" s="66" t="e">
        <f t="shared" si="28"/>
        <v>#DIV/0!</v>
      </c>
      <c r="CF55" s="66" t="e">
        <f t="shared" si="28"/>
        <v>#DIV/0!</v>
      </c>
      <c r="CG55" s="66" t="e">
        <f t="shared" si="28"/>
        <v>#DIV/0!</v>
      </c>
      <c r="CH55" s="66" t="e">
        <f t="shared" si="28"/>
        <v>#DIV/0!</v>
      </c>
      <c r="CI55" s="66" t="e">
        <f t="shared" si="28"/>
        <v>#DIV/0!</v>
      </c>
      <c r="CJ55" s="66" t="e">
        <f t="shared" si="28"/>
        <v>#DIV/0!</v>
      </c>
      <c r="CK55" s="66" t="e">
        <f t="shared" si="28"/>
        <v>#DIV/0!</v>
      </c>
      <c r="CL55" s="66" t="e">
        <f t="shared" si="28"/>
        <v>#DIV/0!</v>
      </c>
      <c r="CM55" s="66" t="e">
        <f t="shared" si="28"/>
        <v>#DIV/0!</v>
      </c>
      <c r="CN55" s="66" t="e">
        <f t="shared" si="28"/>
        <v>#DIV/0!</v>
      </c>
      <c r="CO55" s="66" t="e">
        <f t="shared" si="28"/>
        <v>#DIV/0!</v>
      </c>
      <c r="CP55" s="66" t="e">
        <f t="shared" si="28"/>
        <v>#DIV/0!</v>
      </c>
      <c r="CQ55" s="66" t="e">
        <f t="shared" si="28"/>
        <v>#DIV/0!</v>
      </c>
      <c r="CR55" s="66" t="e">
        <f t="shared" si="28"/>
        <v>#DIV/0!</v>
      </c>
      <c r="CS55" s="66" t="e">
        <f t="shared" si="28"/>
        <v>#DIV/0!</v>
      </c>
      <c r="CT55" s="66" t="e">
        <f t="shared" si="28"/>
        <v>#DIV/0!</v>
      </c>
      <c r="CU55" s="66" t="e">
        <f t="shared" si="28"/>
        <v>#DIV/0!</v>
      </c>
      <c r="CV55" s="69"/>
    </row>
    <row r="56" spans="1:100" ht="14.25" customHeight="1">
      <c r="A56" s="103"/>
      <c r="E56" s="108"/>
      <c r="H56" s="83"/>
      <c r="I56" s="277" t="e">
        <f t="array" ref="I56">_xlfn.STDEV.P(IF($E$5:$E$35=$E55,I$5:I$35))</f>
        <v>#DIV/0!</v>
      </c>
      <c r="J56" s="65" t="s">
        <v>11</v>
      </c>
      <c r="K56" s="74" t="e">
        <f t="array" ref="K56">_xlfn.STDEV.P(IF($E$5:$E$35=$E55,K$5:K$35))</f>
        <v>#DIV/0!</v>
      </c>
      <c r="L56" s="74" t="e">
        <f t="array" ref="L56">_xlfn.STDEV.P(IF($E$5:$E$35=$E55,L$5:L$35))</f>
        <v>#DIV/0!</v>
      </c>
      <c r="M56" s="74" t="e">
        <f t="array" ref="M56">_xlfn.STDEV.P(IF($E$5:$E$35=$E55,M$5:M$35))</f>
        <v>#DIV/0!</v>
      </c>
      <c r="N56" s="74" t="e">
        <f t="array" ref="N56">_xlfn.STDEV.P(IF($E$5:$E$35=$E55,N$5:N$35))</f>
        <v>#DIV/0!</v>
      </c>
      <c r="O56" s="74" t="e">
        <f t="array" ref="O56">_xlfn.STDEV.P(IF($E$5:$E$35=$E55,O$5:O$35))</f>
        <v>#DIV/0!</v>
      </c>
      <c r="P56" s="74" t="e">
        <f t="array" ref="P56">_xlfn.STDEV.P(IF($E$5:$E$35=$E55,P$5:P$35))</f>
        <v>#DIV/0!</v>
      </c>
      <c r="Q56" s="74" t="e">
        <f t="array" ref="Q56">_xlfn.STDEV.P(IF($E$5:$E$35=$E55,Q$5:Q$35))</f>
        <v>#DIV/0!</v>
      </c>
      <c r="R56" s="74" t="e">
        <f t="array" ref="R56">_xlfn.STDEV.P(IF($E$5:$E$35=$E55,R$5:R$35))</f>
        <v>#DIV/0!</v>
      </c>
      <c r="S56" s="74" t="e">
        <f t="array" ref="S56">_xlfn.STDEV.P(IF($E$5:$E$35=$E55,S$5:S$35))</f>
        <v>#DIV/0!</v>
      </c>
      <c r="T56" s="74" t="e">
        <f t="array" ref="T56">_xlfn.STDEV.P(IF($E$5:$E$35=$E55,T$5:T$35))</f>
        <v>#DIV/0!</v>
      </c>
      <c r="U56" s="74" t="e">
        <f t="array" ref="U56">_xlfn.STDEV.P(IF($E$5:$E$35=$E55,U$5:U$35))</f>
        <v>#DIV/0!</v>
      </c>
      <c r="V56" s="74" t="e">
        <f t="array" ref="V56">_xlfn.STDEV.P(IF($E$5:$E$35=$E55,V$5:V$35))</f>
        <v>#DIV/0!</v>
      </c>
      <c r="W56" s="74" t="e">
        <f t="array" ref="W56">_xlfn.STDEV.P(IF($E$5:$E$35=$E55,W$5:W$35))</f>
        <v>#DIV/0!</v>
      </c>
      <c r="X56" s="74" t="e">
        <f t="array" ref="X56">_xlfn.STDEV.P(IF($E$5:$E$35=$E55,X$5:X$35))</f>
        <v>#DIV/0!</v>
      </c>
      <c r="Y56" s="74" t="e">
        <f t="array" ref="Y56">_xlfn.STDEV.P(IF($E$5:$E$35=$E55,Y$5:Y$35))</f>
        <v>#DIV/0!</v>
      </c>
      <c r="Z56" s="74" t="e">
        <f t="array" ref="Z56">_xlfn.STDEV.P(IF($E$5:$E$35=$E55,Z$5:Z$35))</f>
        <v>#DIV/0!</v>
      </c>
      <c r="AA56" s="74" t="e">
        <f t="array" ref="AA56">_xlfn.STDEV.P(IF($E$5:$E$35=$E55,AA$5:AA$35))</f>
        <v>#DIV/0!</v>
      </c>
      <c r="AB56" s="74" t="e">
        <f t="array" ref="AB56">_xlfn.STDEV.P(IF($E$5:$E$35=$E55,AB$5:AB$35))</f>
        <v>#DIV/0!</v>
      </c>
      <c r="AC56" s="74" t="e">
        <f t="array" ref="AC56">_xlfn.STDEV.P(IF($E$5:$E$35=$E55,AC$5:AC$35))</f>
        <v>#DIV/0!</v>
      </c>
      <c r="AD56" s="74" t="e">
        <f t="array" ref="AD56">_xlfn.STDEV.P(IF($E$5:$E$35=$E55,AD$5:AD$35))</f>
        <v>#DIV/0!</v>
      </c>
      <c r="AE56" s="74" t="e">
        <f t="array" ref="AE56">_xlfn.STDEV.P(IF($E$5:$E$35=$E55,AE$5:AE$35))</f>
        <v>#DIV/0!</v>
      </c>
      <c r="AF56" s="74" t="e">
        <f t="array" ref="AF56">_xlfn.STDEV.P(IF($E$5:$E$35=$E55,AF$5:AF$35))</f>
        <v>#DIV/0!</v>
      </c>
      <c r="AG56" s="74" t="e">
        <f t="array" ref="AG56">_xlfn.STDEV.P(IF($E$5:$E$35=$E55,AG$5:AG$35))</f>
        <v>#DIV/0!</v>
      </c>
      <c r="AH56" s="74" t="e">
        <f t="array" ref="AH56">_xlfn.STDEV.P(IF($E$5:$E$35=$E55,AH$5:AH$35))</f>
        <v>#DIV/0!</v>
      </c>
      <c r="AI56" s="74" t="e">
        <f t="array" ref="AI56">_xlfn.STDEV.P(IF($E$5:$E$35=$E55,AI$5:AI$35))</f>
        <v>#DIV/0!</v>
      </c>
      <c r="AJ56" s="74" t="e">
        <f t="array" ref="AJ56">_xlfn.STDEV.P(IF($E$5:$E$35=$E55,AJ$5:AJ$35))</f>
        <v>#DIV/0!</v>
      </c>
      <c r="AK56" s="74" t="e">
        <f t="array" ref="AK56">_xlfn.STDEV.P(IF($E$5:$E$35=$E55,AK$5:AK$35))</f>
        <v>#DIV/0!</v>
      </c>
      <c r="AL56" s="74" t="e">
        <f t="array" ref="AL56">_xlfn.STDEV.P(IF($E$5:$E$35=$E55,AL$5:AL$35))</f>
        <v>#DIV/0!</v>
      </c>
      <c r="AM56" s="74" t="e">
        <f t="array" ref="AM56">_xlfn.STDEV.P(IF($E$5:$E$35=$E55,AM$5:AM$35))</f>
        <v>#DIV/0!</v>
      </c>
      <c r="AN56" s="74" t="e">
        <f t="array" ref="AN56">_xlfn.STDEV.P(IF($E$5:$E$35=$E55,AN$5:AN$35))</f>
        <v>#DIV/0!</v>
      </c>
      <c r="AO56" s="74" t="e">
        <f t="array" ref="AO56">_xlfn.STDEV.P(IF($E$5:$E$35=$E55,AO$5:AO$35))</f>
        <v>#DIV/0!</v>
      </c>
      <c r="AP56" s="74" t="e">
        <f t="array" ref="AP56">_xlfn.STDEV.P(IF($E$5:$E$35=$E55,AP$5:AP$35))</f>
        <v>#DIV/0!</v>
      </c>
      <c r="AQ56" s="74" t="e">
        <f t="array" ref="AQ56">_xlfn.STDEV.P(IF($E$5:$E$35=$E55,AQ$5:AQ$35))</f>
        <v>#DIV/0!</v>
      </c>
      <c r="AR56" s="74" t="e">
        <f t="array" ref="AR56">_xlfn.STDEV.P(IF($E$5:$E$35=$E55,AR$5:AR$35))</f>
        <v>#DIV/0!</v>
      </c>
      <c r="AS56" s="74" t="e">
        <f t="array" ref="AS56">_xlfn.STDEV.P(IF($E$5:$E$35=$E55,AS$5:AS$35))</f>
        <v>#DIV/0!</v>
      </c>
      <c r="AT56" s="74" t="e">
        <f t="array" ref="AT56">_xlfn.STDEV.P(IF($E$5:$E$35=$E55,AT$5:AT$35))</f>
        <v>#DIV/0!</v>
      </c>
      <c r="AU56" s="74" t="e">
        <f t="array" ref="AU56">_xlfn.STDEV.P(IF($E$5:$E$35=$E55,AU$5:AU$35))</f>
        <v>#DIV/0!</v>
      </c>
      <c r="AV56" s="74" t="e">
        <f t="array" ref="AV56">_xlfn.STDEV.P(IF($E$5:$E$35=$E55,AV$5:AV$35))</f>
        <v>#DIV/0!</v>
      </c>
      <c r="AW56" s="74" t="e">
        <f t="array" ref="AW56">_xlfn.STDEV.P(IF($E$5:$E$35=$E55,AW$5:AW$35))</f>
        <v>#DIV/0!</v>
      </c>
      <c r="AX56" s="74" t="e">
        <f t="array" ref="AX56">_xlfn.STDEV.P(IF($E$5:$E$35=$E55,AX$5:AX$35))</f>
        <v>#DIV/0!</v>
      </c>
      <c r="AY56" s="74" t="e">
        <f t="array" ref="AY56">_xlfn.STDEV.P(IF($E$5:$E$35=$E55,AY$5:AY$35))</f>
        <v>#DIV/0!</v>
      </c>
      <c r="AZ56" s="74" t="e">
        <f t="array" ref="AZ56">_xlfn.STDEV.P(IF($E$5:$E$35=$E55,AZ$5:AZ$35))</f>
        <v>#DIV/0!</v>
      </c>
      <c r="BA56" s="74" t="e">
        <f t="array" ref="BA56">_xlfn.STDEV.P(IF($E$5:$E$35=$E55,BA$5:BA$35))</f>
        <v>#DIV/0!</v>
      </c>
      <c r="BB56" s="74" t="e">
        <f t="array" ref="BB56">_xlfn.STDEV.P(IF($E$5:$E$35=$E55,BB$5:BB$35))</f>
        <v>#DIV/0!</v>
      </c>
      <c r="BC56" s="94" t="s">
        <v>11</v>
      </c>
      <c r="BD56" s="67" t="e">
        <f t="array" ref="BD56">_xlfn.STDEV.P(IF($E$5:$E$35=$E55,BD$5:BD$35))</f>
        <v>#DIV/0!</v>
      </c>
      <c r="BE56" s="67" t="e">
        <f t="array" ref="BE56">_xlfn.STDEV.P(IF($E$5:$E$35=$E55,BE$5:BE$35))</f>
        <v>#DIV/0!</v>
      </c>
      <c r="BF56" s="67" t="e">
        <f t="array" ref="BF56">_xlfn.STDEV.P(IF($E$5:$E$35=$E55,BF$5:BF$35))</f>
        <v>#DIV/0!</v>
      </c>
      <c r="BG56" s="67" t="e">
        <f t="array" ref="BG56">_xlfn.STDEV.P(IF($E$5:$E$35=$E55,BG$5:BG$35))</f>
        <v>#DIV/0!</v>
      </c>
      <c r="BH56" s="67" t="e">
        <f t="array" ref="BH56">_xlfn.STDEV.P(IF($E$5:$E$35=$E55,BH$5:BH$35))</f>
        <v>#DIV/0!</v>
      </c>
      <c r="BI56" s="67" t="e">
        <f t="array" ref="BI56">_xlfn.STDEV.P(IF($E$5:$E$35=$E55,BI$5:BI$35))</f>
        <v>#DIV/0!</v>
      </c>
      <c r="BJ56" s="67" t="e">
        <f t="array" ref="BJ56">_xlfn.STDEV.P(IF($E$5:$E$35=$E55,BJ$5:BJ$35))</f>
        <v>#DIV/0!</v>
      </c>
      <c r="BK56" s="67" t="e">
        <f t="array" ref="BK56">_xlfn.STDEV.P(IF($E$5:$E$35=$E55,BK$5:BK$35))</f>
        <v>#DIV/0!</v>
      </c>
      <c r="BL56" s="67" t="e">
        <f t="array" ref="BL56">_xlfn.STDEV.P(IF($E$5:$E$35=$E55,BL$5:BL$35))</f>
        <v>#DIV/0!</v>
      </c>
      <c r="BM56" s="67" t="e">
        <f t="array" ref="BM56">_xlfn.STDEV.P(IF($E$5:$E$35=$E55,BM$5:BM$35))</f>
        <v>#DIV/0!</v>
      </c>
      <c r="BN56" s="67" t="e">
        <f t="array" ref="BN56">_xlfn.STDEV.P(IF($E$5:$E$35=$E55,BN$5:BN$35))</f>
        <v>#DIV/0!</v>
      </c>
      <c r="BO56" s="67" t="e">
        <f t="array" ref="BO56">_xlfn.STDEV.P(IF($E$5:$E$35=$E55,BO$5:BO$35))</f>
        <v>#DIV/0!</v>
      </c>
      <c r="BP56" s="67" t="e">
        <f t="array" ref="BP56">_xlfn.STDEV.P(IF($E$5:$E$35=$E55,BP$5:BP$35))</f>
        <v>#DIV/0!</v>
      </c>
      <c r="BQ56" s="67" t="e">
        <f t="array" ref="BQ56">_xlfn.STDEV.P(IF($E$5:$E$35=$E55,BQ$5:BQ$35))</f>
        <v>#DIV/0!</v>
      </c>
      <c r="BR56" s="67" t="e">
        <f t="array" ref="BR56">_xlfn.STDEV.P(IF($E$5:$E$35=$E55,BR$5:BR$35))</f>
        <v>#DIV/0!</v>
      </c>
      <c r="BS56" s="67" t="e">
        <f t="array" ref="BS56">_xlfn.STDEV.P(IF($E$5:$E$35=$E55,BS$5:BS$35))</f>
        <v>#DIV/0!</v>
      </c>
      <c r="BT56" s="67" t="e">
        <f t="array" ref="BT56">_xlfn.STDEV.P(IF($E$5:$E$35=$E55,BT$5:BT$35))</f>
        <v>#DIV/0!</v>
      </c>
      <c r="BU56" s="67" t="e">
        <f t="array" ref="BU56">_xlfn.STDEV.P(IF($E$5:$E$35=$E55,BU$5:BU$35))</f>
        <v>#DIV/0!</v>
      </c>
      <c r="BV56" s="67" t="e">
        <f t="array" ref="BV56">_xlfn.STDEV.P(IF($E$5:$E$35=$E55,BV$5:BV$35))</f>
        <v>#DIV/0!</v>
      </c>
      <c r="BW56" s="67" t="e">
        <f t="array" ref="BW56">_xlfn.STDEV.P(IF($E$5:$E$35=$E55,BW$5:BW$35))</f>
        <v>#DIV/0!</v>
      </c>
      <c r="BX56" s="67" t="e">
        <f t="array" ref="BX56">_xlfn.STDEV.P(IF($E$5:$E$35=$E55,BX$5:BX$35))</f>
        <v>#DIV/0!</v>
      </c>
      <c r="BY56" s="67" t="e">
        <f t="array" ref="BY56">_xlfn.STDEV.P(IF($E$5:$E$35=$E55,BY$5:BY$35))</f>
        <v>#DIV/0!</v>
      </c>
      <c r="BZ56" s="67" t="e">
        <f t="array" ref="BZ56">_xlfn.STDEV.P(IF($E$5:$E$35=$E55,BZ$5:BZ$35))</f>
        <v>#DIV/0!</v>
      </c>
      <c r="CA56" s="67" t="e">
        <f t="array" ref="CA56">_xlfn.STDEV.P(IF($E$5:$E$35=$E55,CA$5:CA$35))</f>
        <v>#DIV/0!</v>
      </c>
      <c r="CB56" s="67" t="e">
        <f t="array" ref="CB56">_xlfn.STDEV.P(IF($E$5:$E$35=$E55,CB$5:CB$35))</f>
        <v>#DIV/0!</v>
      </c>
      <c r="CC56" s="67" t="e">
        <f t="array" ref="CC56">_xlfn.STDEV.P(IF($E$5:$E$35=$E55,CC$5:CC$35))</f>
        <v>#DIV/0!</v>
      </c>
      <c r="CD56" s="67" t="e">
        <f t="array" ref="CD56">_xlfn.STDEV.P(IF($E$5:$E$35=$E55,CD$5:CD$35))</f>
        <v>#DIV/0!</v>
      </c>
      <c r="CE56" s="67" t="e">
        <f t="array" ref="CE56">_xlfn.STDEV.P(IF($E$5:$E$35=$E55,CE$5:CE$35))</f>
        <v>#DIV/0!</v>
      </c>
      <c r="CF56" s="67" t="e">
        <f t="array" ref="CF56">_xlfn.STDEV.P(IF($E$5:$E$35=$E55,CF$5:CF$35))</f>
        <v>#DIV/0!</v>
      </c>
      <c r="CG56" s="67" t="e">
        <f t="array" ref="CG56">_xlfn.STDEV.P(IF($E$5:$E$35=$E55,CG$5:CG$35))</f>
        <v>#DIV/0!</v>
      </c>
      <c r="CH56" s="67" t="e">
        <f t="array" ref="CH56">_xlfn.STDEV.P(IF($E$5:$E$35=$E55,CH$5:CH$35))</f>
        <v>#DIV/0!</v>
      </c>
      <c r="CI56" s="67" t="e">
        <f t="array" ref="CI56">_xlfn.STDEV.P(IF($E$5:$E$35=$E55,CI$5:CI$35))</f>
        <v>#DIV/0!</v>
      </c>
      <c r="CJ56" s="67" t="e">
        <f t="array" ref="CJ56">_xlfn.STDEV.P(IF($E$5:$E$35=$E55,CJ$5:CJ$35))</f>
        <v>#DIV/0!</v>
      </c>
      <c r="CK56" s="67" t="e">
        <f t="array" ref="CK56">_xlfn.STDEV.P(IF($E$5:$E$35=$E55,CK$5:CK$35))</f>
        <v>#DIV/0!</v>
      </c>
      <c r="CL56" s="67" t="e">
        <f t="array" ref="CL56">_xlfn.STDEV.P(IF($E$5:$E$35=$E55,CL$5:CL$35))</f>
        <v>#DIV/0!</v>
      </c>
      <c r="CM56" s="67" t="e">
        <f t="array" ref="CM56">_xlfn.STDEV.P(IF($E$5:$E$35=$E55,CM$5:CM$35))</f>
        <v>#DIV/0!</v>
      </c>
      <c r="CN56" s="67" t="e">
        <f t="array" ref="CN56">_xlfn.STDEV.P(IF($E$5:$E$35=$E55,CN$5:CN$35))</f>
        <v>#DIV/0!</v>
      </c>
      <c r="CO56" s="67" t="e">
        <f t="array" ref="CO56">_xlfn.STDEV.P(IF($E$5:$E$35=$E55,CO$5:CO$35))</f>
        <v>#DIV/0!</v>
      </c>
      <c r="CP56" s="67" t="e">
        <f t="array" ref="CP56">_xlfn.STDEV.P(IF($E$5:$E$35=$E55,CP$5:CP$35))</f>
        <v>#DIV/0!</v>
      </c>
      <c r="CQ56" s="67" t="e">
        <f t="array" ref="CQ56">_xlfn.STDEV.P(IF($E$5:$E$35=$E55,CQ$5:CQ$35))</f>
        <v>#DIV/0!</v>
      </c>
      <c r="CR56" s="67" t="e">
        <f t="array" ref="CR56">_xlfn.STDEV.P(IF($E$5:$E$35=$E55,CR$5:CR$35))</f>
        <v>#DIV/0!</v>
      </c>
      <c r="CS56" s="67" t="e">
        <f t="array" ref="CS56">_xlfn.STDEV.P(IF($E$5:$E$35=$E55,CS$5:CS$35))</f>
        <v>#DIV/0!</v>
      </c>
      <c r="CT56" s="67" t="e">
        <f t="array" ref="CT56">_xlfn.STDEV.P(IF($E$5:$E$35=$E55,CT$5:CT$35))</f>
        <v>#DIV/0!</v>
      </c>
      <c r="CU56" s="67" t="e">
        <f t="array" ref="CU56">_xlfn.STDEV.P(IF($E$5:$E$35=$E55,CU$5:CU$35))</f>
        <v>#DIV/0!</v>
      </c>
      <c r="CV56" s="69"/>
    </row>
    <row r="57" spans="1:100" ht="15">
      <c r="A57" s="103"/>
      <c r="E57" s="108"/>
      <c r="H57" s="45"/>
    </row>
    <row r="58" spans="1:100" ht="14.25" customHeight="1">
      <c r="A58" s="103"/>
      <c r="E58" s="108" t="str">
        <f>'5GY EBRT Groups'!C12</f>
        <v>Group 7</v>
      </c>
      <c r="H58" s="108" t="str">
        <f>E58</f>
        <v>Group 7</v>
      </c>
      <c r="I58" s="277" t="e">
        <f>AVERAGEIF($E$5:$E$35,$E58,I$5:I$35)</f>
        <v>#DIV/0!</v>
      </c>
      <c r="J58" s="65" t="s">
        <v>9</v>
      </c>
      <c r="K58" s="71" t="e">
        <f t="shared" ref="K58:BB58" si="29">AVERAGEIF($E$5:$E$35,$E58,K$5:K$35)</f>
        <v>#DIV/0!</v>
      </c>
      <c r="L58" s="71" t="e">
        <f t="shared" si="29"/>
        <v>#DIV/0!</v>
      </c>
      <c r="M58" s="71" t="e">
        <f t="shared" si="29"/>
        <v>#DIV/0!</v>
      </c>
      <c r="N58" s="71" t="e">
        <f t="shared" si="29"/>
        <v>#DIV/0!</v>
      </c>
      <c r="O58" s="71" t="e">
        <f t="shared" si="29"/>
        <v>#DIV/0!</v>
      </c>
      <c r="P58" s="71" t="e">
        <f t="shared" si="29"/>
        <v>#DIV/0!</v>
      </c>
      <c r="Q58" s="71" t="e">
        <f t="shared" si="29"/>
        <v>#DIV/0!</v>
      </c>
      <c r="R58" s="71" t="e">
        <f t="shared" si="29"/>
        <v>#DIV/0!</v>
      </c>
      <c r="S58" s="71" t="e">
        <f t="shared" si="29"/>
        <v>#DIV/0!</v>
      </c>
      <c r="T58" s="71" t="e">
        <f t="shared" si="29"/>
        <v>#DIV/0!</v>
      </c>
      <c r="U58" s="71" t="e">
        <f t="shared" si="29"/>
        <v>#DIV/0!</v>
      </c>
      <c r="V58" s="71" t="e">
        <f t="shared" si="29"/>
        <v>#DIV/0!</v>
      </c>
      <c r="W58" s="71" t="e">
        <f t="shared" si="29"/>
        <v>#DIV/0!</v>
      </c>
      <c r="X58" s="71" t="e">
        <f t="shared" si="29"/>
        <v>#DIV/0!</v>
      </c>
      <c r="Y58" s="71" t="e">
        <f t="shared" si="29"/>
        <v>#DIV/0!</v>
      </c>
      <c r="Z58" s="71" t="e">
        <f t="shared" si="29"/>
        <v>#DIV/0!</v>
      </c>
      <c r="AA58" s="71" t="e">
        <f t="shared" si="29"/>
        <v>#DIV/0!</v>
      </c>
      <c r="AB58" s="71" t="e">
        <f t="shared" si="29"/>
        <v>#DIV/0!</v>
      </c>
      <c r="AC58" s="71" t="e">
        <f t="shared" si="29"/>
        <v>#DIV/0!</v>
      </c>
      <c r="AD58" s="71" t="e">
        <f t="shared" si="29"/>
        <v>#DIV/0!</v>
      </c>
      <c r="AE58" s="71" t="e">
        <f t="shared" si="29"/>
        <v>#DIV/0!</v>
      </c>
      <c r="AF58" s="71" t="e">
        <f t="shared" si="29"/>
        <v>#DIV/0!</v>
      </c>
      <c r="AG58" s="71" t="e">
        <f t="shared" si="29"/>
        <v>#DIV/0!</v>
      </c>
      <c r="AH58" s="71" t="e">
        <f t="shared" si="29"/>
        <v>#DIV/0!</v>
      </c>
      <c r="AI58" s="71" t="e">
        <f t="shared" si="29"/>
        <v>#DIV/0!</v>
      </c>
      <c r="AJ58" s="71" t="e">
        <f t="shared" si="29"/>
        <v>#DIV/0!</v>
      </c>
      <c r="AK58" s="71" t="e">
        <f t="shared" si="29"/>
        <v>#DIV/0!</v>
      </c>
      <c r="AL58" s="71" t="e">
        <f t="shared" si="29"/>
        <v>#DIV/0!</v>
      </c>
      <c r="AM58" s="71" t="e">
        <f t="shared" si="29"/>
        <v>#DIV/0!</v>
      </c>
      <c r="AN58" s="71" t="e">
        <f t="shared" si="29"/>
        <v>#DIV/0!</v>
      </c>
      <c r="AO58" s="71" t="e">
        <f t="shared" si="29"/>
        <v>#DIV/0!</v>
      </c>
      <c r="AP58" s="71" t="e">
        <f t="shared" si="29"/>
        <v>#DIV/0!</v>
      </c>
      <c r="AQ58" s="71" t="e">
        <f t="shared" si="29"/>
        <v>#DIV/0!</v>
      </c>
      <c r="AR58" s="71" t="e">
        <f t="shared" si="29"/>
        <v>#DIV/0!</v>
      </c>
      <c r="AS58" s="71" t="e">
        <f t="shared" si="29"/>
        <v>#DIV/0!</v>
      </c>
      <c r="AT58" s="71" t="e">
        <f t="shared" si="29"/>
        <v>#DIV/0!</v>
      </c>
      <c r="AU58" s="71" t="e">
        <f t="shared" si="29"/>
        <v>#DIV/0!</v>
      </c>
      <c r="AV58" s="71" t="e">
        <f t="shared" si="29"/>
        <v>#DIV/0!</v>
      </c>
      <c r="AW58" s="71" t="e">
        <f t="shared" si="29"/>
        <v>#DIV/0!</v>
      </c>
      <c r="AX58" s="71" t="e">
        <f t="shared" si="29"/>
        <v>#DIV/0!</v>
      </c>
      <c r="AY58" s="71" t="e">
        <f t="shared" si="29"/>
        <v>#DIV/0!</v>
      </c>
      <c r="AZ58" s="71" t="e">
        <f t="shared" si="29"/>
        <v>#DIV/0!</v>
      </c>
      <c r="BA58" s="71" t="e">
        <f t="shared" si="29"/>
        <v>#DIV/0!</v>
      </c>
      <c r="BB58" s="71" t="e">
        <f t="shared" si="29"/>
        <v>#DIV/0!</v>
      </c>
      <c r="BC58" s="93" t="s">
        <v>9</v>
      </c>
      <c r="BD58" s="66" t="e">
        <f t="shared" ref="BD58:CU58" si="30">AVERAGEIF($E$5:$E$35,$E58,BD$5:BD$35)</f>
        <v>#DIV/0!</v>
      </c>
      <c r="BE58" s="66" t="e">
        <f t="shared" si="30"/>
        <v>#DIV/0!</v>
      </c>
      <c r="BF58" s="66" t="e">
        <f t="shared" si="30"/>
        <v>#DIV/0!</v>
      </c>
      <c r="BG58" s="66" t="e">
        <f t="shared" si="30"/>
        <v>#DIV/0!</v>
      </c>
      <c r="BH58" s="66" t="e">
        <f t="shared" si="30"/>
        <v>#DIV/0!</v>
      </c>
      <c r="BI58" s="66" t="e">
        <f t="shared" si="30"/>
        <v>#DIV/0!</v>
      </c>
      <c r="BJ58" s="66" t="e">
        <f t="shared" si="30"/>
        <v>#DIV/0!</v>
      </c>
      <c r="BK58" s="66" t="e">
        <f t="shared" si="30"/>
        <v>#DIV/0!</v>
      </c>
      <c r="BL58" s="66" t="e">
        <f t="shared" si="30"/>
        <v>#DIV/0!</v>
      </c>
      <c r="BM58" s="66" t="e">
        <f t="shared" si="30"/>
        <v>#DIV/0!</v>
      </c>
      <c r="BN58" s="66" t="e">
        <f t="shared" si="30"/>
        <v>#DIV/0!</v>
      </c>
      <c r="BO58" s="66" t="e">
        <f t="shared" si="30"/>
        <v>#DIV/0!</v>
      </c>
      <c r="BP58" s="66" t="e">
        <f t="shared" si="30"/>
        <v>#DIV/0!</v>
      </c>
      <c r="BQ58" s="66" t="e">
        <f t="shared" si="30"/>
        <v>#DIV/0!</v>
      </c>
      <c r="BR58" s="66" t="e">
        <f t="shared" si="30"/>
        <v>#DIV/0!</v>
      </c>
      <c r="BS58" s="66" t="e">
        <f t="shared" si="30"/>
        <v>#DIV/0!</v>
      </c>
      <c r="BT58" s="66" t="e">
        <f t="shared" si="30"/>
        <v>#DIV/0!</v>
      </c>
      <c r="BU58" s="66" t="e">
        <f t="shared" si="30"/>
        <v>#DIV/0!</v>
      </c>
      <c r="BV58" s="66" t="e">
        <f t="shared" si="30"/>
        <v>#DIV/0!</v>
      </c>
      <c r="BW58" s="66" t="e">
        <f t="shared" si="30"/>
        <v>#DIV/0!</v>
      </c>
      <c r="BX58" s="66" t="e">
        <f t="shared" si="30"/>
        <v>#DIV/0!</v>
      </c>
      <c r="BY58" s="66" t="e">
        <f t="shared" si="30"/>
        <v>#DIV/0!</v>
      </c>
      <c r="BZ58" s="66" t="e">
        <f t="shared" si="30"/>
        <v>#DIV/0!</v>
      </c>
      <c r="CA58" s="66" t="e">
        <f t="shared" si="30"/>
        <v>#DIV/0!</v>
      </c>
      <c r="CB58" s="66" t="e">
        <f t="shared" si="30"/>
        <v>#DIV/0!</v>
      </c>
      <c r="CC58" s="66" t="e">
        <f t="shared" si="30"/>
        <v>#DIV/0!</v>
      </c>
      <c r="CD58" s="66" t="e">
        <f t="shared" si="30"/>
        <v>#DIV/0!</v>
      </c>
      <c r="CE58" s="66" t="e">
        <f t="shared" si="30"/>
        <v>#DIV/0!</v>
      </c>
      <c r="CF58" s="66" t="e">
        <f t="shared" si="30"/>
        <v>#DIV/0!</v>
      </c>
      <c r="CG58" s="66" t="e">
        <f t="shared" si="30"/>
        <v>#DIV/0!</v>
      </c>
      <c r="CH58" s="66" t="e">
        <f t="shared" si="30"/>
        <v>#DIV/0!</v>
      </c>
      <c r="CI58" s="66" t="e">
        <f t="shared" si="30"/>
        <v>#DIV/0!</v>
      </c>
      <c r="CJ58" s="66" t="e">
        <f t="shared" si="30"/>
        <v>#DIV/0!</v>
      </c>
      <c r="CK58" s="66" t="e">
        <f t="shared" si="30"/>
        <v>#DIV/0!</v>
      </c>
      <c r="CL58" s="66" t="e">
        <f t="shared" si="30"/>
        <v>#DIV/0!</v>
      </c>
      <c r="CM58" s="66" t="e">
        <f t="shared" si="30"/>
        <v>#DIV/0!</v>
      </c>
      <c r="CN58" s="66" t="e">
        <f t="shared" si="30"/>
        <v>#DIV/0!</v>
      </c>
      <c r="CO58" s="66" t="e">
        <f t="shared" si="30"/>
        <v>#DIV/0!</v>
      </c>
      <c r="CP58" s="66" t="e">
        <f t="shared" si="30"/>
        <v>#DIV/0!</v>
      </c>
      <c r="CQ58" s="66" t="e">
        <f t="shared" si="30"/>
        <v>#DIV/0!</v>
      </c>
      <c r="CR58" s="66" t="e">
        <f t="shared" si="30"/>
        <v>#DIV/0!</v>
      </c>
      <c r="CS58" s="66" t="e">
        <f t="shared" si="30"/>
        <v>#DIV/0!</v>
      </c>
      <c r="CT58" s="66" t="e">
        <f t="shared" si="30"/>
        <v>#DIV/0!</v>
      </c>
      <c r="CU58" s="66" t="e">
        <f t="shared" si="30"/>
        <v>#DIV/0!</v>
      </c>
      <c r="CV58" s="69"/>
    </row>
    <row r="59" spans="1:100" ht="14.25" customHeight="1">
      <c r="A59" s="103"/>
      <c r="E59" s="108"/>
      <c r="H59" s="83"/>
      <c r="I59" s="277" t="e">
        <f t="array" ref="I59">_xlfn.STDEV.P(IF($E$5:$E$35=$E58,I$5:I$35))</f>
        <v>#DIV/0!</v>
      </c>
      <c r="J59" s="65" t="s">
        <v>11</v>
      </c>
      <c r="K59" s="74" t="e">
        <f t="array" ref="K59">_xlfn.STDEV.P(IF($E$5:$E$35=$E58,K$5:K$35))</f>
        <v>#DIV/0!</v>
      </c>
      <c r="L59" s="74" t="e">
        <f t="array" ref="L59">_xlfn.STDEV.P(IF($E$5:$E$35=$E58,L$5:L$35))</f>
        <v>#DIV/0!</v>
      </c>
      <c r="M59" s="74" t="e">
        <f t="array" ref="M59">_xlfn.STDEV.P(IF($E$5:$E$35=$E58,M$5:M$35))</f>
        <v>#DIV/0!</v>
      </c>
      <c r="N59" s="74" t="e">
        <f t="array" ref="N59">_xlfn.STDEV.P(IF($E$5:$E$35=$E58,N$5:N$35))</f>
        <v>#DIV/0!</v>
      </c>
      <c r="O59" s="74" t="e">
        <f t="array" ref="O59">_xlfn.STDEV.P(IF($E$5:$E$35=$E58,O$5:O$35))</f>
        <v>#DIV/0!</v>
      </c>
      <c r="P59" s="74" t="e">
        <f t="array" ref="P59">_xlfn.STDEV.P(IF($E$5:$E$35=$E58,P$5:P$35))</f>
        <v>#DIV/0!</v>
      </c>
      <c r="Q59" s="74" t="e">
        <f t="array" ref="Q59">_xlfn.STDEV.P(IF($E$5:$E$35=$E58,Q$5:Q$35))</f>
        <v>#DIV/0!</v>
      </c>
      <c r="R59" s="74" t="e">
        <f t="array" ref="R59">_xlfn.STDEV.P(IF($E$5:$E$35=$E58,R$5:R$35))</f>
        <v>#DIV/0!</v>
      </c>
      <c r="S59" s="74" t="e">
        <f t="array" ref="S59">_xlfn.STDEV.P(IF($E$5:$E$35=$E58,S$5:S$35))</f>
        <v>#DIV/0!</v>
      </c>
      <c r="T59" s="74" t="e">
        <f t="array" ref="T59">_xlfn.STDEV.P(IF($E$5:$E$35=$E58,T$5:T$35))</f>
        <v>#DIV/0!</v>
      </c>
      <c r="U59" s="74" t="e">
        <f t="array" ref="U59">_xlfn.STDEV.P(IF($E$5:$E$35=$E58,U$5:U$35))</f>
        <v>#DIV/0!</v>
      </c>
      <c r="V59" s="74" t="e">
        <f t="array" ref="V59">_xlfn.STDEV.P(IF($E$5:$E$35=$E58,V$5:V$35))</f>
        <v>#DIV/0!</v>
      </c>
      <c r="W59" s="74" t="e">
        <f t="array" ref="W59">_xlfn.STDEV.P(IF($E$5:$E$35=$E58,W$5:W$35))</f>
        <v>#DIV/0!</v>
      </c>
      <c r="X59" s="74" t="e">
        <f t="array" ref="X59">_xlfn.STDEV.P(IF($E$5:$E$35=$E58,X$5:X$35))</f>
        <v>#DIV/0!</v>
      </c>
      <c r="Y59" s="74" t="e">
        <f t="array" ref="Y59">_xlfn.STDEV.P(IF($E$5:$E$35=$E58,Y$5:Y$35))</f>
        <v>#DIV/0!</v>
      </c>
      <c r="Z59" s="74" t="e">
        <f t="array" ref="Z59">_xlfn.STDEV.P(IF($E$5:$E$35=$E58,Z$5:Z$35))</f>
        <v>#DIV/0!</v>
      </c>
      <c r="AA59" s="74" t="e">
        <f t="array" ref="AA59">_xlfn.STDEV.P(IF($E$5:$E$35=$E58,AA$5:AA$35))</f>
        <v>#DIV/0!</v>
      </c>
      <c r="AB59" s="74" t="e">
        <f t="array" ref="AB59">_xlfn.STDEV.P(IF($E$5:$E$35=$E58,AB$5:AB$35))</f>
        <v>#DIV/0!</v>
      </c>
      <c r="AC59" s="74" t="e">
        <f t="array" ref="AC59">_xlfn.STDEV.P(IF($E$5:$E$35=$E58,AC$5:AC$35))</f>
        <v>#DIV/0!</v>
      </c>
      <c r="AD59" s="74" t="e">
        <f t="array" ref="AD59">_xlfn.STDEV.P(IF($E$5:$E$35=$E58,AD$5:AD$35))</f>
        <v>#DIV/0!</v>
      </c>
      <c r="AE59" s="74" t="e">
        <f t="array" ref="AE59">_xlfn.STDEV.P(IF($E$5:$E$35=$E58,AE$5:AE$35))</f>
        <v>#DIV/0!</v>
      </c>
      <c r="AF59" s="74" t="e">
        <f t="array" ref="AF59">_xlfn.STDEV.P(IF($E$5:$E$35=$E58,AF$5:AF$35))</f>
        <v>#DIV/0!</v>
      </c>
      <c r="AG59" s="74" t="e">
        <f t="array" ref="AG59">_xlfn.STDEV.P(IF($E$5:$E$35=$E58,AG$5:AG$35))</f>
        <v>#DIV/0!</v>
      </c>
      <c r="AH59" s="74" t="e">
        <f t="array" ref="AH59">_xlfn.STDEV.P(IF($E$5:$E$35=$E58,AH$5:AH$35))</f>
        <v>#DIV/0!</v>
      </c>
      <c r="AI59" s="74" t="e">
        <f t="array" ref="AI59">_xlfn.STDEV.P(IF($E$5:$E$35=$E58,AI$5:AI$35))</f>
        <v>#DIV/0!</v>
      </c>
      <c r="AJ59" s="74" t="e">
        <f t="array" ref="AJ59">_xlfn.STDEV.P(IF($E$5:$E$35=$E58,AJ$5:AJ$35))</f>
        <v>#DIV/0!</v>
      </c>
      <c r="AK59" s="74" t="e">
        <f t="array" ref="AK59">_xlfn.STDEV.P(IF($E$5:$E$35=$E58,AK$5:AK$35))</f>
        <v>#DIV/0!</v>
      </c>
      <c r="AL59" s="74" t="e">
        <f t="array" ref="AL59">_xlfn.STDEV.P(IF($E$5:$E$35=$E58,AL$5:AL$35))</f>
        <v>#DIV/0!</v>
      </c>
      <c r="AM59" s="74" t="e">
        <f t="array" ref="AM59">_xlfn.STDEV.P(IF($E$5:$E$35=$E58,AM$5:AM$35))</f>
        <v>#DIV/0!</v>
      </c>
      <c r="AN59" s="74" t="e">
        <f t="array" ref="AN59">_xlfn.STDEV.P(IF($E$5:$E$35=$E58,AN$5:AN$35))</f>
        <v>#DIV/0!</v>
      </c>
      <c r="AO59" s="74" t="e">
        <f t="array" ref="AO59">_xlfn.STDEV.P(IF($E$5:$E$35=$E58,AO$5:AO$35))</f>
        <v>#DIV/0!</v>
      </c>
      <c r="AP59" s="74" t="e">
        <f t="array" ref="AP59">_xlfn.STDEV.P(IF($E$5:$E$35=$E58,AP$5:AP$35))</f>
        <v>#DIV/0!</v>
      </c>
      <c r="AQ59" s="74" t="e">
        <f t="array" ref="AQ59">_xlfn.STDEV.P(IF($E$5:$E$35=$E58,AQ$5:AQ$35))</f>
        <v>#DIV/0!</v>
      </c>
      <c r="AR59" s="74" t="e">
        <f t="array" ref="AR59">_xlfn.STDEV.P(IF($E$5:$E$35=$E58,AR$5:AR$35))</f>
        <v>#DIV/0!</v>
      </c>
      <c r="AS59" s="74" t="e">
        <f t="array" ref="AS59">_xlfn.STDEV.P(IF($E$5:$E$35=$E58,AS$5:AS$35))</f>
        <v>#DIV/0!</v>
      </c>
      <c r="AT59" s="74" t="e">
        <f t="array" ref="AT59">_xlfn.STDEV.P(IF($E$5:$E$35=$E58,AT$5:AT$35))</f>
        <v>#DIV/0!</v>
      </c>
      <c r="AU59" s="74" t="e">
        <f t="array" ref="AU59">_xlfn.STDEV.P(IF($E$5:$E$35=$E58,AU$5:AU$35))</f>
        <v>#DIV/0!</v>
      </c>
      <c r="AV59" s="74" t="e">
        <f t="array" ref="AV59">_xlfn.STDEV.P(IF($E$5:$E$35=$E58,AV$5:AV$35))</f>
        <v>#DIV/0!</v>
      </c>
      <c r="AW59" s="74" t="e">
        <f t="array" ref="AW59">_xlfn.STDEV.P(IF($E$5:$E$35=$E58,AW$5:AW$35))</f>
        <v>#DIV/0!</v>
      </c>
      <c r="AX59" s="74" t="e">
        <f t="array" ref="AX59">_xlfn.STDEV.P(IF($E$5:$E$35=$E58,AX$5:AX$35))</f>
        <v>#DIV/0!</v>
      </c>
      <c r="AY59" s="74" t="e">
        <f t="array" ref="AY59">_xlfn.STDEV.P(IF($E$5:$E$35=$E58,AY$5:AY$35))</f>
        <v>#DIV/0!</v>
      </c>
      <c r="AZ59" s="74" t="e">
        <f t="array" ref="AZ59">_xlfn.STDEV.P(IF($E$5:$E$35=$E58,AZ$5:AZ$35))</f>
        <v>#DIV/0!</v>
      </c>
      <c r="BA59" s="74" t="e">
        <f t="array" ref="BA59">_xlfn.STDEV.P(IF($E$5:$E$35=$E58,BA$5:BA$35))</f>
        <v>#DIV/0!</v>
      </c>
      <c r="BB59" s="74" t="e">
        <f t="array" ref="BB59">_xlfn.STDEV.P(IF($E$5:$E$35=$E58,BB$5:BB$35))</f>
        <v>#DIV/0!</v>
      </c>
      <c r="BC59" s="94" t="s">
        <v>11</v>
      </c>
      <c r="BD59" s="67" t="e">
        <f t="array" ref="BD59">_xlfn.STDEV.P(IF($E$5:$E$35=$E58,BD$5:BD$35))</f>
        <v>#DIV/0!</v>
      </c>
      <c r="BE59" s="67" t="e">
        <f t="array" ref="BE59">_xlfn.STDEV.P(IF($E$5:$E$35=$E58,BE$5:BE$35))</f>
        <v>#DIV/0!</v>
      </c>
      <c r="BF59" s="67" t="e">
        <f t="array" ref="BF59">_xlfn.STDEV.P(IF($E$5:$E$35=$E58,BF$5:BF$35))</f>
        <v>#DIV/0!</v>
      </c>
      <c r="BG59" s="67" t="e">
        <f t="array" ref="BG59">_xlfn.STDEV.P(IF($E$5:$E$35=$E58,BG$5:BG$35))</f>
        <v>#DIV/0!</v>
      </c>
      <c r="BH59" s="67" t="e">
        <f t="array" ref="BH59">_xlfn.STDEV.P(IF($E$5:$E$35=$E58,BH$5:BH$35))</f>
        <v>#DIV/0!</v>
      </c>
      <c r="BI59" s="67" t="e">
        <f t="array" ref="BI59">_xlfn.STDEV.P(IF($E$5:$E$35=$E58,BI$5:BI$35))</f>
        <v>#DIV/0!</v>
      </c>
      <c r="BJ59" s="67" t="e">
        <f t="array" ref="BJ59">_xlfn.STDEV.P(IF($E$5:$E$35=$E58,BJ$5:BJ$35))</f>
        <v>#DIV/0!</v>
      </c>
      <c r="BK59" s="67" t="e">
        <f t="array" ref="BK59">_xlfn.STDEV.P(IF($E$5:$E$35=$E58,BK$5:BK$35))</f>
        <v>#DIV/0!</v>
      </c>
      <c r="BL59" s="67" t="e">
        <f t="array" ref="BL59">_xlfn.STDEV.P(IF($E$5:$E$35=$E58,BL$5:BL$35))</f>
        <v>#DIV/0!</v>
      </c>
      <c r="BM59" s="67" t="e">
        <f t="array" ref="BM59">_xlfn.STDEV.P(IF($E$5:$E$35=$E58,BM$5:BM$35))</f>
        <v>#DIV/0!</v>
      </c>
      <c r="BN59" s="67" t="e">
        <f t="array" ref="BN59">_xlfn.STDEV.P(IF($E$5:$E$35=$E58,BN$5:BN$35))</f>
        <v>#DIV/0!</v>
      </c>
      <c r="BO59" s="67" t="e">
        <f t="array" ref="BO59">_xlfn.STDEV.P(IF($E$5:$E$35=$E58,BO$5:BO$35))</f>
        <v>#DIV/0!</v>
      </c>
      <c r="BP59" s="67" t="e">
        <f t="array" ref="BP59">_xlfn.STDEV.P(IF($E$5:$E$35=$E58,BP$5:BP$35))</f>
        <v>#DIV/0!</v>
      </c>
      <c r="BQ59" s="67" t="e">
        <f t="array" ref="BQ59">_xlfn.STDEV.P(IF($E$5:$E$35=$E58,BQ$5:BQ$35))</f>
        <v>#DIV/0!</v>
      </c>
      <c r="BR59" s="67" t="e">
        <f t="array" ref="BR59">_xlfn.STDEV.P(IF($E$5:$E$35=$E58,BR$5:BR$35))</f>
        <v>#DIV/0!</v>
      </c>
      <c r="BS59" s="67" t="e">
        <f t="array" ref="BS59">_xlfn.STDEV.P(IF($E$5:$E$35=$E58,BS$5:BS$35))</f>
        <v>#DIV/0!</v>
      </c>
      <c r="BT59" s="67" t="e">
        <f t="array" ref="BT59">_xlfn.STDEV.P(IF($E$5:$E$35=$E58,BT$5:BT$35))</f>
        <v>#DIV/0!</v>
      </c>
      <c r="BU59" s="67" t="e">
        <f t="array" ref="BU59">_xlfn.STDEV.P(IF($E$5:$E$35=$E58,BU$5:BU$35))</f>
        <v>#DIV/0!</v>
      </c>
      <c r="BV59" s="67" t="e">
        <f t="array" ref="BV59">_xlfn.STDEV.P(IF($E$5:$E$35=$E58,BV$5:BV$35))</f>
        <v>#DIV/0!</v>
      </c>
      <c r="BW59" s="67" t="e">
        <f t="array" ref="BW59">_xlfn.STDEV.P(IF($E$5:$E$35=$E58,BW$5:BW$35))</f>
        <v>#DIV/0!</v>
      </c>
      <c r="BX59" s="67" t="e">
        <f t="array" ref="BX59">_xlfn.STDEV.P(IF($E$5:$E$35=$E58,BX$5:BX$35))</f>
        <v>#DIV/0!</v>
      </c>
      <c r="BY59" s="67" t="e">
        <f t="array" ref="BY59">_xlfn.STDEV.P(IF($E$5:$E$35=$E58,BY$5:BY$35))</f>
        <v>#DIV/0!</v>
      </c>
      <c r="BZ59" s="67" t="e">
        <f t="array" ref="BZ59">_xlfn.STDEV.P(IF($E$5:$E$35=$E58,BZ$5:BZ$35))</f>
        <v>#DIV/0!</v>
      </c>
      <c r="CA59" s="67" t="e">
        <f t="array" ref="CA59">_xlfn.STDEV.P(IF($E$5:$E$35=$E58,CA$5:CA$35))</f>
        <v>#DIV/0!</v>
      </c>
      <c r="CB59" s="67" t="e">
        <f t="array" ref="CB59">_xlfn.STDEV.P(IF($E$5:$E$35=$E58,CB$5:CB$35))</f>
        <v>#DIV/0!</v>
      </c>
      <c r="CC59" s="67" t="e">
        <f t="array" ref="CC59">_xlfn.STDEV.P(IF($E$5:$E$35=$E58,CC$5:CC$35))</f>
        <v>#DIV/0!</v>
      </c>
      <c r="CD59" s="67" t="e">
        <f t="array" ref="CD59">_xlfn.STDEV.P(IF($E$5:$E$35=$E58,CD$5:CD$35))</f>
        <v>#DIV/0!</v>
      </c>
      <c r="CE59" s="67" t="e">
        <f t="array" ref="CE59">_xlfn.STDEV.P(IF($E$5:$E$35=$E58,CE$5:CE$35))</f>
        <v>#DIV/0!</v>
      </c>
      <c r="CF59" s="67" t="e">
        <f t="array" ref="CF59">_xlfn.STDEV.P(IF($E$5:$E$35=$E58,CF$5:CF$35))</f>
        <v>#DIV/0!</v>
      </c>
      <c r="CG59" s="67" t="e">
        <f t="array" ref="CG59">_xlfn.STDEV.P(IF($E$5:$E$35=$E58,CG$5:CG$35))</f>
        <v>#DIV/0!</v>
      </c>
      <c r="CH59" s="67" t="e">
        <f t="array" ref="CH59">_xlfn.STDEV.P(IF($E$5:$E$35=$E58,CH$5:CH$35))</f>
        <v>#DIV/0!</v>
      </c>
      <c r="CI59" s="67" t="e">
        <f t="array" ref="CI59">_xlfn.STDEV.P(IF($E$5:$E$35=$E58,CI$5:CI$35))</f>
        <v>#DIV/0!</v>
      </c>
      <c r="CJ59" s="67" t="e">
        <f t="array" ref="CJ59">_xlfn.STDEV.P(IF($E$5:$E$35=$E58,CJ$5:CJ$35))</f>
        <v>#DIV/0!</v>
      </c>
      <c r="CK59" s="67" t="e">
        <f t="array" ref="CK59">_xlfn.STDEV.P(IF($E$5:$E$35=$E58,CK$5:CK$35))</f>
        <v>#DIV/0!</v>
      </c>
      <c r="CL59" s="67" t="e">
        <f t="array" ref="CL59">_xlfn.STDEV.P(IF($E$5:$E$35=$E58,CL$5:CL$35))</f>
        <v>#DIV/0!</v>
      </c>
      <c r="CM59" s="67" t="e">
        <f t="array" ref="CM59">_xlfn.STDEV.P(IF($E$5:$E$35=$E58,CM$5:CM$35))</f>
        <v>#DIV/0!</v>
      </c>
      <c r="CN59" s="67" t="e">
        <f t="array" ref="CN59">_xlfn.STDEV.P(IF($E$5:$E$35=$E58,CN$5:CN$35))</f>
        <v>#DIV/0!</v>
      </c>
      <c r="CO59" s="67" t="e">
        <f t="array" ref="CO59">_xlfn.STDEV.P(IF($E$5:$E$35=$E58,CO$5:CO$35))</f>
        <v>#DIV/0!</v>
      </c>
      <c r="CP59" s="67" t="e">
        <f t="array" ref="CP59">_xlfn.STDEV.P(IF($E$5:$E$35=$E58,CP$5:CP$35))</f>
        <v>#DIV/0!</v>
      </c>
      <c r="CQ59" s="67" t="e">
        <f t="array" ref="CQ59">_xlfn.STDEV.P(IF($E$5:$E$35=$E58,CQ$5:CQ$35))</f>
        <v>#DIV/0!</v>
      </c>
      <c r="CR59" s="67" t="e">
        <f t="array" ref="CR59">_xlfn.STDEV.P(IF($E$5:$E$35=$E58,CR$5:CR$35))</f>
        <v>#DIV/0!</v>
      </c>
      <c r="CS59" s="67" t="e">
        <f t="array" ref="CS59">_xlfn.STDEV.P(IF($E$5:$E$35=$E58,CS$5:CS$35))</f>
        <v>#DIV/0!</v>
      </c>
      <c r="CT59" s="67" t="e">
        <f t="array" ref="CT59">_xlfn.STDEV.P(IF($E$5:$E$35=$E58,CT$5:CT$35))</f>
        <v>#DIV/0!</v>
      </c>
      <c r="CU59" s="67" t="e">
        <f t="array" ref="CU59">_xlfn.STDEV.P(IF($E$5:$E$35=$E58,CU$5:CU$35))</f>
        <v>#DIV/0!</v>
      </c>
      <c r="CV59" s="69"/>
    </row>
    <row r="60" spans="1:100" ht="15">
      <c r="A60" s="103"/>
      <c r="E60" s="108"/>
      <c r="H60" s="45"/>
    </row>
    <row r="61" spans="1:100" ht="14.25" customHeight="1">
      <c r="A61" s="103"/>
      <c r="E61" s="108" t="str">
        <f>'5GY EBRT Groups'!C13</f>
        <v>Group 8</v>
      </c>
      <c r="H61" s="108" t="str">
        <f>E61</f>
        <v>Group 8</v>
      </c>
      <c r="I61" s="277" t="e">
        <f>AVERAGEIF($E$5:$E$35,$E61,I$5:I$35)</f>
        <v>#DIV/0!</v>
      </c>
      <c r="J61" s="65" t="s">
        <v>9</v>
      </c>
      <c r="K61" s="71" t="e">
        <f t="shared" ref="K61:BB61" si="31">AVERAGEIF($E$5:$E$35,$E61,K$5:K$35)</f>
        <v>#DIV/0!</v>
      </c>
      <c r="L61" s="71" t="e">
        <f t="shared" si="31"/>
        <v>#DIV/0!</v>
      </c>
      <c r="M61" s="71" t="e">
        <f t="shared" si="31"/>
        <v>#DIV/0!</v>
      </c>
      <c r="N61" s="71" t="e">
        <f t="shared" si="31"/>
        <v>#DIV/0!</v>
      </c>
      <c r="O61" s="71" t="e">
        <f t="shared" si="31"/>
        <v>#DIV/0!</v>
      </c>
      <c r="P61" s="71" t="e">
        <f t="shared" si="31"/>
        <v>#DIV/0!</v>
      </c>
      <c r="Q61" s="71" t="e">
        <f t="shared" si="31"/>
        <v>#DIV/0!</v>
      </c>
      <c r="R61" s="71" t="e">
        <f t="shared" si="31"/>
        <v>#DIV/0!</v>
      </c>
      <c r="S61" s="71" t="e">
        <f t="shared" si="31"/>
        <v>#DIV/0!</v>
      </c>
      <c r="T61" s="71" t="e">
        <f t="shared" si="31"/>
        <v>#DIV/0!</v>
      </c>
      <c r="U61" s="71" t="e">
        <f t="shared" si="31"/>
        <v>#DIV/0!</v>
      </c>
      <c r="V61" s="71" t="e">
        <f t="shared" si="31"/>
        <v>#DIV/0!</v>
      </c>
      <c r="W61" s="71" t="e">
        <f t="shared" si="31"/>
        <v>#DIV/0!</v>
      </c>
      <c r="X61" s="71" t="e">
        <f t="shared" si="31"/>
        <v>#DIV/0!</v>
      </c>
      <c r="Y61" s="71" t="e">
        <f t="shared" si="31"/>
        <v>#DIV/0!</v>
      </c>
      <c r="Z61" s="71" t="e">
        <f t="shared" si="31"/>
        <v>#DIV/0!</v>
      </c>
      <c r="AA61" s="71" t="e">
        <f t="shared" si="31"/>
        <v>#DIV/0!</v>
      </c>
      <c r="AB61" s="71" t="e">
        <f t="shared" si="31"/>
        <v>#DIV/0!</v>
      </c>
      <c r="AC61" s="71" t="e">
        <f t="shared" si="31"/>
        <v>#DIV/0!</v>
      </c>
      <c r="AD61" s="71" t="e">
        <f t="shared" si="31"/>
        <v>#DIV/0!</v>
      </c>
      <c r="AE61" s="71" t="e">
        <f t="shared" si="31"/>
        <v>#DIV/0!</v>
      </c>
      <c r="AF61" s="71" t="e">
        <f t="shared" si="31"/>
        <v>#DIV/0!</v>
      </c>
      <c r="AG61" s="71" t="e">
        <f t="shared" si="31"/>
        <v>#DIV/0!</v>
      </c>
      <c r="AH61" s="71" t="e">
        <f t="shared" si="31"/>
        <v>#DIV/0!</v>
      </c>
      <c r="AI61" s="71" t="e">
        <f t="shared" si="31"/>
        <v>#DIV/0!</v>
      </c>
      <c r="AJ61" s="71" t="e">
        <f t="shared" si="31"/>
        <v>#DIV/0!</v>
      </c>
      <c r="AK61" s="71" t="e">
        <f t="shared" si="31"/>
        <v>#DIV/0!</v>
      </c>
      <c r="AL61" s="71" t="e">
        <f t="shared" si="31"/>
        <v>#DIV/0!</v>
      </c>
      <c r="AM61" s="71" t="e">
        <f t="shared" si="31"/>
        <v>#DIV/0!</v>
      </c>
      <c r="AN61" s="71" t="e">
        <f t="shared" si="31"/>
        <v>#DIV/0!</v>
      </c>
      <c r="AO61" s="71" t="e">
        <f t="shared" si="31"/>
        <v>#DIV/0!</v>
      </c>
      <c r="AP61" s="71" t="e">
        <f t="shared" si="31"/>
        <v>#DIV/0!</v>
      </c>
      <c r="AQ61" s="71" t="e">
        <f t="shared" si="31"/>
        <v>#DIV/0!</v>
      </c>
      <c r="AR61" s="71" t="e">
        <f t="shared" si="31"/>
        <v>#DIV/0!</v>
      </c>
      <c r="AS61" s="71" t="e">
        <f t="shared" si="31"/>
        <v>#DIV/0!</v>
      </c>
      <c r="AT61" s="71" t="e">
        <f t="shared" si="31"/>
        <v>#DIV/0!</v>
      </c>
      <c r="AU61" s="71" t="e">
        <f t="shared" si="31"/>
        <v>#DIV/0!</v>
      </c>
      <c r="AV61" s="71" t="e">
        <f t="shared" si="31"/>
        <v>#DIV/0!</v>
      </c>
      <c r="AW61" s="71" t="e">
        <f t="shared" si="31"/>
        <v>#DIV/0!</v>
      </c>
      <c r="AX61" s="71" t="e">
        <f t="shared" si="31"/>
        <v>#DIV/0!</v>
      </c>
      <c r="AY61" s="71" t="e">
        <f t="shared" si="31"/>
        <v>#DIV/0!</v>
      </c>
      <c r="AZ61" s="71" t="e">
        <f t="shared" si="31"/>
        <v>#DIV/0!</v>
      </c>
      <c r="BA61" s="71" t="e">
        <f t="shared" si="31"/>
        <v>#DIV/0!</v>
      </c>
      <c r="BB61" s="71" t="e">
        <f t="shared" si="31"/>
        <v>#DIV/0!</v>
      </c>
      <c r="BC61" s="93" t="s">
        <v>9</v>
      </c>
      <c r="BD61" s="66" t="e">
        <f t="shared" ref="BD61:CU61" si="32">AVERAGEIF($E$5:$E$35,$E61,BD$5:BD$35)</f>
        <v>#DIV/0!</v>
      </c>
      <c r="BE61" s="66" t="e">
        <f t="shared" si="32"/>
        <v>#DIV/0!</v>
      </c>
      <c r="BF61" s="66" t="e">
        <f t="shared" si="32"/>
        <v>#DIV/0!</v>
      </c>
      <c r="BG61" s="66" t="e">
        <f t="shared" si="32"/>
        <v>#DIV/0!</v>
      </c>
      <c r="BH61" s="66" t="e">
        <f t="shared" si="32"/>
        <v>#DIV/0!</v>
      </c>
      <c r="BI61" s="66" t="e">
        <f t="shared" si="32"/>
        <v>#DIV/0!</v>
      </c>
      <c r="BJ61" s="66" t="e">
        <f t="shared" si="32"/>
        <v>#DIV/0!</v>
      </c>
      <c r="BK61" s="66" t="e">
        <f t="shared" si="32"/>
        <v>#DIV/0!</v>
      </c>
      <c r="BL61" s="66" t="e">
        <f t="shared" si="32"/>
        <v>#DIV/0!</v>
      </c>
      <c r="BM61" s="66" t="e">
        <f t="shared" si="32"/>
        <v>#DIV/0!</v>
      </c>
      <c r="BN61" s="66" t="e">
        <f t="shared" si="32"/>
        <v>#DIV/0!</v>
      </c>
      <c r="BO61" s="66" t="e">
        <f t="shared" si="32"/>
        <v>#DIV/0!</v>
      </c>
      <c r="BP61" s="66" t="e">
        <f t="shared" si="32"/>
        <v>#DIV/0!</v>
      </c>
      <c r="BQ61" s="66" t="e">
        <f t="shared" si="32"/>
        <v>#DIV/0!</v>
      </c>
      <c r="BR61" s="66" t="e">
        <f t="shared" si="32"/>
        <v>#DIV/0!</v>
      </c>
      <c r="BS61" s="66" t="e">
        <f t="shared" si="32"/>
        <v>#DIV/0!</v>
      </c>
      <c r="BT61" s="66" t="e">
        <f t="shared" si="32"/>
        <v>#DIV/0!</v>
      </c>
      <c r="BU61" s="66" t="e">
        <f t="shared" si="32"/>
        <v>#DIV/0!</v>
      </c>
      <c r="BV61" s="66" t="e">
        <f t="shared" si="32"/>
        <v>#DIV/0!</v>
      </c>
      <c r="BW61" s="66" t="e">
        <f t="shared" si="32"/>
        <v>#DIV/0!</v>
      </c>
      <c r="BX61" s="66" t="e">
        <f t="shared" si="32"/>
        <v>#DIV/0!</v>
      </c>
      <c r="BY61" s="66" t="e">
        <f t="shared" si="32"/>
        <v>#DIV/0!</v>
      </c>
      <c r="BZ61" s="66" t="e">
        <f t="shared" si="32"/>
        <v>#DIV/0!</v>
      </c>
      <c r="CA61" s="66" t="e">
        <f t="shared" si="32"/>
        <v>#DIV/0!</v>
      </c>
      <c r="CB61" s="66" t="e">
        <f t="shared" si="32"/>
        <v>#DIV/0!</v>
      </c>
      <c r="CC61" s="66" t="e">
        <f t="shared" si="32"/>
        <v>#DIV/0!</v>
      </c>
      <c r="CD61" s="66" t="e">
        <f t="shared" si="32"/>
        <v>#DIV/0!</v>
      </c>
      <c r="CE61" s="66" t="e">
        <f t="shared" si="32"/>
        <v>#DIV/0!</v>
      </c>
      <c r="CF61" s="66" t="e">
        <f t="shared" si="32"/>
        <v>#DIV/0!</v>
      </c>
      <c r="CG61" s="66" t="e">
        <f t="shared" si="32"/>
        <v>#DIV/0!</v>
      </c>
      <c r="CH61" s="66" t="e">
        <f t="shared" si="32"/>
        <v>#DIV/0!</v>
      </c>
      <c r="CI61" s="66" t="e">
        <f t="shared" si="32"/>
        <v>#DIV/0!</v>
      </c>
      <c r="CJ61" s="66" t="e">
        <f t="shared" si="32"/>
        <v>#DIV/0!</v>
      </c>
      <c r="CK61" s="66" t="e">
        <f t="shared" si="32"/>
        <v>#DIV/0!</v>
      </c>
      <c r="CL61" s="66" t="e">
        <f t="shared" si="32"/>
        <v>#DIV/0!</v>
      </c>
      <c r="CM61" s="66" t="e">
        <f t="shared" si="32"/>
        <v>#DIV/0!</v>
      </c>
      <c r="CN61" s="66" t="e">
        <f t="shared" si="32"/>
        <v>#DIV/0!</v>
      </c>
      <c r="CO61" s="66" t="e">
        <f t="shared" si="32"/>
        <v>#DIV/0!</v>
      </c>
      <c r="CP61" s="66" t="e">
        <f t="shared" si="32"/>
        <v>#DIV/0!</v>
      </c>
      <c r="CQ61" s="66" t="e">
        <f t="shared" si="32"/>
        <v>#DIV/0!</v>
      </c>
      <c r="CR61" s="66" t="e">
        <f t="shared" si="32"/>
        <v>#DIV/0!</v>
      </c>
      <c r="CS61" s="66" t="e">
        <f t="shared" si="32"/>
        <v>#DIV/0!</v>
      </c>
      <c r="CT61" s="66" t="e">
        <f t="shared" si="32"/>
        <v>#DIV/0!</v>
      </c>
      <c r="CU61" s="66" t="e">
        <f t="shared" si="32"/>
        <v>#DIV/0!</v>
      </c>
      <c r="CV61" s="69"/>
    </row>
    <row r="62" spans="1:100" ht="14.25" customHeight="1">
      <c r="A62" s="103"/>
      <c r="E62" s="83"/>
      <c r="H62" s="83"/>
      <c r="I62" s="277" t="e">
        <f t="array" ref="I62">_xlfn.STDEV.P(IF($E$5:$E$35=$E61,I$5:I$35))</f>
        <v>#DIV/0!</v>
      </c>
      <c r="J62" s="65" t="s">
        <v>11</v>
      </c>
      <c r="K62" s="74" t="e">
        <f t="array" ref="K62">_xlfn.STDEV.P(IF($E$5:$E$35=$E61,K$5:K$35))</f>
        <v>#DIV/0!</v>
      </c>
      <c r="L62" s="74" t="e">
        <f t="array" ref="L62">_xlfn.STDEV.P(IF($E$5:$E$35=$E61,L$5:L$35))</f>
        <v>#DIV/0!</v>
      </c>
      <c r="M62" s="74" t="e">
        <f t="array" ref="M62">_xlfn.STDEV.P(IF($E$5:$E$35=$E61,M$5:M$35))</f>
        <v>#DIV/0!</v>
      </c>
      <c r="N62" s="74" t="e">
        <f t="array" ref="N62">_xlfn.STDEV.P(IF($E$5:$E$35=$E61,N$5:N$35))</f>
        <v>#DIV/0!</v>
      </c>
      <c r="O62" s="74" t="e">
        <f t="array" ref="O62">_xlfn.STDEV.P(IF($E$5:$E$35=$E61,O$5:O$35))</f>
        <v>#DIV/0!</v>
      </c>
      <c r="P62" s="74" t="e">
        <f t="array" ref="P62">_xlfn.STDEV.P(IF($E$5:$E$35=$E61,P$5:P$35))</f>
        <v>#DIV/0!</v>
      </c>
      <c r="Q62" s="74" t="e">
        <f t="array" ref="Q62">_xlfn.STDEV.P(IF($E$5:$E$35=$E61,Q$5:Q$35))</f>
        <v>#DIV/0!</v>
      </c>
      <c r="R62" s="74" t="e">
        <f t="array" ref="R62">_xlfn.STDEV.P(IF($E$5:$E$35=$E61,R$5:R$35))</f>
        <v>#DIV/0!</v>
      </c>
      <c r="S62" s="74" t="e">
        <f t="array" ref="S62">_xlfn.STDEV.P(IF($E$5:$E$35=$E61,S$5:S$35))</f>
        <v>#DIV/0!</v>
      </c>
      <c r="T62" s="74" t="e">
        <f t="array" ref="T62">_xlfn.STDEV.P(IF($E$5:$E$35=$E61,T$5:T$35))</f>
        <v>#DIV/0!</v>
      </c>
      <c r="U62" s="74" t="e">
        <f t="array" ref="U62">_xlfn.STDEV.P(IF($E$5:$E$35=$E61,U$5:U$35))</f>
        <v>#DIV/0!</v>
      </c>
      <c r="V62" s="74" t="e">
        <f t="array" ref="V62">_xlfn.STDEV.P(IF($E$5:$E$35=$E61,V$5:V$35))</f>
        <v>#DIV/0!</v>
      </c>
      <c r="W62" s="74" t="e">
        <f t="array" ref="W62">_xlfn.STDEV.P(IF($E$5:$E$35=$E61,W$5:W$35))</f>
        <v>#DIV/0!</v>
      </c>
      <c r="X62" s="74" t="e">
        <f t="array" ref="X62">_xlfn.STDEV.P(IF($E$5:$E$35=$E61,X$5:X$35))</f>
        <v>#DIV/0!</v>
      </c>
      <c r="Y62" s="74" t="e">
        <f t="array" ref="Y62">_xlfn.STDEV.P(IF($E$5:$E$35=$E61,Y$5:Y$35))</f>
        <v>#DIV/0!</v>
      </c>
      <c r="Z62" s="74" t="e">
        <f t="array" ref="Z62">_xlfn.STDEV.P(IF($E$5:$E$35=$E61,Z$5:Z$35))</f>
        <v>#DIV/0!</v>
      </c>
      <c r="AA62" s="74" t="e">
        <f t="array" ref="AA62">_xlfn.STDEV.P(IF($E$5:$E$35=$E61,AA$5:AA$35))</f>
        <v>#DIV/0!</v>
      </c>
      <c r="AB62" s="74" t="e">
        <f t="array" ref="AB62">_xlfn.STDEV.P(IF($E$5:$E$35=$E61,AB$5:AB$35))</f>
        <v>#DIV/0!</v>
      </c>
      <c r="AC62" s="74" t="e">
        <f t="array" ref="AC62">_xlfn.STDEV.P(IF($E$5:$E$35=$E61,AC$5:AC$35))</f>
        <v>#DIV/0!</v>
      </c>
      <c r="AD62" s="74" t="e">
        <f t="array" ref="AD62">_xlfn.STDEV.P(IF($E$5:$E$35=$E61,AD$5:AD$35))</f>
        <v>#DIV/0!</v>
      </c>
      <c r="AE62" s="74" t="e">
        <f t="array" ref="AE62">_xlfn.STDEV.P(IF($E$5:$E$35=$E61,AE$5:AE$35))</f>
        <v>#DIV/0!</v>
      </c>
      <c r="AF62" s="74" t="e">
        <f t="array" ref="AF62">_xlfn.STDEV.P(IF($E$5:$E$35=$E61,AF$5:AF$35))</f>
        <v>#DIV/0!</v>
      </c>
      <c r="AG62" s="74" t="e">
        <f t="array" ref="AG62">_xlfn.STDEV.P(IF($E$5:$E$35=$E61,AG$5:AG$35))</f>
        <v>#DIV/0!</v>
      </c>
      <c r="AH62" s="74" t="e">
        <f t="array" ref="AH62">_xlfn.STDEV.P(IF($E$5:$E$35=$E61,AH$5:AH$35))</f>
        <v>#DIV/0!</v>
      </c>
      <c r="AI62" s="74" t="e">
        <f t="array" ref="AI62">_xlfn.STDEV.P(IF($E$5:$E$35=$E61,AI$5:AI$35))</f>
        <v>#DIV/0!</v>
      </c>
      <c r="AJ62" s="74" t="e">
        <f t="array" ref="AJ62">_xlfn.STDEV.P(IF($E$5:$E$35=$E61,AJ$5:AJ$35))</f>
        <v>#DIV/0!</v>
      </c>
      <c r="AK62" s="74" t="e">
        <f t="array" ref="AK62">_xlfn.STDEV.P(IF($E$5:$E$35=$E61,AK$5:AK$35))</f>
        <v>#DIV/0!</v>
      </c>
      <c r="AL62" s="74" t="e">
        <f t="array" ref="AL62">_xlfn.STDEV.P(IF($E$5:$E$35=$E61,AL$5:AL$35))</f>
        <v>#DIV/0!</v>
      </c>
      <c r="AM62" s="74" t="e">
        <f t="array" ref="AM62">_xlfn.STDEV.P(IF($E$5:$E$35=$E61,AM$5:AM$35))</f>
        <v>#DIV/0!</v>
      </c>
      <c r="AN62" s="74" t="e">
        <f t="array" ref="AN62">_xlfn.STDEV.P(IF($E$5:$E$35=$E61,AN$5:AN$35))</f>
        <v>#DIV/0!</v>
      </c>
      <c r="AO62" s="74" t="e">
        <f t="array" ref="AO62">_xlfn.STDEV.P(IF($E$5:$E$35=$E61,AO$5:AO$35))</f>
        <v>#DIV/0!</v>
      </c>
      <c r="AP62" s="74" t="e">
        <f t="array" ref="AP62">_xlfn.STDEV.P(IF($E$5:$E$35=$E61,AP$5:AP$35))</f>
        <v>#DIV/0!</v>
      </c>
      <c r="AQ62" s="74" t="e">
        <f t="array" ref="AQ62">_xlfn.STDEV.P(IF($E$5:$E$35=$E61,AQ$5:AQ$35))</f>
        <v>#DIV/0!</v>
      </c>
      <c r="AR62" s="74" t="e">
        <f t="array" ref="AR62">_xlfn.STDEV.P(IF($E$5:$E$35=$E61,AR$5:AR$35))</f>
        <v>#DIV/0!</v>
      </c>
      <c r="AS62" s="74" t="e">
        <f t="array" ref="AS62">_xlfn.STDEV.P(IF($E$5:$E$35=$E61,AS$5:AS$35))</f>
        <v>#DIV/0!</v>
      </c>
      <c r="AT62" s="74" t="e">
        <f t="array" ref="AT62">_xlfn.STDEV.P(IF($E$5:$E$35=$E61,AT$5:AT$35))</f>
        <v>#DIV/0!</v>
      </c>
      <c r="AU62" s="74" t="e">
        <f t="array" ref="AU62">_xlfn.STDEV.P(IF($E$5:$E$35=$E61,AU$5:AU$35))</f>
        <v>#DIV/0!</v>
      </c>
      <c r="AV62" s="74" t="e">
        <f t="array" ref="AV62">_xlfn.STDEV.P(IF($E$5:$E$35=$E61,AV$5:AV$35))</f>
        <v>#DIV/0!</v>
      </c>
      <c r="AW62" s="74" t="e">
        <f t="array" ref="AW62">_xlfn.STDEV.P(IF($E$5:$E$35=$E61,AW$5:AW$35))</f>
        <v>#DIV/0!</v>
      </c>
      <c r="AX62" s="74" t="e">
        <f t="array" ref="AX62">_xlfn.STDEV.P(IF($E$5:$E$35=$E61,AX$5:AX$35))</f>
        <v>#DIV/0!</v>
      </c>
      <c r="AY62" s="74" t="e">
        <f t="array" ref="AY62">_xlfn.STDEV.P(IF($E$5:$E$35=$E61,AY$5:AY$35))</f>
        <v>#DIV/0!</v>
      </c>
      <c r="AZ62" s="74" t="e">
        <f t="array" ref="AZ62">_xlfn.STDEV.P(IF($E$5:$E$35=$E61,AZ$5:AZ$35))</f>
        <v>#DIV/0!</v>
      </c>
      <c r="BA62" s="74" t="e">
        <f t="array" ref="BA62">_xlfn.STDEV.P(IF($E$5:$E$35=$E61,BA$5:BA$35))</f>
        <v>#DIV/0!</v>
      </c>
      <c r="BB62" s="74" t="e">
        <f t="array" ref="BB62">_xlfn.STDEV.P(IF($E$5:$E$35=$E61,BB$5:BB$35))</f>
        <v>#DIV/0!</v>
      </c>
      <c r="BC62" s="94" t="s">
        <v>11</v>
      </c>
      <c r="BD62" s="67" t="e">
        <f t="array" ref="BD62">_xlfn.STDEV.P(IF($E$5:$E$35=$E61,BD$5:BD$35))</f>
        <v>#DIV/0!</v>
      </c>
      <c r="BE62" s="67" t="e">
        <f t="array" ref="BE62">_xlfn.STDEV.P(IF($E$5:$E$35=$E61,BE$5:BE$35))</f>
        <v>#DIV/0!</v>
      </c>
      <c r="BF62" s="67" t="e">
        <f t="array" ref="BF62">_xlfn.STDEV.P(IF($E$5:$E$35=$E61,BF$5:BF$35))</f>
        <v>#DIV/0!</v>
      </c>
      <c r="BG62" s="67" t="e">
        <f t="array" ref="BG62">_xlfn.STDEV.P(IF($E$5:$E$35=$E61,BG$5:BG$35))</f>
        <v>#DIV/0!</v>
      </c>
      <c r="BH62" s="67" t="e">
        <f t="array" ref="BH62">_xlfn.STDEV.P(IF($E$5:$E$35=$E61,BH$5:BH$35))</f>
        <v>#DIV/0!</v>
      </c>
      <c r="BI62" s="67" t="e">
        <f t="array" ref="BI62">_xlfn.STDEV.P(IF($E$5:$E$35=$E61,BI$5:BI$35))</f>
        <v>#DIV/0!</v>
      </c>
      <c r="BJ62" s="67" t="e">
        <f t="array" ref="BJ62">_xlfn.STDEV.P(IF($E$5:$E$35=$E61,BJ$5:BJ$35))</f>
        <v>#DIV/0!</v>
      </c>
      <c r="BK62" s="67" t="e">
        <f t="array" ref="BK62">_xlfn.STDEV.P(IF($E$5:$E$35=$E61,BK$5:BK$35))</f>
        <v>#DIV/0!</v>
      </c>
      <c r="BL62" s="67" t="e">
        <f t="array" ref="BL62">_xlfn.STDEV.P(IF($E$5:$E$35=$E61,BL$5:BL$35))</f>
        <v>#DIV/0!</v>
      </c>
      <c r="BM62" s="67" t="e">
        <f t="array" ref="BM62">_xlfn.STDEV.P(IF($E$5:$E$35=$E61,BM$5:BM$35))</f>
        <v>#DIV/0!</v>
      </c>
      <c r="BN62" s="67" t="e">
        <f t="array" ref="BN62">_xlfn.STDEV.P(IF($E$5:$E$35=$E61,BN$5:BN$35))</f>
        <v>#DIV/0!</v>
      </c>
      <c r="BO62" s="67" t="e">
        <f t="array" ref="BO62">_xlfn.STDEV.P(IF($E$5:$E$35=$E61,BO$5:BO$35))</f>
        <v>#DIV/0!</v>
      </c>
      <c r="BP62" s="67" t="e">
        <f t="array" ref="BP62">_xlfn.STDEV.P(IF($E$5:$E$35=$E61,BP$5:BP$35))</f>
        <v>#DIV/0!</v>
      </c>
      <c r="BQ62" s="67" t="e">
        <f t="array" ref="BQ62">_xlfn.STDEV.P(IF($E$5:$E$35=$E61,BQ$5:BQ$35))</f>
        <v>#DIV/0!</v>
      </c>
      <c r="BR62" s="67" t="e">
        <f t="array" ref="BR62">_xlfn.STDEV.P(IF($E$5:$E$35=$E61,BR$5:BR$35))</f>
        <v>#DIV/0!</v>
      </c>
      <c r="BS62" s="67" t="e">
        <f t="array" ref="BS62">_xlfn.STDEV.P(IF($E$5:$E$35=$E61,BS$5:BS$35))</f>
        <v>#DIV/0!</v>
      </c>
      <c r="BT62" s="67" t="e">
        <f t="array" ref="BT62">_xlfn.STDEV.P(IF($E$5:$E$35=$E61,BT$5:BT$35))</f>
        <v>#DIV/0!</v>
      </c>
      <c r="BU62" s="67" t="e">
        <f t="array" ref="BU62">_xlfn.STDEV.P(IF($E$5:$E$35=$E61,BU$5:BU$35))</f>
        <v>#DIV/0!</v>
      </c>
      <c r="BV62" s="67" t="e">
        <f t="array" ref="BV62">_xlfn.STDEV.P(IF($E$5:$E$35=$E61,BV$5:BV$35))</f>
        <v>#DIV/0!</v>
      </c>
      <c r="BW62" s="67" t="e">
        <f t="array" ref="BW62">_xlfn.STDEV.P(IF($E$5:$E$35=$E61,BW$5:BW$35))</f>
        <v>#DIV/0!</v>
      </c>
      <c r="BX62" s="67" t="e">
        <f t="array" ref="BX62">_xlfn.STDEV.P(IF($E$5:$E$35=$E61,BX$5:BX$35))</f>
        <v>#DIV/0!</v>
      </c>
      <c r="BY62" s="67" t="e">
        <f t="array" ref="BY62">_xlfn.STDEV.P(IF($E$5:$E$35=$E61,BY$5:BY$35))</f>
        <v>#DIV/0!</v>
      </c>
      <c r="BZ62" s="67" t="e">
        <f t="array" ref="BZ62">_xlfn.STDEV.P(IF($E$5:$E$35=$E61,BZ$5:BZ$35))</f>
        <v>#DIV/0!</v>
      </c>
      <c r="CA62" s="67" t="e">
        <f t="array" ref="CA62">_xlfn.STDEV.P(IF($E$5:$E$35=$E61,CA$5:CA$35))</f>
        <v>#DIV/0!</v>
      </c>
      <c r="CB62" s="67" t="e">
        <f t="array" ref="CB62">_xlfn.STDEV.P(IF($E$5:$E$35=$E61,CB$5:CB$35))</f>
        <v>#DIV/0!</v>
      </c>
      <c r="CC62" s="67" t="e">
        <f t="array" ref="CC62">_xlfn.STDEV.P(IF($E$5:$E$35=$E61,CC$5:CC$35))</f>
        <v>#DIV/0!</v>
      </c>
      <c r="CD62" s="67" t="e">
        <f t="array" ref="CD62">_xlfn.STDEV.P(IF($E$5:$E$35=$E61,CD$5:CD$35))</f>
        <v>#DIV/0!</v>
      </c>
      <c r="CE62" s="67" t="e">
        <f t="array" ref="CE62">_xlfn.STDEV.P(IF($E$5:$E$35=$E61,CE$5:CE$35))</f>
        <v>#DIV/0!</v>
      </c>
      <c r="CF62" s="67" t="e">
        <f t="array" ref="CF62">_xlfn.STDEV.P(IF($E$5:$E$35=$E61,CF$5:CF$35))</f>
        <v>#DIV/0!</v>
      </c>
      <c r="CG62" s="67" t="e">
        <f t="array" ref="CG62">_xlfn.STDEV.P(IF($E$5:$E$35=$E61,CG$5:CG$35))</f>
        <v>#DIV/0!</v>
      </c>
      <c r="CH62" s="67" t="e">
        <f t="array" ref="CH62">_xlfn.STDEV.P(IF($E$5:$E$35=$E61,CH$5:CH$35))</f>
        <v>#DIV/0!</v>
      </c>
      <c r="CI62" s="67" t="e">
        <f t="array" ref="CI62">_xlfn.STDEV.P(IF($E$5:$E$35=$E61,CI$5:CI$35))</f>
        <v>#DIV/0!</v>
      </c>
      <c r="CJ62" s="67" t="e">
        <f t="array" ref="CJ62">_xlfn.STDEV.P(IF($E$5:$E$35=$E61,CJ$5:CJ$35))</f>
        <v>#DIV/0!</v>
      </c>
      <c r="CK62" s="67" t="e">
        <f t="array" ref="CK62">_xlfn.STDEV.P(IF($E$5:$E$35=$E61,CK$5:CK$35))</f>
        <v>#DIV/0!</v>
      </c>
      <c r="CL62" s="67" t="e">
        <f t="array" ref="CL62">_xlfn.STDEV.P(IF($E$5:$E$35=$E61,CL$5:CL$35))</f>
        <v>#DIV/0!</v>
      </c>
      <c r="CM62" s="67" t="e">
        <f t="array" ref="CM62">_xlfn.STDEV.P(IF($E$5:$E$35=$E61,CM$5:CM$35))</f>
        <v>#DIV/0!</v>
      </c>
      <c r="CN62" s="67" t="e">
        <f t="array" ref="CN62">_xlfn.STDEV.P(IF($E$5:$E$35=$E61,CN$5:CN$35))</f>
        <v>#DIV/0!</v>
      </c>
      <c r="CO62" s="67" t="e">
        <f t="array" ref="CO62">_xlfn.STDEV.P(IF($E$5:$E$35=$E61,CO$5:CO$35))</f>
        <v>#DIV/0!</v>
      </c>
      <c r="CP62" s="67" t="e">
        <f t="array" ref="CP62">_xlfn.STDEV.P(IF($E$5:$E$35=$E61,CP$5:CP$35))</f>
        <v>#DIV/0!</v>
      </c>
      <c r="CQ62" s="67" t="e">
        <f t="array" ref="CQ62">_xlfn.STDEV.P(IF($E$5:$E$35=$E61,CQ$5:CQ$35))</f>
        <v>#DIV/0!</v>
      </c>
      <c r="CR62" s="67" t="e">
        <f t="array" ref="CR62">_xlfn.STDEV.P(IF($E$5:$E$35=$E61,CR$5:CR$35))</f>
        <v>#DIV/0!</v>
      </c>
      <c r="CS62" s="67" t="e">
        <f t="array" ref="CS62">_xlfn.STDEV.P(IF($E$5:$E$35=$E61,CS$5:CS$35))</f>
        <v>#DIV/0!</v>
      </c>
      <c r="CT62" s="67" t="e">
        <f t="array" ref="CT62">_xlfn.STDEV.P(IF($E$5:$E$35=$E61,CT$5:CT$35))</f>
        <v>#DIV/0!</v>
      </c>
      <c r="CU62" s="67" t="e">
        <f t="array" ref="CU62">_xlfn.STDEV.P(IF($E$5:$E$35=$E61,CU$5:CU$35))</f>
        <v>#DIV/0!</v>
      </c>
      <c r="CV62" s="69"/>
    </row>
    <row r="63" spans="1:100" ht="15">
      <c r="A63" s="103"/>
      <c r="E63" s="45"/>
      <c r="H63" s="45"/>
    </row>
    <row r="64" spans="1:100" ht="14.25" customHeight="1">
      <c r="A64" s="103"/>
      <c r="E64" s="108" t="str">
        <f>'5GY EBRT Groups'!C14</f>
        <v>Group 9</v>
      </c>
      <c r="H64" s="108" t="str">
        <f>E64</f>
        <v>Group 9</v>
      </c>
      <c r="I64" s="277" t="e">
        <f>AVERAGEIF($E$5:$E$35,$E64,I$5:I$35)</f>
        <v>#DIV/0!</v>
      </c>
      <c r="J64" s="65" t="s">
        <v>9</v>
      </c>
      <c r="K64" s="71" t="e">
        <f t="shared" ref="K64:BB64" si="33">AVERAGEIF($E$5:$E$35,$E64,K$5:K$35)</f>
        <v>#DIV/0!</v>
      </c>
      <c r="L64" s="71" t="e">
        <f t="shared" si="33"/>
        <v>#DIV/0!</v>
      </c>
      <c r="M64" s="71" t="e">
        <f t="shared" si="33"/>
        <v>#DIV/0!</v>
      </c>
      <c r="N64" s="71" t="e">
        <f t="shared" si="33"/>
        <v>#DIV/0!</v>
      </c>
      <c r="O64" s="71" t="e">
        <f t="shared" si="33"/>
        <v>#DIV/0!</v>
      </c>
      <c r="P64" s="71" t="e">
        <f t="shared" si="33"/>
        <v>#DIV/0!</v>
      </c>
      <c r="Q64" s="71" t="e">
        <f t="shared" si="33"/>
        <v>#DIV/0!</v>
      </c>
      <c r="R64" s="71" t="e">
        <f t="shared" si="33"/>
        <v>#DIV/0!</v>
      </c>
      <c r="S64" s="71" t="e">
        <f t="shared" si="33"/>
        <v>#DIV/0!</v>
      </c>
      <c r="T64" s="71" t="e">
        <f t="shared" si="33"/>
        <v>#DIV/0!</v>
      </c>
      <c r="U64" s="71" t="e">
        <f t="shared" si="33"/>
        <v>#DIV/0!</v>
      </c>
      <c r="V64" s="71" t="e">
        <f t="shared" si="33"/>
        <v>#DIV/0!</v>
      </c>
      <c r="W64" s="71" t="e">
        <f t="shared" si="33"/>
        <v>#DIV/0!</v>
      </c>
      <c r="X64" s="71" t="e">
        <f t="shared" si="33"/>
        <v>#DIV/0!</v>
      </c>
      <c r="Y64" s="71" t="e">
        <f t="shared" si="33"/>
        <v>#DIV/0!</v>
      </c>
      <c r="Z64" s="71" t="e">
        <f t="shared" si="33"/>
        <v>#DIV/0!</v>
      </c>
      <c r="AA64" s="71" t="e">
        <f t="shared" si="33"/>
        <v>#DIV/0!</v>
      </c>
      <c r="AB64" s="71" t="e">
        <f t="shared" si="33"/>
        <v>#DIV/0!</v>
      </c>
      <c r="AC64" s="71" t="e">
        <f t="shared" si="33"/>
        <v>#DIV/0!</v>
      </c>
      <c r="AD64" s="71" t="e">
        <f t="shared" si="33"/>
        <v>#DIV/0!</v>
      </c>
      <c r="AE64" s="71" t="e">
        <f t="shared" si="33"/>
        <v>#DIV/0!</v>
      </c>
      <c r="AF64" s="71" t="e">
        <f t="shared" si="33"/>
        <v>#DIV/0!</v>
      </c>
      <c r="AG64" s="71" t="e">
        <f t="shared" si="33"/>
        <v>#DIV/0!</v>
      </c>
      <c r="AH64" s="71" t="e">
        <f t="shared" si="33"/>
        <v>#DIV/0!</v>
      </c>
      <c r="AI64" s="71" t="e">
        <f t="shared" si="33"/>
        <v>#DIV/0!</v>
      </c>
      <c r="AJ64" s="71" t="e">
        <f t="shared" si="33"/>
        <v>#DIV/0!</v>
      </c>
      <c r="AK64" s="71" t="e">
        <f t="shared" si="33"/>
        <v>#DIV/0!</v>
      </c>
      <c r="AL64" s="71" t="e">
        <f t="shared" si="33"/>
        <v>#DIV/0!</v>
      </c>
      <c r="AM64" s="71" t="e">
        <f t="shared" si="33"/>
        <v>#DIV/0!</v>
      </c>
      <c r="AN64" s="71" t="e">
        <f t="shared" si="33"/>
        <v>#DIV/0!</v>
      </c>
      <c r="AO64" s="71" t="e">
        <f t="shared" si="33"/>
        <v>#DIV/0!</v>
      </c>
      <c r="AP64" s="71" t="e">
        <f t="shared" si="33"/>
        <v>#DIV/0!</v>
      </c>
      <c r="AQ64" s="71" t="e">
        <f t="shared" si="33"/>
        <v>#DIV/0!</v>
      </c>
      <c r="AR64" s="71" t="e">
        <f t="shared" si="33"/>
        <v>#DIV/0!</v>
      </c>
      <c r="AS64" s="71" t="e">
        <f t="shared" si="33"/>
        <v>#DIV/0!</v>
      </c>
      <c r="AT64" s="71" t="e">
        <f t="shared" si="33"/>
        <v>#DIV/0!</v>
      </c>
      <c r="AU64" s="71" t="e">
        <f t="shared" si="33"/>
        <v>#DIV/0!</v>
      </c>
      <c r="AV64" s="71" t="e">
        <f t="shared" si="33"/>
        <v>#DIV/0!</v>
      </c>
      <c r="AW64" s="71" t="e">
        <f t="shared" si="33"/>
        <v>#DIV/0!</v>
      </c>
      <c r="AX64" s="71" t="e">
        <f t="shared" si="33"/>
        <v>#DIV/0!</v>
      </c>
      <c r="AY64" s="71" t="e">
        <f t="shared" si="33"/>
        <v>#DIV/0!</v>
      </c>
      <c r="AZ64" s="71" t="e">
        <f t="shared" si="33"/>
        <v>#DIV/0!</v>
      </c>
      <c r="BA64" s="71" t="e">
        <f t="shared" si="33"/>
        <v>#DIV/0!</v>
      </c>
      <c r="BB64" s="71" t="e">
        <f t="shared" si="33"/>
        <v>#DIV/0!</v>
      </c>
      <c r="BC64" s="93" t="s">
        <v>9</v>
      </c>
      <c r="BD64" s="66" t="e">
        <f t="shared" ref="BD64:CU64" si="34">AVERAGEIF($E$5:$E$35,$E64,BD$5:BD$35)</f>
        <v>#DIV/0!</v>
      </c>
      <c r="BE64" s="66" t="e">
        <f t="shared" si="34"/>
        <v>#DIV/0!</v>
      </c>
      <c r="BF64" s="66" t="e">
        <f t="shared" si="34"/>
        <v>#DIV/0!</v>
      </c>
      <c r="BG64" s="66" t="e">
        <f t="shared" si="34"/>
        <v>#DIV/0!</v>
      </c>
      <c r="BH64" s="66" t="e">
        <f t="shared" si="34"/>
        <v>#DIV/0!</v>
      </c>
      <c r="BI64" s="66" t="e">
        <f t="shared" si="34"/>
        <v>#DIV/0!</v>
      </c>
      <c r="BJ64" s="66" t="e">
        <f t="shared" si="34"/>
        <v>#DIV/0!</v>
      </c>
      <c r="BK64" s="66" t="e">
        <f t="shared" si="34"/>
        <v>#DIV/0!</v>
      </c>
      <c r="BL64" s="66" t="e">
        <f t="shared" si="34"/>
        <v>#DIV/0!</v>
      </c>
      <c r="BM64" s="66" t="e">
        <f t="shared" si="34"/>
        <v>#DIV/0!</v>
      </c>
      <c r="BN64" s="66" t="e">
        <f t="shared" si="34"/>
        <v>#DIV/0!</v>
      </c>
      <c r="BO64" s="66" t="e">
        <f t="shared" si="34"/>
        <v>#DIV/0!</v>
      </c>
      <c r="BP64" s="66" t="e">
        <f t="shared" si="34"/>
        <v>#DIV/0!</v>
      </c>
      <c r="BQ64" s="66" t="e">
        <f t="shared" si="34"/>
        <v>#DIV/0!</v>
      </c>
      <c r="BR64" s="66" t="e">
        <f t="shared" si="34"/>
        <v>#DIV/0!</v>
      </c>
      <c r="BS64" s="66" t="e">
        <f t="shared" si="34"/>
        <v>#DIV/0!</v>
      </c>
      <c r="BT64" s="66" t="e">
        <f t="shared" si="34"/>
        <v>#DIV/0!</v>
      </c>
      <c r="BU64" s="66" t="e">
        <f t="shared" si="34"/>
        <v>#DIV/0!</v>
      </c>
      <c r="BV64" s="66" t="e">
        <f t="shared" si="34"/>
        <v>#DIV/0!</v>
      </c>
      <c r="BW64" s="66" t="e">
        <f t="shared" si="34"/>
        <v>#DIV/0!</v>
      </c>
      <c r="BX64" s="66" t="e">
        <f t="shared" si="34"/>
        <v>#DIV/0!</v>
      </c>
      <c r="BY64" s="66" t="e">
        <f t="shared" si="34"/>
        <v>#DIV/0!</v>
      </c>
      <c r="BZ64" s="66" t="e">
        <f t="shared" si="34"/>
        <v>#DIV/0!</v>
      </c>
      <c r="CA64" s="66" t="e">
        <f t="shared" si="34"/>
        <v>#DIV/0!</v>
      </c>
      <c r="CB64" s="66" t="e">
        <f t="shared" si="34"/>
        <v>#DIV/0!</v>
      </c>
      <c r="CC64" s="66" t="e">
        <f t="shared" si="34"/>
        <v>#DIV/0!</v>
      </c>
      <c r="CD64" s="66" t="e">
        <f t="shared" si="34"/>
        <v>#DIV/0!</v>
      </c>
      <c r="CE64" s="66" t="e">
        <f t="shared" si="34"/>
        <v>#DIV/0!</v>
      </c>
      <c r="CF64" s="66" t="e">
        <f t="shared" si="34"/>
        <v>#DIV/0!</v>
      </c>
      <c r="CG64" s="66" t="e">
        <f t="shared" si="34"/>
        <v>#DIV/0!</v>
      </c>
      <c r="CH64" s="66" t="e">
        <f t="shared" si="34"/>
        <v>#DIV/0!</v>
      </c>
      <c r="CI64" s="66" t="e">
        <f t="shared" si="34"/>
        <v>#DIV/0!</v>
      </c>
      <c r="CJ64" s="66" t="e">
        <f t="shared" si="34"/>
        <v>#DIV/0!</v>
      </c>
      <c r="CK64" s="66" t="e">
        <f t="shared" si="34"/>
        <v>#DIV/0!</v>
      </c>
      <c r="CL64" s="66" t="e">
        <f t="shared" si="34"/>
        <v>#DIV/0!</v>
      </c>
      <c r="CM64" s="66" t="e">
        <f t="shared" si="34"/>
        <v>#DIV/0!</v>
      </c>
      <c r="CN64" s="66" t="e">
        <f t="shared" si="34"/>
        <v>#DIV/0!</v>
      </c>
      <c r="CO64" s="66" t="e">
        <f t="shared" si="34"/>
        <v>#DIV/0!</v>
      </c>
      <c r="CP64" s="66" t="e">
        <f t="shared" si="34"/>
        <v>#DIV/0!</v>
      </c>
      <c r="CQ64" s="66" t="e">
        <f t="shared" si="34"/>
        <v>#DIV/0!</v>
      </c>
      <c r="CR64" s="66" t="e">
        <f t="shared" si="34"/>
        <v>#DIV/0!</v>
      </c>
      <c r="CS64" s="66" t="e">
        <f t="shared" si="34"/>
        <v>#DIV/0!</v>
      </c>
      <c r="CT64" s="66" t="e">
        <f t="shared" si="34"/>
        <v>#DIV/0!</v>
      </c>
      <c r="CU64" s="66" t="e">
        <f t="shared" si="34"/>
        <v>#DIV/0!</v>
      </c>
      <c r="CV64" s="69"/>
    </row>
    <row r="65" spans="1:100" ht="14.25" customHeight="1">
      <c r="A65" s="103"/>
      <c r="E65" s="108"/>
      <c r="H65" s="83"/>
      <c r="I65" s="277" t="e">
        <f t="array" ref="I65">_xlfn.STDEV.P(IF($E$5:$E$35=$E64,I$5:I$35))</f>
        <v>#DIV/0!</v>
      </c>
      <c r="J65" s="65" t="s">
        <v>11</v>
      </c>
      <c r="K65" s="74" t="e">
        <f t="array" ref="K65">_xlfn.STDEV.P(IF($E$5:$E$35=$E64,K$5:K$35))</f>
        <v>#DIV/0!</v>
      </c>
      <c r="L65" s="74" t="e">
        <f t="array" ref="L65">_xlfn.STDEV.P(IF($E$5:$E$35=$E64,L$5:L$35))</f>
        <v>#DIV/0!</v>
      </c>
      <c r="M65" s="74" t="e">
        <f t="array" ref="M65">_xlfn.STDEV.P(IF($E$5:$E$35=$E64,M$5:M$35))</f>
        <v>#DIV/0!</v>
      </c>
      <c r="N65" s="74" t="e">
        <f t="array" ref="N65">_xlfn.STDEV.P(IF($E$5:$E$35=$E64,N$5:N$35))</f>
        <v>#DIV/0!</v>
      </c>
      <c r="O65" s="74" t="e">
        <f t="array" ref="O65">_xlfn.STDEV.P(IF($E$5:$E$35=$E64,O$5:O$35))</f>
        <v>#DIV/0!</v>
      </c>
      <c r="P65" s="74" t="e">
        <f t="array" ref="P65">_xlfn.STDEV.P(IF($E$5:$E$35=$E64,P$5:P$35))</f>
        <v>#DIV/0!</v>
      </c>
      <c r="Q65" s="74" t="e">
        <f t="array" ref="Q65">_xlfn.STDEV.P(IF($E$5:$E$35=$E64,Q$5:Q$35))</f>
        <v>#DIV/0!</v>
      </c>
      <c r="R65" s="74" t="e">
        <f t="array" ref="R65">_xlfn.STDEV.P(IF($E$5:$E$35=$E64,R$5:R$35))</f>
        <v>#DIV/0!</v>
      </c>
      <c r="S65" s="74" t="e">
        <f t="array" ref="S65">_xlfn.STDEV.P(IF($E$5:$E$35=$E64,S$5:S$35))</f>
        <v>#DIV/0!</v>
      </c>
      <c r="T65" s="74" t="e">
        <f t="array" ref="T65">_xlfn.STDEV.P(IF($E$5:$E$35=$E64,T$5:T$35))</f>
        <v>#DIV/0!</v>
      </c>
      <c r="U65" s="74" t="e">
        <f t="array" ref="U65">_xlfn.STDEV.P(IF($E$5:$E$35=$E64,U$5:U$35))</f>
        <v>#DIV/0!</v>
      </c>
      <c r="V65" s="74" t="e">
        <f t="array" ref="V65">_xlfn.STDEV.P(IF($E$5:$E$35=$E64,V$5:V$35))</f>
        <v>#DIV/0!</v>
      </c>
      <c r="W65" s="74" t="e">
        <f t="array" ref="W65">_xlfn.STDEV.P(IF($E$5:$E$35=$E64,W$5:W$35))</f>
        <v>#DIV/0!</v>
      </c>
      <c r="X65" s="74" t="e">
        <f t="array" ref="X65">_xlfn.STDEV.P(IF($E$5:$E$35=$E64,X$5:X$35))</f>
        <v>#DIV/0!</v>
      </c>
      <c r="Y65" s="74" t="e">
        <f t="array" ref="Y65">_xlfn.STDEV.P(IF($E$5:$E$35=$E64,Y$5:Y$35))</f>
        <v>#DIV/0!</v>
      </c>
      <c r="Z65" s="74" t="e">
        <f t="array" ref="Z65">_xlfn.STDEV.P(IF($E$5:$E$35=$E64,Z$5:Z$35))</f>
        <v>#DIV/0!</v>
      </c>
      <c r="AA65" s="74" t="e">
        <f t="array" ref="AA65">_xlfn.STDEV.P(IF($E$5:$E$35=$E64,AA$5:AA$35))</f>
        <v>#DIV/0!</v>
      </c>
      <c r="AB65" s="74" t="e">
        <f t="array" ref="AB65">_xlfn.STDEV.P(IF($E$5:$E$35=$E64,AB$5:AB$35))</f>
        <v>#DIV/0!</v>
      </c>
      <c r="AC65" s="74" t="e">
        <f t="array" ref="AC65">_xlfn.STDEV.P(IF($E$5:$E$35=$E64,AC$5:AC$35))</f>
        <v>#DIV/0!</v>
      </c>
      <c r="AD65" s="74" t="e">
        <f t="array" ref="AD65">_xlfn.STDEV.P(IF($E$5:$E$35=$E64,AD$5:AD$35))</f>
        <v>#DIV/0!</v>
      </c>
      <c r="AE65" s="74" t="e">
        <f t="array" ref="AE65">_xlfn.STDEV.P(IF($E$5:$E$35=$E64,AE$5:AE$35))</f>
        <v>#DIV/0!</v>
      </c>
      <c r="AF65" s="74" t="e">
        <f t="array" ref="AF65">_xlfn.STDEV.P(IF($E$5:$E$35=$E64,AF$5:AF$35))</f>
        <v>#DIV/0!</v>
      </c>
      <c r="AG65" s="74" t="e">
        <f t="array" ref="AG65">_xlfn.STDEV.P(IF($E$5:$E$35=$E64,AG$5:AG$35))</f>
        <v>#DIV/0!</v>
      </c>
      <c r="AH65" s="74" t="e">
        <f t="array" ref="AH65">_xlfn.STDEV.P(IF($E$5:$E$35=$E64,AH$5:AH$35))</f>
        <v>#DIV/0!</v>
      </c>
      <c r="AI65" s="74" t="e">
        <f t="array" ref="AI65">_xlfn.STDEV.P(IF($E$5:$E$35=$E64,AI$5:AI$35))</f>
        <v>#DIV/0!</v>
      </c>
      <c r="AJ65" s="74" t="e">
        <f t="array" ref="AJ65">_xlfn.STDEV.P(IF($E$5:$E$35=$E64,AJ$5:AJ$35))</f>
        <v>#DIV/0!</v>
      </c>
      <c r="AK65" s="74" t="e">
        <f t="array" ref="AK65">_xlfn.STDEV.P(IF($E$5:$E$35=$E64,AK$5:AK$35))</f>
        <v>#DIV/0!</v>
      </c>
      <c r="AL65" s="74" t="e">
        <f t="array" ref="AL65">_xlfn.STDEV.P(IF($E$5:$E$35=$E64,AL$5:AL$35))</f>
        <v>#DIV/0!</v>
      </c>
      <c r="AM65" s="74" t="e">
        <f t="array" ref="AM65">_xlfn.STDEV.P(IF($E$5:$E$35=$E64,AM$5:AM$35))</f>
        <v>#DIV/0!</v>
      </c>
      <c r="AN65" s="74" t="e">
        <f t="array" ref="AN65">_xlfn.STDEV.P(IF($E$5:$E$35=$E64,AN$5:AN$35))</f>
        <v>#DIV/0!</v>
      </c>
      <c r="AO65" s="74" t="e">
        <f t="array" ref="AO65">_xlfn.STDEV.P(IF($E$5:$E$35=$E64,AO$5:AO$35))</f>
        <v>#DIV/0!</v>
      </c>
      <c r="AP65" s="74" t="e">
        <f t="array" ref="AP65">_xlfn.STDEV.P(IF($E$5:$E$35=$E64,AP$5:AP$35))</f>
        <v>#DIV/0!</v>
      </c>
      <c r="AQ65" s="74" t="e">
        <f t="array" ref="AQ65">_xlfn.STDEV.P(IF($E$5:$E$35=$E64,AQ$5:AQ$35))</f>
        <v>#DIV/0!</v>
      </c>
      <c r="AR65" s="74" t="e">
        <f t="array" ref="AR65">_xlfn.STDEV.P(IF($E$5:$E$35=$E64,AR$5:AR$35))</f>
        <v>#DIV/0!</v>
      </c>
      <c r="AS65" s="74" t="e">
        <f t="array" ref="AS65">_xlfn.STDEV.P(IF($E$5:$E$35=$E64,AS$5:AS$35))</f>
        <v>#DIV/0!</v>
      </c>
      <c r="AT65" s="74" t="e">
        <f t="array" ref="AT65">_xlfn.STDEV.P(IF($E$5:$E$35=$E64,AT$5:AT$35))</f>
        <v>#DIV/0!</v>
      </c>
      <c r="AU65" s="74" t="e">
        <f t="array" ref="AU65">_xlfn.STDEV.P(IF($E$5:$E$35=$E64,AU$5:AU$35))</f>
        <v>#DIV/0!</v>
      </c>
      <c r="AV65" s="74" t="e">
        <f t="array" ref="AV65">_xlfn.STDEV.P(IF($E$5:$E$35=$E64,AV$5:AV$35))</f>
        <v>#DIV/0!</v>
      </c>
      <c r="AW65" s="74" t="e">
        <f t="array" ref="AW65">_xlfn.STDEV.P(IF($E$5:$E$35=$E64,AW$5:AW$35))</f>
        <v>#DIV/0!</v>
      </c>
      <c r="AX65" s="74" t="e">
        <f t="array" ref="AX65">_xlfn.STDEV.P(IF($E$5:$E$35=$E64,AX$5:AX$35))</f>
        <v>#DIV/0!</v>
      </c>
      <c r="AY65" s="74" t="e">
        <f t="array" ref="AY65">_xlfn.STDEV.P(IF($E$5:$E$35=$E64,AY$5:AY$35))</f>
        <v>#DIV/0!</v>
      </c>
      <c r="AZ65" s="74" t="e">
        <f t="array" ref="AZ65">_xlfn.STDEV.P(IF($E$5:$E$35=$E64,AZ$5:AZ$35))</f>
        <v>#DIV/0!</v>
      </c>
      <c r="BA65" s="74" t="e">
        <f t="array" ref="BA65">_xlfn.STDEV.P(IF($E$5:$E$35=$E64,BA$5:BA$35))</f>
        <v>#DIV/0!</v>
      </c>
      <c r="BB65" s="74" t="e">
        <f t="array" ref="BB65">_xlfn.STDEV.P(IF($E$5:$E$35=$E64,BB$5:BB$35))</f>
        <v>#DIV/0!</v>
      </c>
      <c r="BC65" s="94" t="s">
        <v>11</v>
      </c>
      <c r="BD65" s="67" t="e">
        <f t="array" ref="BD65">_xlfn.STDEV.P(IF($E$5:$E$35=$E64,BD$5:BD$35))</f>
        <v>#DIV/0!</v>
      </c>
      <c r="BE65" s="67" t="e">
        <f t="array" ref="BE65">_xlfn.STDEV.P(IF($E$5:$E$35=$E64,BE$5:BE$35))</f>
        <v>#DIV/0!</v>
      </c>
      <c r="BF65" s="67" t="e">
        <f t="array" ref="BF65">_xlfn.STDEV.P(IF($E$5:$E$35=$E64,BF$5:BF$35))</f>
        <v>#DIV/0!</v>
      </c>
      <c r="BG65" s="67" t="e">
        <f t="array" ref="BG65">_xlfn.STDEV.P(IF($E$5:$E$35=$E64,BG$5:BG$35))</f>
        <v>#DIV/0!</v>
      </c>
      <c r="BH65" s="67" t="e">
        <f t="array" ref="BH65">_xlfn.STDEV.P(IF($E$5:$E$35=$E64,BH$5:BH$35))</f>
        <v>#DIV/0!</v>
      </c>
      <c r="BI65" s="67" t="e">
        <f t="array" ref="BI65">_xlfn.STDEV.P(IF($E$5:$E$35=$E64,BI$5:BI$35))</f>
        <v>#DIV/0!</v>
      </c>
      <c r="BJ65" s="67" t="e">
        <f t="array" ref="BJ65">_xlfn.STDEV.P(IF($E$5:$E$35=$E64,BJ$5:BJ$35))</f>
        <v>#DIV/0!</v>
      </c>
      <c r="BK65" s="67" t="e">
        <f t="array" ref="BK65">_xlfn.STDEV.P(IF($E$5:$E$35=$E64,BK$5:BK$35))</f>
        <v>#DIV/0!</v>
      </c>
      <c r="BL65" s="67" t="e">
        <f t="array" ref="BL65">_xlfn.STDEV.P(IF($E$5:$E$35=$E64,BL$5:BL$35))</f>
        <v>#DIV/0!</v>
      </c>
      <c r="BM65" s="67" t="e">
        <f t="array" ref="BM65">_xlfn.STDEV.P(IF($E$5:$E$35=$E64,BM$5:BM$35))</f>
        <v>#DIV/0!</v>
      </c>
      <c r="BN65" s="67" t="e">
        <f t="array" ref="BN65">_xlfn.STDEV.P(IF($E$5:$E$35=$E64,BN$5:BN$35))</f>
        <v>#DIV/0!</v>
      </c>
      <c r="BO65" s="67" t="e">
        <f t="array" ref="BO65">_xlfn.STDEV.P(IF($E$5:$E$35=$E64,BO$5:BO$35))</f>
        <v>#DIV/0!</v>
      </c>
      <c r="BP65" s="67" t="e">
        <f t="array" ref="BP65">_xlfn.STDEV.P(IF($E$5:$E$35=$E64,BP$5:BP$35))</f>
        <v>#DIV/0!</v>
      </c>
      <c r="BQ65" s="67" t="e">
        <f t="array" ref="BQ65">_xlfn.STDEV.P(IF($E$5:$E$35=$E64,BQ$5:BQ$35))</f>
        <v>#DIV/0!</v>
      </c>
      <c r="BR65" s="67" t="e">
        <f t="array" ref="BR65">_xlfn.STDEV.P(IF($E$5:$E$35=$E64,BR$5:BR$35))</f>
        <v>#DIV/0!</v>
      </c>
      <c r="BS65" s="67" t="e">
        <f t="array" ref="BS65">_xlfn.STDEV.P(IF($E$5:$E$35=$E64,BS$5:BS$35))</f>
        <v>#DIV/0!</v>
      </c>
      <c r="BT65" s="67" t="e">
        <f t="array" ref="BT65">_xlfn.STDEV.P(IF($E$5:$E$35=$E64,BT$5:BT$35))</f>
        <v>#DIV/0!</v>
      </c>
      <c r="BU65" s="67" t="e">
        <f t="array" ref="BU65">_xlfn.STDEV.P(IF($E$5:$E$35=$E64,BU$5:BU$35))</f>
        <v>#DIV/0!</v>
      </c>
      <c r="BV65" s="67" t="e">
        <f t="array" ref="BV65">_xlfn.STDEV.P(IF($E$5:$E$35=$E64,BV$5:BV$35))</f>
        <v>#DIV/0!</v>
      </c>
      <c r="BW65" s="67" t="e">
        <f t="array" ref="BW65">_xlfn.STDEV.P(IF($E$5:$E$35=$E64,BW$5:BW$35))</f>
        <v>#DIV/0!</v>
      </c>
      <c r="BX65" s="67" t="e">
        <f t="array" ref="BX65">_xlfn.STDEV.P(IF($E$5:$E$35=$E64,BX$5:BX$35))</f>
        <v>#DIV/0!</v>
      </c>
      <c r="BY65" s="67" t="e">
        <f t="array" ref="BY65">_xlfn.STDEV.P(IF($E$5:$E$35=$E64,BY$5:BY$35))</f>
        <v>#DIV/0!</v>
      </c>
      <c r="BZ65" s="67" t="e">
        <f t="array" ref="BZ65">_xlfn.STDEV.P(IF($E$5:$E$35=$E64,BZ$5:BZ$35))</f>
        <v>#DIV/0!</v>
      </c>
      <c r="CA65" s="67" t="e">
        <f t="array" ref="CA65">_xlfn.STDEV.P(IF($E$5:$E$35=$E64,CA$5:CA$35))</f>
        <v>#DIV/0!</v>
      </c>
      <c r="CB65" s="67" t="e">
        <f t="array" ref="CB65">_xlfn.STDEV.P(IF($E$5:$E$35=$E64,CB$5:CB$35))</f>
        <v>#DIV/0!</v>
      </c>
      <c r="CC65" s="67" t="e">
        <f t="array" ref="CC65">_xlfn.STDEV.P(IF($E$5:$E$35=$E64,CC$5:CC$35))</f>
        <v>#DIV/0!</v>
      </c>
      <c r="CD65" s="67" t="e">
        <f t="array" ref="CD65">_xlfn.STDEV.P(IF($E$5:$E$35=$E64,CD$5:CD$35))</f>
        <v>#DIV/0!</v>
      </c>
      <c r="CE65" s="67" t="e">
        <f t="array" ref="CE65">_xlfn.STDEV.P(IF($E$5:$E$35=$E64,CE$5:CE$35))</f>
        <v>#DIV/0!</v>
      </c>
      <c r="CF65" s="67" t="e">
        <f t="array" ref="CF65">_xlfn.STDEV.P(IF($E$5:$E$35=$E64,CF$5:CF$35))</f>
        <v>#DIV/0!</v>
      </c>
      <c r="CG65" s="67" t="e">
        <f t="array" ref="CG65">_xlfn.STDEV.P(IF($E$5:$E$35=$E64,CG$5:CG$35))</f>
        <v>#DIV/0!</v>
      </c>
      <c r="CH65" s="67" t="e">
        <f t="array" ref="CH65">_xlfn.STDEV.P(IF($E$5:$E$35=$E64,CH$5:CH$35))</f>
        <v>#DIV/0!</v>
      </c>
      <c r="CI65" s="67" t="e">
        <f t="array" ref="CI65">_xlfn.STDEV.P(IF($E$5:$E$35=$E64,CI$5:CI$35))</f>
        <v>#DIV/0!</v>
      </c>
      <c r="CJ65" s="67" t="e">
        <f t="array" ref="CJ65">_xlfn.STDEV.P(IF($E$5:$E$35=$E64,CJ$5:CJ$35))</f>
        <v>#DIV/0!</v>
      </c>
      <c r="CK65" s="67" t="e">
        <f t="array" ref="CK65">_xlfn.STDEV.P(IF($E$5:$E$35=$E64,CK$5:CK$35))</f>
        <v>#DIV/0!</v>
      </c>
      <c r="CL65" s="67" t="e">
        <f t="array" ref="CL65">_xlfn.STDEV.P(IF($E$5:$E$35=$E64,CL$5:CL$35))</f>
        <v>#DIV/0!</v>
      </c>
      <c r="CM65" s="67" t="e">
        <f t="array" ref="CM65">_xlfn.STDEV.P(IF($E$5:$E$35=$E64,CM$5:CM$35))</f>
        <v>#DIV/0!</v>
      </c>
      <c r="CN65" s="67" t="e">
        <f t="array" ref="CN65">_xlfn.STDEV.P(IF($E$5:$E$35=$E64,CN$5:CN$35))</f>
        <v>#DIV/0!</v>
      </c>
      <c r="CO65" s="67" t="e">
        <f t="array" ref="CO65">_xlfn.STDEV.P(IF($E$5:$E$35=$E64,CO$5:CO$35))</f>
        <v>#DIV/0!</v>
      </c>
      <c r="CP65" s="67" t="e">
        <f t="array" ref="CP65">_xlfn.STDEV.P(IF($E$5:$E$35=$E64,CP$5:CP$35))</f>
        <v>#DIV/0!</v>
      </c>
      <c r="CQ65" s="67" t="e">
        <f t="array" ref="CQ65">_xlfn.STDEV.P(IF($E$5:$E$35=$E64,CQ$5:CQ$35))</f>
        <v>#DIV/0!</v>
      </c>
      <c r="CR65" s="67" t="e">
        <f t="array" ref="CR65">_xlfn.STDEV.P(IF($E$5:$E$35=$E64,CR$5:CR$35))</f>
        <v>#DIV/0!</v>
      </c>
      <c r="CS65" s="67" t="e">
        <f t="array" ref="CS65">_xlfn.STDEV.P(IF($E$5:$E$35=$E64,CS$5:CS$35))</f>
        <v>#DIV/0!</v>
      </c>
      <c r="CT65" s="67" t="e">
        <f t="array" ref="CT65">_xlfn.STDEV.P(IF($E$5:$E$35=$E64,CT$5:CT$35))</f>
        <v>#DIV/0!</v>
      </c>
      <c r="CU65" s="67" t="e">
        <f t="array" ref="CU65">_xlfn.STDEV.P(IF($E$5:$E$35=$E64,CU$5:CU$35))</f>
        <v>#DIV/0!</v>
      </c>
      <c r="CV65" s="69"/>
    </row>
    <row r="66" spans="1:100" ht="15">
      <c r="A66" s="103"/>
      <c r="E66" s="108"/>
      <c r="H66" s="45"/>
    </row>
    <row r="67" spans="1:100" ht="14.25" customHeight="1">
      <c r="A67" s="103"/>
      <c r="E67" s="108" t="str">
        <f>'5GY EBRT Groups'!C15</f>
        <v>Group 10</v>
      </c>
      <c r="H67" s="108" t="str">
        <f>E67</f>
        <v>Group 10</v>
      </c>
      <c r="I67" s="277" t="e">
        <f>AVERAGEIF($E$5:$E$35,$E67,I$5:I$35)</f>
        <v>#DIV/0!</v>
      </c>
      <c r="J67" s="65" t="s">
        <v>9</v>
      </c>
      <c r="K67" s="71" t="e">
        <f t="shared" ref="K67:BB67" si="35">AVERAGEIF($E$5:$E$35,$E67,K$5:K$35)</f>
        <v>#DIV/0!</v>
      </c>
      <c r="L67" s="71" t="e">
        <f t="shared" si="35"/>
        <v>#DIV/0!</v>
      </c>
      <c r="M67" s="71" t="e">
        <f t="shared" si="35"/>
        <v>#DIV/0!</v>
      </c>
      <c r="N67" s="71" t="e">
        <f t="shared" si="35"/>
        <v>#DIV/0!</v>
      </c>
      <c r="O67" s="71" t="e">
        <f t="shared" si="35"/>
        <v>#DIV/0!</v>
      </c>
      <c r="P67" s="71" t="e">
        <f t="shared" si="35"/>
        <v>#DIV/0!</v>
      </c>
      <c r="Q67" s="71" t="e">
        <f t="shared" si="35"/>
        <v>#DIV/0!</v>
      </c>
      <c r="R67" s="71" t="e">
        <f t="shared" si="35"/>
        <v>#DIV/0!</v>
      </c>
      <c r="S67" s="71" t="e">
        <f t="shared" si="35"/>
        <v>#DIV/0!</v>
      </c>
      <c r="T67" s="71" t="e">
        <f t="shared" si="35"/>
        <v>#DIV/0!</v>
      </c>
      <c r="U67" s="71" t="e">
        <f t="shared" si="35"/>
        <v>#DIV/0!</v>
      </c>
      <c r="V67" s="71" t="e">
        <f t="shared" si="35"/>
        <v>#DIV/0!</v>
      </c>
      <c r="W67" s="71" t="e">
        <f t="shared" si="35"/>
        <v>#DIV/0!</v>
      </c>
      <c r="X67" s="71" t="e">
        <f t="shared" si="35"/>
        <v>#DIV/0!</v>
      </c>
      <c r="Y67" s="71" t="e">
        <f t="shared" si="35"/>
        <v>#DIV/0!</v>
      </c>
      <c r="Z67" s="71" t="e">
        <f t="shared" si="35"/>
        <v>#DIV/0!</v>
      </c>
      <c r="AA67" s="71" t="e">
        <f t="shared" si="35"/>
        <v>#DIV/0!</v>
      </c>
      <c r="AB67" s="71" t="e">
        <f t="shared" si="35"/>
        <v>#DIV/0!</v>
      </c>
      <c r="AC67" s="71" t="e">
        <f t="shared" si="35"/>
        <v>#DIV/0!</v>
      </c>
      <c r="AD67" s="71" t="e">
        <f t="shared" si="35"/>
        <v>#DIV/0!</v>
      </c>
      <c r="AE67" s="71" t="e">
        <f t="shared" si="35"/>
        <v>#DIV/0!</v>
      </c>
      <c r="AF67" s="71" t="e">
        <f t="shared" si="35"/>
        <v>#DIV/0!</v>
      </c>
      <c r="AG67" s="71" t="e">
        <f t="shared" si="35"/>
        <v>#DIV/0!</v>
      </c>
      <c r="AH67" s="71" t="e">
        <f t="shared" si="35"/>
        <v>#DIV/0!</v>
      </c>
      <c r="AI67" s="71" t="e">
        <f t="shared" si="35"/>
        <v>#DIV/0!</v>
      </c>
      <c r="AJ67" s="71" t="e">
        <f t="shared" si="35"/>
        <v>#DIV/0!</v>
      </c>
      <c r="AK67" s="71" t="e">
        <f t="shared" si="35"/>
        <v>#DIV/0!</v>
      </c>
      <c r="AL67" s="71" t="e">
        <f t="shared" si="35"/>
        <v>#DIV/0!</v>
      </c>
      <c r="AM67" s="71" t="e">
        <f t="shared" si="35"/>
        <v>#DIV/0!</v>
      </c>
      <c r="AN67" s="71" t="e">
        <f t="shared" si="35"/>
        <v>#DIV/0!</v>
      </c>
      <c r="AO67" s="71" t="e">
        <f t="shared" si="35"/>
        <v>#DIV/0!</v>
      </c>
      <c r="AP67" s="71" t="e">
        <f t="shared" si="35"/>
        <v>#DIV/0!</v>
      </c>
      <c r="AQ67" s="71" t="e">
        <f t="shared" si="35"/>
        <v>#DIV/0!</v>
      </c>
      <c r="AR67" s="71" t="e">
        <f t="shared" si="35"/>
        <v>#DIV/0!</v>
      </c>
      <c r="AS67" s="71" t="e">
        <f t="shared" si="35"/>
        <v>#DIV/0!</v>
      </c>
      <c r="AT67" s="71" t="e">
        <f t="shared" si="35"/>
        <v>#DIV/0!</v>
      </c>
      <c r="AU67" s="71" t="e">
        <f t="shared" si="35"/>
        <v>#DIV/0!</v>
      </c>
      <c r="AV67" s="71" t="e">
        <f t="shared" si="35"/>
        <v>#DIV/0!</v>
      </c>
      <c r="AW67" s="71" t="e">
        <f t="shared" si="35"/>
        <v>#DIV/0!</v>
      </c>
      <c r="AX67" s="71" t="e">
        <f t="shared" si="35"/>
        <v>#DIV/0!</v>
      </c>
      <c r="AY67" s="71" t="e">
        <f t="shared" si="35"/>
        <v>#DIV/0!</v>
      </c>
      <c r="AZ67" s="71" t="e">
        <f t="shared" si="35"/>
        <v>#DIV/0!</v>
      </c>
      <c r="BA67" s="71" t="e">
        <f t="shared" si="35"/>
        <v>#DIV/0!</v>
      </c>
      <c r="BB67" s="71" t="e">
        <f t="shared" si="35"/>
        <v>#DIV/0!</v>
      </c>
      <c r="BC67" s="93" t="s">
        <v>9</v>
      </c>
      <c r="BD67" s="66" t="e">
        <f t="shared" ref="BD67:CU67" si="36">AVERAGEIF($E$5:$E$35,$E67,BD$5:BD$35)</f>
        <v>#DIV/0!</v>
      </c>
      <c r="BE67" s="66" t="e">
        <f t="shared" si="36"/>
        <v>#DIV/0!</v>
      </c>
      <c r="BF67" s="66" t="e">
        <f t="shared" si="36"/>
        <v>#DIV/0!</v>
      </c>
      <c r="BG67" s="66" t="e">
        <f t="shared" si="36"/>
        <v>#DIV/0!</v>
      </c>
      <c r="BH67" s="66" t="e">
        <f t="shared" si="36"/>
        <v>#DIV/0!</v>
      </c>
      <c r="BI67" s="66" t="e">
        <f t="shared" si="36"/>
        <v>#DIV/0!</v>
      </c>
      <c r="BJ67" s="66" t="e">
        <f t="shared" si="36"/>
        <v>#DIV/0!</v>
      </c>
      <c r="BK67" s="66" t="e">
        <f t="shared" si="36"/>
        <v>#DIV/0!</v>
      </c>
      <c r="BL67" s="66" t="e">
        <f t="shared" si="36"/>
        <v>#DIV/0!</v>
      </c>
      <c r="BM67" s="66" t="e">
        <f t="shared" si="36"/>
        <v>#DIV/0!</v>
      </c>
      <c r="BN67" s="66" t="e">
        <f t="shared" si="36"/>
        <v>#DIV/0!</v>
      </c>
      <c r="BO67" s="66" t="e">
        <f t="shared" si="36"/>
        <v>#DIV/0!</v>
      </c>
      <c r="BP67" s="66" t="e">
        <f t="shared" si="36"/>
        <v>#DIV/0!</v>
      </c>
      <c r="BQ67" s="66" t="e">
        <f t="shared" si="36"/>
        <v>#DIV/0!</v>
      </c>
      <c r="BR67" s="66" t="e">
        <f t="shared" si="36"/>
        <v>#DIV/0!</v>
      </c>
      <c r="BS67" s="66" t="e">
        <f t="shared" si="36"/>
        <v>#DIV/0!</v>
      </c>
      <c r="BT67" s="66" t="e">
        <f t="shared" si="36"/>
        <v>#DIV/0!</v>
      </c>
      <c r="BU67" s="66" t="e">
        <f t="shared" si="36"/>
        <v>#DIV/0!</v>
      </c>
      <c r="BV67" s="66" t="e">
        <f t="shared" si="36"/>
        <v>#DIV/0!</v>
      </c>
      <c r="BW67" s="66" t="e">
        <f t="shared" si="36"/>
        <v>#DIV/0!</v>
      </c>
      <c r="BX67" s="66" t="e">
        <f t="shared" si="36"/>
        <v>#DIV/0!</v>
      </c>
      <c r="BY67" s="66" t="e">
        <f t="shared" si="36"/>
        <v>#DIV/0!</v>
      </c>
      <c r="BZ67" s="66" t="e">
        <f t="shared" si="36"/>
        <v>#DIV/0!</v>
      </c>
      <c r="CA67" s="66" t="e">
        <f t="shared" si="36"/>
        <v>#DIV/0!</v>
      </c>
      <c r="CB67" s="66" t="e">
        <f t="shared" si="36"/>
        <v>#DIV/0!</v>
      </c>
      <c r="CC67" s="66" t="e">
        <f t="shared" si="36"/>
        <v>#DIV/0!</v>
      </c>
      <c r="CD67" s="66" t="e">
        <f t="shared" si="36"/>
        <v>#DIV/0!</v>
      </c>
      <c r="CE67" s="66" t="e">
        <f t="shared" si="36"/>
        <v>#DIV/0!</v>
      </c>
      <c r="CF67" s="66" t="e">
        <f t="shared" si="36"/>
        <v>#DIV/0!</v>
      </c>
      <c r="CG67" s="66" t="e">
        <f t="shared" si="36"/>
        <v>#DIV/0!</v>
      </c>
      <c r="CH67" s="66" t="e">
        <f t="shared" si="36"/>
        <v>#DIV/0!</v>
      </c>
      <c r="CI67" s="66" t="e">
        <f t="shared" si="36"/>
        <v>#DIV/0!</v>
      </c>
      <c r="CJ67" s="66" t="e">
        <f t="shared" si="36"/>
        <v>#DIV/0!</v>
      </c>
      <c r="CK67" s="66" t="e">
        <f t="shared" si="36"/>
        <v>#DIV/0!</v>
      </c>
      <c r="CL67" s="66" t="e">
        <f t="shared" si="36"/>
        <v>#DIV/0!</v>
      </c>
      <c r="CM67" s="66" t="e">
        <f t="shared" si="36"/>
        <v>#DIV/0!</v>
      </c>
      <c r="CN67" s="66" t="e">
        <f t="shared" si="36"/>
        <v>#DIV/0!</v>
      </c>
      <c r="CO67" s="66" t="e">
        <f t="shared" si="36"/>
        <v>#DIV/0!</v>
      </c>
      <c r="CP67" s="66" t="e">
        <f t="shared" si="36"/>
        <v>#DIV/0!</v>
      </c>
      <c r="CQ67" s="66" t="e">
        <f t="shared" si="36"/>
        <v>#DIV/0!</v>
      </c>
      <c r="CR67" s="66" t="e">
        <f t="shared" si="36"/>
        <v>#DIV/0!</v>
      </c>
      <c r="CS67" s="66" t="e">
        <f t="shared" si="36"/>
        <v>#DIV/0!</v>
      </c>
      <c r="CT67" s="66" t="e">
        <f t="shared" si="36"/>
        <v>#DIV/0!</v>
      </c>
      <c r="CU67" s="66" t="e">
        <f t="shared" si="36"/>
        <v>#DIV/0!</v>
      </c>
      <c r="CV67" s="69"/>
    </row>
    <row r="68" spans="1:100" ht="14.25" customHeight="1">
      <c r="A68" s="103"/>
      <c r="E68" s="83"/>
      <c r="H68" s="83"/>
      <c r="I68" s="277" t="e">
        <f t="array" ref="I68">_xlfn.STDEV.P(IF($E$5:$E$35=$E67,I$5:I$35))</f>
        <v>#DIV/0!</v>
      </c>
      <c r="J68" s="65" t="s">
        <v>11</v>
      </c>
      <c r="K68" s="74" t="e">
        <f t="array" ref="K68">_xlfn.STDEV.P(IF($E$5:$E$35=$E67,K$5:K$35))</f>
        <v>#DIV/0!</v>
      </c>
      <c r="L68" s="74" t="e">
        <f t="array" ref="L68">_xlfn.STDEV.P(IF($E$5:$E$35=$E67,L$5:L$35))</f>
        <v>#DIV/0!</v>
      </c>
      <c r="M68" s="74" t="e">
        <f t="array" ref="M68">_xlfn.STDEV.P(IF($E$5:$E$35=$E67,M$5:M$35))</f>
        <v>#DIV/0!</v>
      </c>
      <c r="N68" s="74" t="e">
        <f t="array" ref="N68">_xlfn.STDEV.P(IF($E$5:$E$35=$E67,N$5:N$35))</f>
        <v>#DIV/0!</v>
      </c>
      <c r="O68" s="74" t="e">
        <f t="array" ref="O68">_xlfn.STDEV.P(IF($E$5:$E$35=$E67,O$5:O$35))</f>
        <v>#DIV/0!</v>
      </c>
      <c r="P68" s="74" t="e">
        <f t="array" ref="P68">_xlfn.STDEV.P(IF($E$5:$E$35=$E67,P$5:P$35))</f>
        <v>#DIV/0!</v>
      </c>
      <c r="Q68" s="74" t="e">
        <f t="array" ref="Q68">_xlfn.STDEV.P(IF($E$5:$E$35=$E67,Q$5:Q$35))</f>
        <v>#DIV/0!</v>
      </c>
      <c r="R68" s="74" t="e">
        <f t="array" ref="R68">_xlfn.STDEV.P(IF($E$5:$E$35=$E67,R$5:R$35))</f>
        <v>#DIV/0!</v>
      </c>
      <c r="S68" s="74" t="e">
        <f t="array" ref="S68">_xlfn.STDEV.P(IF($E$5:$E$35=$E67,S$5:S$35))</f>
        <v>#DIV/0!</v>
      </c>
      <c r="T68" s="74" t="e">
        <f t="array" ref="T68">_xlfn.STDEV.P(IF($E$5:$E$35=$E67,T$5:T$35))</f>
        <v>#DIV/0!</v>
      </c>
      <c r="U68" s="74" t="e">
        <f t="array" ref="U68">_xlfn.STDEV.P(IF($E$5:$E$35=$E67,U$5:U$35))</f>
        <v>#DIV/0!</v>
      </c>
      <c r="V68" s="74" t="e">
        <f t="array" ref="V68">_xlfn.STDEV.P(IF($E$5:$E$35=$E67,V$5:V$35))</f>
        <v>#DIV/0!</v>
      </c>
      <c r="W68" s="74" t="e">
        <f t="array" ref="W68">_xlfn.STDEV.P(IF($E$5:$E$35=$E67,W$5:W$35))</f>
        <v>#DIV/0!</v>
      </c>
      <c r="X68" s="74" t="e">
        <f t="array" ref="X68">_xlfn.STDEV.P(IF($E$5:$E$35=$E67,X$5:X$35))</f>
        <v>#DIV/0!</v>
      </c>
      <c r="Y68" s="74" t="e">
        <f t="array" ref="Y68">_xlfn.STDEV.P(IF($E$5:$E$35=$E67,Y$5:Y$35))</f>
        <v>#DIV/0!</v>
      </c>
      <c r="Z68" s="74" t="e">
        <f t="array" ref="Z68">_xlfn.STDEV.P(IF($E$5:$E$35=$E67,Z$5:Z$35))</f>
        <v>#DIV/0!</v>
      </c>
      <c r="AA68" s="74" t="e">
        <f t="array" ref="AA68">_xlfn.STDEV.P(IF($E$5:$E$35=$E67,AA$5:AA$35))</f>
        <v>#DIV/0!</v>
      </c>
      <c r="AB68" s="74" t="e">
        <f t="array" ref="AB68">_xlfn.STDEV.P(IF($E$5:$E$35=$E67,AB$5:AB$35))</f>
        <v>#DIV/0!</v>
      </c>
      <c r="AC68" s="74" t="e">
        <f t="array" ref="AC68">_xlfn.STDEV.P(IF($E$5:$E$35=$E67,AC$5:AC$35))</f>
        <v>#DIV/0!</v>
      </c>
      <c r="AD68" s="74" t="e">
        <f t="array" ref="AD68">_xlfn.STDEV.P(IF($E$5:$E$35=$E67,AD$5:AD$35))</f>
        <v>#DIV/0!</v>
      </c>
      <c r="AE68" s="74" t="e">
        <f t="array" ref="AE68">_xlfn.STDEV.P(IF($E$5:$E$35=$E67,AE$5:AE$35))</f>
        <v>#DIV/0!</v>
      </c>
      <c r="AF68" s="74" t="e">
        <f t="array" ref="AF68">_xlfn.STDEV.P(IF($E$5:$E$35=$E67,AF$5:AF$35))</f>
        <v>#DIV/0!</v>
      </c>
      <c r="AG68" s="74" t="e">
        <f t="array" ref="AG68">_xlfn.STDEV.P(IF($E$5:$E$35=$E67,AG$5:AG$35))</f>
        <v>#DIV/0!</v>
      </c>
      <c r="AH68" s="74" t="e">
        <f t="array" ref="AH68">_xlfn.STDEV.P(IF($E$5:$E$35=$E67,AH$5:AH$35))</f>
        <v>#DIV/0!</v>
      </c>
      <c r="AI68" s="74" t="e">
        <f t="array" ref="AI68">_xlfn.STDEV.P(IF($E$5:$E$35=$E67,AI$5:AI$35))</f>
        <v>#DIV/0!</v>
      </c>
      <c r="AJ68" s="74" t="e">
        <f t="array" ref="AJ68">_xlfn.STDEV.P(IF($E$5:$E$35=$E67,AJ$5:AJ$35))</f>
        <v>#DIV/0!</v>
      </c>
      <c r="AK68" s="74" t="e">
        <f t="array" ref="AK68">_xlfn.STDEV.P(IF($E$5:$E$35=$E67,AK$5:AK$35))</f>
        <v>#DIV/0!</v>
      </c>
      <c r="AL68" s="74" t="e">
        <f t="array" ref="AL68">_xlfn.STDEV.P(IF($E$5:$E$35=$E67,AL$5:AL$35))</f>
        <v>#DIV/0!</v>
      </c>
      <c r="AM68" s="74" t="e">
        <f t="array" ref="AM68">_xlfn.STDEV.P(IF($E$5:$E$35=$E67,AM$5:AM$35))</f>
        <v>#DIV/0!</v>
      </c>
      <c r="AN68" s="74" t="e">
        <f t="array" ref="AN68">_xlfn.STDEV.P(IF($E$5:$E$35=$E67,AN$5:AN$35))</f>
        <v>#DIV/0!</v>
      </c>
      <c r="AO68" s="74" t="e">
        <f t="array" ref="AO68">_xlfn.STDEV.P(IF($E$5:$E$35=$E67,AO$5:AO$35))</f>
        <v>#DIV/0!</v>
      </c>
      <c r="AP68" s="74" t="e">
        <f t="array" ref="AP68">_xlfn.STDEV.P(IF($E$5:$E$35=$E67,AP$5:AP$35))</f>
        <v>#DIV/0!</v>
      </c>
      <c r="AQ68" s="74" t="e">
        <f t="array" ref="AQ68">_xlfn.STDEV.P(IF($E$5:$E$35=$E67,AQ$5:AQ$35))</f>
        <v>#DIV/0!</v>
      </c>
      <c r="AR68" s="74" t="e">
        <f t="array" ref="AR68">_xlfn.STDEV.P(IF($E$5:$E$35=$E67,AR$5:AR$35))</f>
        <v>#DIV/0!</v>
      </c>
      <c r="AS68" s="74" t="e">
        <f t="array" ref="AS68">_xlfn.STDEV.P(IF($E$5:$E$35=$E67,AS$5:AS$35))</f>
        <v>#DIV/0!</v>
      </c>
      <c r="AT68" s="74" t="e">
        <f t="array" ref="AT68">_xlfn.STDEV.P(IF($E$5:$E$35=$E67,AT$5:AT$35))</f>
        <v>#DIV/0!</v>
      </c>
      <c r="AU68" s="74" t="e">
        <f t="array" ref="AU68">_xlfn.STDEV.P(IF($E$5:$E$35=$E67,AU$5:AU$35))</f>
        <v>#DIV/0!</v>
      </c>
      <c r="AV68" s="74" t="e">
        <f t="array" ref="AV68">_xlfn.STDEV.P(IF($E$5:$E$35=$E67,AV$5:AV$35))</f>
        <v>#DIV/0!</v>
      </c>
      <c r="AW68" s="74" t="e">
        <f t="array" ref="AW68">_xlfn.STDEV.P(IF($E$5:$E$35=$E67,AW$5:AW$35))</f>
        <v>#DIV/0!</v>
      </c>
      <c r="AX68" s="74" t="e">
        <f t="array" ref="AX68">_xlfn.STDEV.P(IF($E$5:$E$35=$E67,AX$5:AX$35))</f>
        <v>#DIV/0!</v>
      </c>
      <c r="AY68" s="74" t="e">
        <f t="array" ref="AY68">_xlfn.STDEV.P(IF($E$5:$E$35=$E67,AY$5:AY$35))</f>
        <v>#DIV/0!</v>
      </c>
      <c r="AZ68" s="74" t="e">
        <f t="array" ref="AZ68">_xlfn.STDEV.P(IF($E$5:$E$35=$E67,AZ$5:AZ$35))</f>
        <v>#DIV/0!</v>
      </c>
      <c r="BA68" s="74" t="e">
        <f t="array" ref="BA68">_xlfn.STDEV.P(IF($E$5:$E$35=$E67,BA$5:BA$35))</f>
        <v>#DIV/0!</v>
      </c>
      <c r="BB68" s="74" t="e">
        <f t="array" ref="BB68">_xlfn.STDEV.P(IF($E$5:$E$35=$E67,BB$5:BB$35))</f>
        <v>#DIV/0!</v>
      </c>
      <c r="BC68" s="94" t="s">
        <v>11</v>
      </c>
      <c r="BD68" s="67" t="e">
        <f t="array" ref="BD68">_xlfn.STDEV.P(IF($E$5:$E$35=$E67,BD$5:BD$35))</f>
        <v>#DIV/0!</v>
      </c>
      <c r="BE68" s="67" t="e">
        <f t="array" ref="BE68">_xlfn.STDEV.P(IF($E$5:$E$35=$E67,BE$5:BE$35))</f>
        <v>#DIV/0!</v>
      </c>
      <c r="BF68" s="67" t="e">
        <f t="array" ref="BF68">_xlfn.STDEV.P(IF($E$5:$E$35=$E67,BF$5:BF$35))</f>
        <v>#DIV/0!</v>
      </c>
      <c r="BG68" s="67" t="e">
        <f t="array" ref="BG68">_xlfn.STDEV.P(IF($E$5:$E$35=$E67,BG$5:BG$35))</f>
        <v>#DIV/0!</v>
      </c>
      <c r="BH68" s="67" t="e">
        <f t="array" ref="BH68">_xlfn.STDEV.P(IF($E$5:$E$35=$E67,BH$5:BH$35))</f>
        <v>#DIV/0!</v>
      </c>
      <c r="BI68" s="67" t="e">
        <f t="array" ref="BI68">_xlfn.STDEV.P(IF($E$5:$E$35=$E67,BI$5:BI$35))</f>
        <v>#DIV/0!</v>
      </c>
      <c r="BJ68" s="67" t="e">
        <f t="array" ref="BJ68">_xlfn.STDEV.P(IF($E$5:$E$35=$E67,BJ$5:BJ$35))</f>
        <v>#DIV/0!</v>
      </c>
      <c r="BK68" s="67" t="e">
        <f t="array" ref="BK68">_xlfn.STDEV.P(IF($E$5:$E$35=$E67,BK$5:BK$35))</f>
        <v>#DIV/0!</v>
      </c>
      <c r="BL68" s="67" t="e">
        <f t="array" ref="BL68">_xlfn.STDEV.P(IF($E$5:$E$35=$E67,BL$5:BL$35))</f>
        <v>#DIV/0!</v>
      </c>
      <c r="BM68" s="67" t="e">
        <f t="array" ref="BM68">_xlfn.STDEV.P(IF($E$5:$E$35=$E67,BM$5:BM$35))</f>
        <v>#DIV/0!</v>
      </c>
      <c r="BN68" s="67" t="e">
        <f t="array" ref="BN68">_xlfn.STDEV.P(IF($E$5:$E$35=$E67,BN$5:BN$35))</f>
        <v>#DIV/0!</v>
      </c>
      <c r="BO68" s="67" t="e">
        <f t="array" ref="BO68">_xlfn.STDEV.P(IF($E$5:$E$35=$E67,BO$5:BO$35))</f>
        <v>#DIV/0!</v>
      </c>
      <c r="BP68" s="67" t="e">
        <f t="array" ref="BP68">_xlfn.STDEV.P(IF($E$5:$E$35=$E67,BP$5:BP$35))</f>
        <v>#DIV/0!</v>
      </c>
      <c r="BQ68" s="67" t="e">
        <f t="array" ref="BQ68">_xlfn.STDEV.P(IF($E$5:$E$35=$E67,BQ$5:BQ$35))</f>
        <v>#DIV/0!</v>
      </c>
      <c r="BR68" s="67" t="e">
        <f t="array" ref="BR68">_xlfn.STDEV.P(IF($E$5:$E$35=$E67,BR$5:BR$35))</f>
        <v>#DIV/0!</v>
      </c>
      <c r="BS68" s="67" t="e">
        <f t="array" ref="BS68">_xlfn.STDEV.P(IF($E$5:$E$35=$E67,BS$5:BS$35))</f>
        <v>#DIV/0!</v>
      </c>
      <c r="BT68" s="67" t="e">
        <f t="array" ref="BT68">_xlfn.STDEV.P(IF($E$5:$E$35=$E67,BT$5:BT$35))</f>
        <v>#DIV/0!</v>
      </c>
      <c r="BU68" s="67" t="e">
        <f t="array" ref="BU68">_xlfn.STDEV.P(IF($E$5:$E$35=$E67,BU$5:BU$35))</f>
        <v>#DIV/0!</v>
      </c>
      <c r="BV68" s="67" t="e">
        <f t="array" ref="BV68">_xlfn.STDEV.P(IF($E$5:$E$35=$E67,BV$5:BV$35))</f>
        <v>#DIV/0!</v>
      </c>
      <c r="BW68" s="67" t="e">
        <f t="array" ref="BW68">_xlfn.STDEV.P(IF($E$5:$E$35=$E67,BW$5:BW$35))</f>
        <v>#DIV/0!</v>
      </c>
      <c r="BX68" s="67" t="e">
        <f t="array" ref="BX68">_xlfn.STDEV.P(IF($E$5:$E$35=$E67,BX$5:BX$35))</f>
        <v>#DIV/0!</v>
      </c>
      <c r="BY68" s="67" t="e">
        <f t="array" ref="BY68">_xlfn.STDEV.P(IF($E$5:$E$35=$E67,BY$5:BY$35))</f>
        <v>#DIV/0!</v>
      </c>
      <c r="BZ68" s="67" t="e">
        <f t="array" ref="BZ68">_xlfn.STDEV.P(IF($E$5:$E$35=$E67,BZ$5:BZ$35))</f>
        <v>#DIV/0!</v>
      </c>
      <c r="CA68" s="67" t="e">
        <f t="array" ref="CA68">_xlfn.STDEV.P(IF($E$5:$E$35=$E67,CA$5:CA$35))</f>
        <v>#DIV/0!</v>
      </c>
      <c r="CB68" s="67" t="e">
        <f t="array" ref="CB68">_xlfn.STDEV.P(IF($E$5:$E$35=$E67,CB$5:CB$35))</f>
        <v>#DIV/0!</v>
      </c>
      <c r="CC68" s="67" t="e">
        <f t="array" ref="CC68">_xlfn.STDEV.P(IF($E$5:$E$35=$E67,CC$5:CC$35))</f>
        <v>#DIV/0!</v>
      </c>
      <c r="CD68" s="67" t="e">
        <f t="array" ref="CD68">_xlfn.STDEV.P(IF($E$5:$E$35=$E67,CD$5:CD$35))</f>
        <v>#DIV/0!</v>
      </c>
      <c r="CE68" s="67" t="e">
        <f t="array" ref="CE68">_xlfn.STDEV.P(IF($E$5:$E$35=$E67,CE$5:CE$35))</f>
        <v>#DIV/0!</v>
      </c>
      <c r="CF68" s="67" t="e">
        <f t="array" ref="CF68">_xlfn.STDEV.P(IF($E$5:$E$35=$E67,CF$5:CF$35))</f>
        <v>#DIV/0!</v>
      </c>
      <c r="CG68" s="67" t="e">
        <f t="array" ref="CG68">_xlfn.STDEV.P(IF($E$5:$E$35=$E67,CG$5:CG$35))</f>
        <v>#DIV/0!</v>
      </c>
      <c r="CH68" s="67" t="e">
        <f t="array" ref="CH68">_xlfn.STDEV.P(IF($E$5:$E$35=$E67,CH$5:CH$35))</f>
        <v>#DIV/0!</v>
      </c>
      <c r="CI68" s="67" t="e">
        <f t="array" ref="CI68">_xlfn.STDEV.P(IF($E$5:$E$35=$E67,CI$5:CI$35))</f>
        <v>#DIV/0!</v>
      </c>
      <c r="CJ68" s="67" t="e">
        <f t="array" ref="CJ68">_xlfn.STDEV.P(IF($E$5:$E$35=$E67,CJ$5:CJ$35))</f>
        <v>#DIV/0!</v>
      </c>
      <c r="CK68" s="67" t="e">
        <f t="array" ref="CK68">_xlfn.STDEV.P(IF($E$5:$E$35=$E67,CK$5:CK$35))</f>
        <v>#DIV/0!</v>
      </c>
      <c r="CL68" s="67" t="e">
        <f t="array" ref="CL68">_xlfn.STDEV.P(IF($E$5:$E$35=$E67,CL$5:CL$35))</f>
        <v>#DIV/0!</v>
      </c>
      <c r="CM68" s="67" t="e">
        <f t="array" ref="CM68">_xlfn.STDEV.P(IF($E$5:$E$35=$E67,CM$5:CM$35))</f>
        <v>#DIV/0!</v>
      </c>
      <c r="CN68" s="67" t="e">
        <f t="array" ref="CN68">_xlfn.STDEV.P(IF($E$5:$E$35=$E67,CN$5:CN$35))</f>
        <v>#DIV/0!</v>
      </c>
      <c r="CO68" s="67" t="e">
        <f t="array" ref="CO68">_xlfn.STDEV.P(IF($E$5:$E$35=$E67,CO$5:CO$35))</f>
        <v>#DIV/0!</v>
      </c>
      <c r="CP68" s="67" t="e">
        <f t="array" ref="CP68">_xlfn.STDEV.P(IF($E$5:$E$35=$E67,CP$5:CP$35))</f>
        <v>#DIV/0!</v>
      </c>
      <c r="CQ68" s="67" t="e">
        <f t="array" ref="CQ68">_xlfn.STDEV.P(IF($E$5:$E$35=$E67,CQ$5:CQ$35))</f>
        <v>#DIV/0!</v>
      </c>
      <c r="CR68" s="67" t="e">
        <f t="array" ref="CR68">_xlfn.STDEV.P(IF($E$5:$E$35=$E67,CR$5:CR$35))</f>
        <v>#DIV/0!</v>
      </c>
      <c r="CS68" s="67" t="e">
        <f t="array" ref="CS68">_xlfn.STDEV.P(IF($E$5:$E$35=$E67,CS$5:CS$35))</f>
        <v>#DIV/0!</v>
      </c>
      <c r="CT68" s="67" t="e">
        <f t="array" ref="CT68">_xlfn.STDEV.P(IF($E$5:$E$35=$E67,CT$5:CT$35))</f>
        <v>#DIV/0!</v>
      </c>
      <c r="CU68" s="67" t="e">
        <f t="array" ref="CU68">_xlfn.STDEV.P(IF($E$5:$E$35=$E67,CU$5:CU$35))</f>
        <v>#DIV/0!</v>
      </c>
      <c r="CV68" s="69"/>
    </row>
    <row r="69" spans="1:100" ht="15">
      <c r="A69" s="103"/>
      <c r="E69" s="108"/>
      <c r="H69" s="45"/>
    </row>
    <row r="70" spans="1:100" ht="14.25" customHeight="1">
      <c r="A70" s="103"/>
      <c r="E70" s="108" t="str">
        <f>'5GY EBRT Groups'!C16</f>
        <v>Group 11</v>
      </c>
      <c r="H70" s="108" t="str">
        <f>E70</f>
        <v>Group 11</v>
      </c>
      <c r="I70" s="277" t="e">
        <f>AVERAGEIF($E$5:$E$35,$E70,I$5:I$35)</f>
        <v>#DIV/0!</v>
      </c>
      <c r="J70" s="65" t="s">
        <v>9</v>
      </c>
      <c r="K70" s="71" t="e">
        <f t="shared" ref="K70:BB70" si="37">AVERAGEIF($E$5:$E$35,$E70,K$5:K$35)</f>
        <v>#DIV/0!</v>
      </c>
      <c r="L70" s="71" t="e">
        <f t="shared" si="37"/>
        <v>#DIV/0!</v>
      </c>
      <c r="M70" s="71" t="e">
        <f t="shared" si="37"/>
        <v>#DIV/0!</v>
      </c>
      <c r="N70" s="71" t="e">
        <f t="shared" si="37"/>
        <v>#DIV/0!</v>
      </c>
      <c r="O70" s="71" t="e">
        <f t="shared" si="37"/>
        <v>#DIV/0!</v>
      </c>
      <c r="P70" s="71" t="e">
        <f t="shared" si="37"/>
        <v>#DIV/0!</v>
      </c>
      <c r="Q70" s="71" t="e">
        <f t="shared" si="37"/>
        <v>#DIV/0!</v>
      </c>
      <c r="R70" s="71" t="e">
        <f t="shared" si="37"/>
        <v>#DIV/0!</v>
      </c>
      <c r="S70" s="71" t="e">
        <f t="shared" si="37"/>
        <v>#DIV/0!</v>
      </c>
      <c r="T70" s="71" t="e">
        <f t="shared" si="37"/>
        <v>#DIV/0!</v>
      </c>
      <c r="U70" s="71" t="e">
        <f t="shared" si="37"/>
        <v>#DIV/0!</v>
      </c>
      <c r="V70" s="71" t="e">
        <f t="shared" si="37"/>
        <v>#DIV/0!</v>
      </c>
      <c r="W70" s="71" t="e">
        <f t="shared" si="37"/>
        <v>#DIV/0!</v>
      </c>
      <c r="X70" s="71" t="e">
        <f t="shared" si="37"/>
        <v>#DIV/0!</v>
      </c>
      <c r="Y70" s="71" t="e">
        <f t="shared" si="37"/>
        <v>#DIV/0!</v>
      </c>
      <c r="Z70" s="71" t="e">
        <f t="shared" si="37"/>
        <v>#DIV/0!</v>
      </c>
      <c r="AA70" s="71" t="e">
        <f t="shared" si="37"/>
        <v>#DIV/0!</v>
      </c>
      <c r="AB70" s="71" t="e">
        <f t="shared" si="37"/>
        <v>#DIV/0!</v>
      </c>
      <c r="AC70" s="71" t="e">
        <f t="shared" si="37"/>
        <v>#DIV/0!</v>
      </c>
      <c r="AD70" s="71" t="e">
        <f t="shared" si="37"/>
        <v>#DIV/0!</v>
      </c>
      <c r="AE70" s="71" t="e">
        <f t="shared" si="37"/>
        <v>#DIV/0!</v>
      </c>
      <c r="AF70" s="71" t="e">
        <f t="shared" si="37"/>
        <v>#DIV/0!</v>
      </c>
      <c r="AG70" s="71" t="e">
        <f t="shared" si="37"/>
        <v>#DIV/0!</v>
      </c>
      <c r="AH70" s="71" t="e">
        <f t="shared" si="37"/>
        <v>#DIV/0!</v>
      </c>
      <c r="AI70" s="71" t="e">
        <f t="shared" si="37"/>
        <v>#DIV/0!</v>
      </c>
      <c r="AJ70" s="71" t="e">
        <f t="shared" si="37"/>
        <v>#DIV/0!</v>
      </c>
      <c r="AK70" s="71" t="e">
        <f t="shared" si="37"/>
        <v>#DIV/0!</v>
      </c>
      <c r="AL70" s="71" t="e">
        <f t="shared" si="37"/>
        <v>#DIV/0!</v>
      </c>
      <c r="AM70" s="71" t="e">
        <f t="shared" si="37"/>
        <v>#DIV/0!</v>
      </c>
      <c r="AN70" s="71" t="e">
        <f t="shared" si="37"/>
        <v>#DIV/0!</v>
      </c>
      <c r="AO70" s="71" t="e">
        <f t="shared" si="37"/>
        <v>#DIV/0!</v>
      </c>
      <c r="AP70" s="71" t="e">
        <f t="shared" si="37"/>
        <v>#DIV/0!</v>
      </c>
      <c r="AQ70" s="71" t="e">
        <f t="shared" si="37"/>
        <v>#DIV/0!</v>
      </c>
      <c r="AR70" s="71" t="e">
        <f t="shared" si="37"/>
        <v>#DIV/0!</v>
      </c>
      <c r="AS70" s="71" t="e">
        <f t="shared" si="37"/>
        <v>#DIV/0!</v>
      </c>
      <c r="AT70" s="71" t="e">
        <f t="shared" si="37"/>
        <v>#DIV/0!</v>
      </c>
      <c r="AU70" s="71" t="e">
        <f t="shared" si="37"/>
        <v>#DIV/0!</v>
      </c>
      <c r="AV70" s="71" t="e">
        <f t="shared" si="37"/>
        <v>#DIV/0!</v>
      </c>
      <c r="AW70" s="71" t="e">
        <f t="shared" si="37"/>
        <v>#DIV/0!</v>
      </c>
      <c r="AX70" s="71" t="e">
        <f t="shared" si="37"/>
        <v>#DIV/0!</v>
      </c>
      <c r="AY70" s="71" t="e">
        <f t="shared" si="37"/>
        <v>#DIV/0!</v>
      </c>
      <c r="AZ70" s="71" t="e">
        <f t="shared" si="37"/>
        <v>#DIV/0!</v>
      </c>
      <c r="BA70" s="71" t="e">
        <f t="shared" si="37"/>
        <v>#DIV/0!</v>
      </c>
      <c r="BB70" s="71" t="e">
        <f t="shared" si="37"/>
        <v>#DIV/0!</v>
      </c>
      <c r="BC70" s="93" t="s">
        <v>9</v>
      </c>
      <c r="BD70" s="66" t="e">
        <f t="shared" ref="BD70:CU70" si="38">AVERAGEIF($E$5:$E$35,$E70,BD$5:BD$35)</f>
        <v>#DIV/0!</v>
      </c>
      <c r="BE70" s="66" t="e">
        <f t="shared" si="38"/>
        <v>#DIV/0!</v>
      </c>
      <c r="BF70" s="66" t="e">
        <f t="shared" si="38"/>
        <v>#DIV/0!</v>
      </c>
      <c r="BG70" s="66" t="e">
        <f t="shared" si="38"/>
        <v>#DIV/0!</v>
      </c>
      <c r="BH70" s="66" t="e">
        <f t="shared" si="38"/>
        <v>#DIV/0!</v>
      </c>
      <c r="BI70" s="66" t="e">
        <f t="shared" si="38"/>
        <v>#DIV/0!</v>
      </c>
      <c r="BJ70" s="66" t="e">
        <f t="shared" si="38"/>
        <v>#DIV/0!</v>
      </c>
      <c r="BK70" s="66" t="e">
        <f t="shared" si="38"/>
        <v>#DIV/0!</v>
      </c>
      <c r="BL70" s="66" t="e">
        <f t="shared" si="38"/>
        <v>#DIV/0!</v>
      </c>
      <c r="BM70" s="66" t="e">
        <f t="shared" si="38"/>
        <v>#DIV/0!</v>
      </c>
      <c r="BN70" s="66" t="e">
        <f t="shared" si="38"/>
        <v>#DIV/0!</v>
      </c>
      <c r="BO70" s="66" t="e">
        <f t="shared" si="38"/>
        <v>#DIV/0!</v>
      </c>
      <c r="BP70" s="66" t="e">
        <f t="shared" si="38"/>
        <v>#DIV/0!</v>
      </c>
      <c r="BQ70" s="66" t="e">
        <f t="shared" si="38"/>
        <v>#DIV/0!</v>
      </c>
      <c r="BR70" s="66" t="e">
        <f t="shared" si="38"/>
        <v>#DIV/0!</v>
      </c>
      <c r="BS70" s="66" t="e">
        <f t="shared" si="38"/>
        <v>#DIV/0!</v>
      </c>
      <c r="BT70" s="66" t="e">
        <f t="shared" si="38"/>
        <v>#DIV/0!</v>
      </c>
      <c r="BU70" s="66" t="e">
        <f t="shared" si="38"/>
        <v>#DIV/0!</v>
      </c>
      <c r="BV70" s="66" t="e">
        <f t="shared" si="38"/>
        <v>#DIV/0!</v>
      </c>
      <c r="BW70" s="66" t="e">
        <f t="shared" si="38"/>
        <v>#DIV/0!</v>
      </c>
      <c r="BX70" s="66" t="e">
        <f t="shared" si="38"/>
        <v>#DIV/0!</v>
      </c>
      <c r="BY70" s="66" t="e">
        <f t="shared" si="38"/>
        <v>#DIV/0!</v>
      </c>
      <c r="BZ70" s="66" t="e">
        <f t="shared" si="38"/>
        <v>#DIV/0!</v>
      </c>
      <c r="CA70" s="66" t="e">
        <f t="shared" si="38"/>
        <v>#DIV/0!</v>
      </c>
      <c r="CB70" s="66" t="e">
        <f t="shared" si="38"/>
        <v>#DIV/0!</v>
      </c>
      <c r="CC70" s="66" t="e">
        <f t="shared" si="38"/>
        <v>#DIV/0!</v>
      </c>
      <c r="CD70" s="66" t="e">
        <f t="shared" si="38"/>
        <v>#DIV/0!</v>
      </c>
      <c r="CE70" s="66" t="e">
        <f t="shared" si="38"/>
        <v>#DIV/0!</v>
      </c>
      <c r="CF70" s="66" t="e">
        <f t="shared" si="38"/>
        <v>#DIV/0!</v>
      </c>
      <c r="CG70" s="66" t="e">
        <f t="shared" si="38"/>
        <v>#DIV/0!</v>
      </c>
      <c r="CH70" s="66" t="e">
        <f t="shared" si="38"/>
        <v>#DIV/0!</v>
      </c>
      <c r="CI70" s="66" t="e">
        <f t="shared" si="38"/>
        <v>#DIV/0!</v>
      </c>
      <c r="CJ70" s="66" t="e">
        <f t="shared" si="38"/>
        <v>#DIV/0!</v>
      </c>
      <c r="CK70" s="66" t="e">
        <f t="shared" si="38"/>
        <v>#DIV/0!</v>
      </c>
      <c r="CL70" s="66" t="e">
        <f t="shared" si="38"/>
        <v>#DIV/0!</v>
      </c>
      <c r="CM70" s="66" t="e">
        <f t="shared" si="38"/>
        <v>#DIV/0!</v>
      </c>
      <c r="CN70" s="66" t="e">
        <f t="shared" si="38"/>
        <v>#DIV/0!</v>
      </c>
      <c r="CO70" s="66" t="e">
        <f t="shared" si="38"/>
        <v>#DIV/0!</v>
      </c>
      <c r="CP70" s="66" t="e">
        <f t="shared" si="38"/>
        <v>#DIV/0!</v>
      </c>
      <c r="CQ70" s="66" t="e">
        <f t="shared" si="38"/>
        <v>#DIV/0!</v>
      </c>
      <c r="CR70" s="66" t="e">
        <f t="shared" si="38"/>
        <v>#DIV/0!</v>
      </c>
      <c r="CS70" s="66" t="e">
        <f t="shared" si="38"/>
        <v>#DIV/0!</v>
      </c>
      <c r="CT70" s="66" t="e">
        <f t="shared" si="38"/>
        <v>#DIV/0!</v>
      </c>
      <c r="CU70" s="66" t="e">
        <f t="shared" si="38"/>
        <v>#DIV/0!</v>
      </c>
      <c r="CV70" s="69"/>
    </row>
    <row r="71" spans="1:100" ht="14.25" customHeight="1">
      <c r="A71" s="103"/>
      <c r="E71" s="83"/>
      <c r="H71" s="83"/>
      <c r="I71" s="277" t="e">
        <f t="array" ref="I71">_xlfn.STDEV.P(IF($E$5:$E$35=$E70,I$5:I$35))</f>
        <v>#DIV/0!</v>
      </c>
      <c r="J71" s="65" t="s">
        <v>11</v>
      </c>
      <c r="K71" s="74" t="e">
        <f t="array" ref="K71">_xlfn.STDEV.P(IF($E$5:$E$35=$E70,K$5:K$35))</f>
        <v>#DIV/0!</v>
      </c>
      <c r="L71" s="74" t="e">
        <f t="array" ref="L71">_xlfn.STDEV.P(IF($E$5:$E$35=$E70,L$5:L$35))</f>
        <v>#DIV/0!</v>
      </c>
      <c r="M71" s="74" t="e">
        <f t="array" ref="M71">_xlfn.STDEV.P(IF($E$5:$E$35=$E70,M$5:M$35))</f>
        <v>#DIV/0!</v>
      </c>
      <c r="N71" s="74" t="e">
        <f t="array" ref="N71">_xlfn.STDEV.P(IF($E$5:$E$35=$E70,N$5:N$35))</f>
        <v>#DIV/0!</v>
      </c>
      <c r="O71" s="74" t="e">
        <f t="array" ref="O71">_xlfn.STDEV.P(IF($E$5:$E$35=$E70,O$5:O$35))</f>
        <v>#DIV/0!</v>
      </c>
      <c r="P71" s="74" t="e">
        <f t="array" ref="P71">_xlfn.STDEV.P(IF($E$5:$E$35=$E70,P$5:P$35))</f>
        <v>#DIV/0!</v>
      </c>
      <c r="Q71" s="74" t="e">
        <f t="array" ref="Q71">_xlfn.STDEV.P(IF($E$5:$E$35=$E70,Q$5:Q$35))</f>
        <v>#DIV/0!</v>
      </c>
      <c r="R71" s="74" t="e">
        <f t="array" ref="R71">_xlfn.STDEV.P(IF($E$5:$E$35=$E70,R$5:R$35))</f>
        <v>#DIV/0!</v>
      </c>
      <c r="S71" s="74" t="e">
        <f t="array" ref="S71">_xlfn.STDEV.P(IF($E$5:$E$35=$E70,S$5:S$35))</f>
        <v>#DIV/0!</v>
      </c>
      <c r="T71" s="74" t="e">
        <f t="array" ref="T71">_xlfn.STDEV.P(IF($E$5:$E$35=$E70,T$5:T$35))</f>
        <v>#DIV/0!</v>
      </c>
      <c r="U71" s="74" t="e">
        <f t="array" ref="U71">_xlfn.STDEV.P(IF($E$5:$E$35=$E70,U$5:U$35))</f>
        <v>#DIV/0!</v>
      </c>
      <c r="V71" s="74" t="e">
        <f t="array" ref="V71">_xlfn.STDEV.P(IF($E$5:$E$35=$E70,V$5:V$35))</f>
        <v>#DIV/0!</v>
      </c>
      <c r="W71" s="74" t="e">
        <f t="array" ref="W71">_xlfn.STDEV.P(IF($E$5:$E$35=$E70,W$5:W$35))</f>
        <v>#DIV/0!</v>
      </c>
      <c r="X71" s="74" t="e">
        <f t="array" ref="X71">_xlfn.STDEV.P(IF($E$5:$E$35=$E70,X$5:X$35))</f>
        <v>#DIV/0!</v>
      </c>
      <c r="Y71" s="74" t="e">
        <f t="array" ref="Y71">_xlfn.STDEV.P(IF($E$5:$E$35=$E70,Y$5:Y$35))</f>
        <v>#DIV/0!</v>
      </c>
      <c r="Z71" s="74" t="e">
        <f t="array" ref="Z71">_xlfn.STDEV.P(IF($E$5:$E$35=$E70,Z$5:Z$35))</f>
        <v>#DIV/0!</v>
      </c>
      <c r="AA71" s="74" t="e">
        <f t="array" ref="AA71">_xlfn.STDEV.P(IF($E$5:$E$35=$E70,AA$5:AA$35))</f>
        <v>#DIV/0!</v>
      </c>
      <c r="AB71" s="74" t="e">
        <f t="array" ref="AB71">_xlfn.STDEV.P(IF($E$5:$E$35=$E70,AB$5:AB$35))</f>
        <v>#DIV/0!</v>
      </c>
      <c r="AC71" s="74" t="e">
        <f t="array" ref="AC71">_xlfn.STDEV.P(IF($E$5:$E$35=$E70,AC$5:AC$35))</f>
        <v>#DIV/0!</v>
      </c>
      <c r="AD71" s="74" t="e">
        <f t="array" ref="AD71">_xlfn.STDEV.P(IF($E$5:$E$35=$E70,AD$5:AD$35))</f>
        <v>#DIV/0!</v>
      </c>
      <c r="AE71" s="74" t="e">
        <f t="array" ref="AE71">_xlfn.STDEV.P(IF($E$5:$E$35=$E70,AE$5:AE$35))</f>
        <v>#DIV/0!</v>
      </c>
      <c r="AF71" s="74" t="e">
        <f t="array" ref="AF71">_xlfn.STDEV.P(IF($E$5:$E$35=$E70,AF$5:AF$35))</f>
        <v>#DIV/0!</v>
      </c>
      <c r="AG71" s="74" t="e">
        <f t="array" ref="AG71">_xlfn.STDEV.P(IF($E$5:$E$35=$E70,AG$5:AG$35))</f>
        <v>#DIV/0!</v>
      </c>
      <c r="AH71" s="74" t="e">
        <f t="array" ref="AH71">_xlfn.STDEV.P(IF($E$5:$E$35=$E70,AH$5:AH$35))</f>
        <v>#DIV/0!</v>
      </c>
      <c r="AI71" s="74" t="e">
        <f t="array" ref="AI71">_xlfn.STDEV.P(IF($E$5:$E$35=$E70,AI$5:AI$35))</f>
        <v>#DIV/0!</v>
      </c>
      <c r="AJ71" s="74" t="e">
        <f t="array" ref="AJ71">_xlfn.STDEV.P(IF($E$5:$E$35=$E70,AJ$5:AJ$35))</f>
        <v>#DIV/0!</v>
      </c>
      <c r="AK71" s="74" t="e">
        <f t="array" ref="AK71">_xlfn.STDEV.P(IF($E$5:$E$35=$E70,AK$5:AK$35))</f>
        <v>#DIV/0!</v>
      </c>
      <c r="AL71" s="74" t="e">
        <f t="array" ref="AL71">_xlfn.STDEV.P(IF($E$5:$E$35=$E70,AL$5:AL$35))</f>
        <v>#DIV/0!</v>
      </c>
      <c r="AM71" s="74" t="e">
        <f t="array" ref="AM71">_xlfn.STDEV.P(IF($E$5:$E$35=$E70,AM$5:AM$35))</f>
        <v>#DIV/0!</v>
      </c>
      <c r="AN71" s="74" t="e">
        <f t="array" ref="AN71">_xlfn.STDEV.P(IF($E$5:$E$35=$E70,AN$5:AN$35))</f>
        <v>#DIV/0!</v>
      </c>
      <c r="AO71" s="74" t="e">
        <f t="array" ref="AO71">_xlfn.STDEV.P(IF($E$5:$E$35=$E70,AO$5:AO$35))</f>
        <v>#DIV/0!</v>
      </c>
      <c r="AP71" s="74" t="e">
        <f t="array" ref="AP71">_xlfn.STDEV.P(IF($E$5:$E$35=$E70,AP$5:AP$35))</f>
        <v>#DIV/0!</v>
      </c>
      <c r="AQ71" s="74" t="e">
        <f t="array" ref="AQ71">_xlfn.STDEV.P(IF($E$5:$E$35=$E70,AQ$5:AQ$35))</f>
        <v>#DIV/0!</v>
      </c>
      <c r="AR71" s="74" t="e">
        <f t="array" ref="AR71">_xlfn.STDEV.P(IF($E$5:$E$35=$E70,AR$5:AR$35))</f>
        <v>#DIV/0!</v>
      </c>
      <c r="AS71" s="74" t="e">
        <f t="array" ref="AS71">_xlfn.STDEV.P(IF($E$5:$E$35=$E70,AS$5:AS$35))</f>
        <v>#DIV/0!</v>
      </c>
      <c r="AT71" s="74" t="e">
        <f t="array" ref="AT71">_xlfn.STDEV.P(IF($E$5:$E$35=$E70,AT$5:AT$35))</f>
        <v>#DIV/0!</v>
      </c>
      <c r="AU71" s="74" t="e">
        <f t="array" ref="AU71">_xlfn.STDEV.P(IF($E$5:$E$35=$E70,AU$5:AU$35))</f>
        <v>#DIV/0!</v>
      </c>
      <c r="AV71" s="74" t="e">
        <f t="array" ref="AV71">_xlfn.STDEV.P(IF($E$5:$E$35=$E70,AV$5:AV$35))</f>
        <v>#DIV/0!</v>
      </c>
      <c r="AW71" s="74" t="e">
        <f t="array" ref="AW71">_xlfn.STDEV.P(IF($E$5:$E$35=$E70,AW$5:AW$35))</f>
        <v>#DIV/0!</v>
      </c>
      <c r="AX71" s="74" t="e">
        <f t="array" ref="AX71">_xlfn.STDEV.P(IF($E$5:$E$35=$E70,AX$5:AX$35))</f>
        <v>#DIV/0!</v>
      </c>
      <c r="AY71" s="74" t="e">
        <f t="array" ref="AY71">_xlfn.STDEV.P(IF($E$5:$E$35=$E70,AY$5:AY$35))</f>
        <v>#DIV/0!</v>
      </c>
      <c r="AZ71" s="74" t="e">
        <f t="array" ref="AZ71">_xlfn.STDEV.P(IF($E$5:$E$35=$E70,AZ$5:AZ$35))</f>
        <v>#DIV/0!</v>
      </c>
      <c r="BA71" s="74" t="e">
        <f t="array" ref="BA71">_xlfn.STDEV.P(IF($E$5:$E$35=$E70,BA$5:BA$35))</f>
        <v>#DIV/0!</v>
      </c>
      <c r="BB71" s="74" t="e">
        <f t="array" ref="BB71">_xlfn.STDEV.P(IF($E$5:$E$35=$E70,BB$5:BB$35))</f>
        <v>#DIV/0!</v>
      </c>
      <c r="BC71" s="94" t="s">
        <v>11</v>
      </c>
      <c r="BD71" s="67" t="e">
        <f t="array" ref="BD71">_xlfn.STDEV.P(IF($E$5:$E$35=$E70,BD$5:BD$35))</f>
        <v>#DIV/0!</v>
      </c>
      <c r="BE71" s="67" t="e">
        <f t="array" ref="BE71">_xlfn.STDEV.P(IF($E$5:$E$35=$E70,BE$5:BE$35))</f>
        <v>#DIV/0!</v>
      </c>
      <c r="BF71" s="67" t="e">
        <f t="array" ref="BF71">_xlfn.STDEV.P(IF($E$5:$E$35=$E70,BF$5:BF$35))</f>
        <v>#DIV/0!</v>
      </c>
      <c r="BG71" s="67" t="e">
        <f t="array" ref="BG71">_xlfn.STDEV.P(IF($E$5:$E$35=$E70,BG$5:BG$35))</f>
        <v>#DIV/0!</v>
      </c>
      <c r="BH71" s="67" t="e">
        <f t="array" ref="BH71">_xlfn.STDEV.P(IF($E$5:$E$35=$E70,BH$5:BH$35))</f>
        <v>#DIV/0!</v>
      </c>
      <c r="BI71" s="67" t="e">
        <f t="array" ref="BI71">_xlfn.STDEV.P(IF($E$5:$E$35=$E70,BI$5:BI$35))</f>
        <v>#DIV/0!</v>
      </c>
      <c r="BJ71" s="67" t="e">
        <f t="array" ref="BJ71">_xlfn.STDEV.P(IF($E$5:$E$35=$E70,BJ$5:BJ$35))</f>
        <v>#DIV/0!</v>
      </c>
      <c r="BK71" s="67" t="e">
        <f t="array" ref="BK71">_xlfn.STDEV.P(IF($E$5:$E$35=$E70,BK$5:BK$35))</f>
        <v>#DIV/0!</v>
      </c>
      <c r="BL71" s="67" t="e">
        <f t="array" ref="BL71">_xlfn.STDEV.P(IF($E$5:$E$35=$E70,BL$5:BL$35))</f>
        <v>#DIV/0!</v>
      </c>
      <c r="BM71" s="67" t="e">
        <f t="array" ref="BM71">_xlfn.STDEV.P(IF($E$5:$E$35=$E70,BM$5:BM$35))</f>
        <v>#DIV/0!</v>
      </c>
      <c r="BN71" s="67" t="e">
        <f t="array" ref="BN71">_xlfn.STDEV.P(IF($E$5:$E$35=$E70,BN$5:BN$35))</f>
        <v>#DIV/0!</v>
      </c>
      <c r="BO71" s="67" t="e">
        <f t="array" ref="BO71">_xlfn.STDEV.P(IF($E$5:$E$35=$E70,BO$5:BO$35))</f>
        <v>#DIV/0!</v>
      </c>
      <c r="BP71" s="67" t="e">
        <f t="array" ref="BP71">_xlfn.STDEV.P(IF($E$5:$E$35=$E70,BP$5:BP$35))</f>
        <v>#DIV/0!</v>
      </c>
      <c r="BQ71" s="67" t="e">
        <f t="array" ref="BQ71">_xlfn.STDEV.P(IF($E$5:$E$35=$E70,BQ$5:BQ$35))</f>
        <v>#DIV/0!</v>
      </c>
      <c r="BR71" s="67" t="e">
        <f t="array" ref="BR71">_xlfn.STDEV.P(IF($E$5:$E$35=$E70,BR$5:BR$35))</f>
        <v>#DIV/0!</v>
      </c>
      <c r="BS71" s="67" t="e">
        <f t="array" ref="BS71">_xlfn.STDEV.P(IF($E$5:$E$35=$E70,BS$5:BS$35))</f>
        <v>#DIV/0!</v>
      </c>
      <c r="BT71" s="67" t="e">
        <f t="array" ref="BT71">_xlfn.STDEV.P(IF($E$5:$E$35=$E70,BT$5:BT$35))</f>
        <v>#DIV/0!</v>
      </c>
      <c r="BU71" s="67" t="e">
        <f t="array" ref="BU71">_xlfn.STDEV.P(IF($E$5:$E$35=$E70,BU$5:BU$35))</f>
        <v>#DIV/0!</v>
      </c>
      <c r="BV71" s="67" t="e">
        <f t="array" ref="BV71">_xlfn.STDEV.P(IF($E$5:$E$35=$E70,BV$5:BV$35))</f>
        <v>#DIV/0!</v>
      </c>
      <c r="BW71" s="67" t="e">
        <f t="array" ref="BW71">_xlfn.STDEV.P(IF($E$5:$E$35=$E70,BW$5:BW$35))</f>
        <v>#DIV/0!</v>
      </c>
      <c r="BX71" s="67" t="e">
        <f t="array" ref="BX71">_xlfn.STDEV.P(IF($E$5:$E$35=$E70,BX$5:BX$35))</f>
        <v>#DIV/0!</v>
      </c>
      <c r="BY71" s="67" t="e">
        <f t="array" ref="BY71">_xlfn.STDEV.P(IF($E$5:$E$35=$E70,BY$5:BY$35))</f>
        <v>#DIV/0!</v>
      </c>
      <c r="BZ71" s="67" t="e">
        <f t="array" ref="BZ71">_xlfn.STDEV.P(IF($E$5:$E$35=$E70,BZ$5:BZ$35))</f>
        <v>#DIV/0!</v>
      </c>
      <c r="CA71" s="67" t="e">
        <f t="array" ref="CA71">_xlfn.STDEV.P(IF($E$5:$E$35=$E70,CA$5:CA$35))</f>
        <v>#DIV/0!</v>
      </c>
      <c r="CB71" s="67" t="e">
        <f t="array" ref="CB71">_xlfn.STDEV.P(IF($E$5:$E$35=$E70,CB$5:CB$35))</f>
        <v>#DIV/0!</v>
      </c>
      <c r="CC71" s="67" t="e">
        <f t="array" ref="CC71">_xlfn.STDEV.P(IF($E$5:$E$35=$E70,CC$5:CC$35))</f>
        <v>#DIV/0!</v>
      </c>
      <c r="CD71" s="67" t="e">
        <f t="array" ref="CD71">_xlfn.STDEV.P(IF($E$5:$E$35=$E70,CD$5:CD$35))</f>
        <v>#DIV/0!</v>
      </c>
      <c r="CE71" s="67" t="e">
        <f t="array" ref="CE71">_xlfn.STDEV.P(IF($E$5:$E$35=$E70,CE$5:CE$35))</f>
        <v>#DIV/0!</v>
      </c>
      <c r="CF71" s="67" t="e">
        <f t="array" ref="CF71">_xlfn.STDEV.P(IF($E$5:$E$35=$E70,CF$5:CF$35))</f>
        <v>#DIV/0!</v>
      </c>
      <c r="CG71" s="67" t="e">
        <f t="array" ref="CG71">_xlfn.STDEV.P(IF($E$5:$E$35=$E70,CG$5:CG$35))</f>
        <v>#DIV/0!</v>
      </c>
      <c r="CH71" s="67" t="e">
        <f t="array" ref="CH71">_xlfn.STDEV.P(IF($E$5:$E$35=$E70,CH$5:CH$35))</f>
        <v>#DIV/0!</v>
      </c>
      <c r="CI71" s="67" t="e">
        <f t="array" ref="CI71">_xlfn.STDEV.P(IF($E$5:$E$35=$E70,CI$5:CI$35))</f>
        <v>#DIV/0!</v>
      </c>
      <c r="CJ71" s="67" t="e">
        <f t="array" ref="CJ71">_xlfn.STDEV.P(IF($E$5:$E$35=$E70,CJ$5:CJ$35))</f>
        <v>#DIV/0!</v>
      </c>
      <c r="CK71" s="67" t="e">
        <f t="array" ref="CK71">_xlfn.STDEV.P(IF($E$5:$E$35=$E70,CK$5:CK$35))</f>
        <v>#DIV/0!</v>
      </c>
      <c r="CL71" s="67" t="e">
        <f t="array" ref="CL71">_xlfn.STDEV.P(IF($E$5:$E$35=$E70,CL$5:CL$35))</f>
        <v>#DIV/0!</v>
      </c>
      <c r="CM71" s="67" t="e">
        <f t="array" ref="CM71">_xlfn.STDEV.P(IF($E$5:$E$35=$E70,CM$5:CM$35))</f>
        <v>#DIV/0!</v>
      </c>
      <c r="CN71" s="67" t="e">
        <f t="array" ref="CN71">_xlfn.STDEV.P(IF($E$5:$E$35=$E70,CN$5:CN$35))</f>
        <v>#DIV/0!</v>
      </c>
      <c r="CO71" s="67" t="e">
        <f t="array" ref="CO71">_xlfn.STDEV.P(IF($E$5:$E$35=$E70,CO$5:CO$35))</f>
        <v>#DIV/0!</v>
      </c>
      <c r="CP71" s="67" t="e">
        <f t="array" ref="CP71">_xlfn.STDEV.P(IF($E$5:$E$35=$E70,CP$5:CP$35))</f>
        <v>#DIV/0!</v>
      </c>
      <c r="CQ71" s="67" t="e">
        <f t="array" ref="CQ71">_xlfn.STDEV.P(IF($E$5:$E$35=$E70,CQ$5:CQ$35))</f>
        <v>#DIV/0!</v>
      </c>
      <c r="CR71" s="67" t="e">
        <f t="array" ref="CR71">_xlfn.STDEV.P(IF($E$5:$E$35=$E70,CR$5:CR$35))</f>
        <v>#DIV/0!</v>
      </c>
      <c r="CS71" s="67" t="e">
        <f t="array" ref="CS71">_xlfn.STDEV.P(IF($E$5:$E$35=$E70,CS$5:CS$35))</f>
        <v>#DIV/0!</v>
      </c>
      <c r="CT71" s="67" t="e">
        <f t="array" ref="CT71">_xlfn.STDEV.P(IF($E$5:$E$35=$E70,CT$5:CT$35))</f>
        <v>#DIV/0!</v>
      </c>
      <c r="CU71" s="67" t="e">
        <f t="array" ref="CU71">_xlfn.STDEV.P(IF($E$5:$E$35=$E70,CU$5:CU$35))</f>
        <v>#DIV/0!</v>
      </c>
      <c r="CV71" s="69"/>
    </row>
    <row r="72" spans="1:100" ht="15">
      <c r="A72" s="103"/>
      <c r="E72" s="108"/>
      <c r="H72" s="45"/>
    </row>
    <row r="73" spans="1:100" ht="14.25" customHeight="1">
      <c r="A73" s="103"/>
      <c r="E73" s="108" t="str">
        <f>'5GY EBRT Groups'!C17</f>
        <v>Group 12</v>
      </c>
      <c r="H73" s="108" t="str">
        <f>E73</f>
        <v>Group 12</v>
      </c>
      <c r="I73" s="277" t="e">
        <f>AVERAGEIF($E$5:$E$35,$E73,I$5:I$35)</f>
        <v>#DIV/0!</v>
      </c>
      <c r="J73" s="65" t="s">
        <v>9</v>
      </c>
      <c r="K73" s="71" t="e">
        <f t="shared" ref="K73:BB73" si="39">AVERAGEIF($E$5:$E$35,$E73,K$5:K$35)</f>
        <v>#DIV/0!</v>
      </c>
      <c r="L73" s="71" t="e">
        <f t="shared" si="39"/>
        <v>#DIV/0!</v>
      </c>
      <c r="M73" s="71" t="e">
        <f t="shared" si="39"/>
        <v>#DIV/0!</v>
      </c>
      <c r="N73" s="71" t="e">
        <f t="shared" si="39"/>
        <v>#DIV/0!</v>
      </c>
      <c r="O73" s="71" t="e">
        <f t="shared" si="39"/>
        <v>#DIV/0!</v>
      </c>
      <c r="P73" s="71" t="e">
        <f t="shared" si="39"/>
        <v>#DIV/0!</v>
      </c>
      <c r="Q73" s="71" t="e">
        <f t="shared" si="39"/>
        <v>#DIV/0!</v>
      </c>
      <c r="R73" s="71" t="e">
        <f t="shared" si="39"/>
        <v>#DIV/0!</v>
      </c>
      <c r="S73" s="71" t="e">
        <f t="shared" si="39"/>
        <v>#DIV/0!</v>
      </c>
      <c r="T73" s="71" t="e">
        <f t="shared" si="39"/>
        <v>#DIV/0!</v>
      </c>
      <c r="U73" s="71" t="e">
        <f t="shared" si="39"/>
        <v>#DIV/0!</v>
      </c>
      <c r="V73" s="71" t="e">
        <f t="shared" si="39"/>
        <v>#DIV/0!</v>
      </c>
      <c r="W73" s="71" t="e">
        <f t="shared" si="39"/>
        <v>#DIV/0!</v>
      </c>
      <c r="X73" s="71" t="e">
        <f t="shared" si="39"/>
        <v>#DIV/0!</v>
      </c>
      <c r="Y73" s="71" t="e">
        <f t="shared" si="39"/>
        <v>#DIV/0!</v>
      </c>
      <c r="Z73" s="71" t="e">
        <f t="shared" si="39"/>
        <v>#DIV/0!</v>
      </c>
      <c r="AA73" s="71" t="e">
        <f t="shared" si="39"/>
        <v>#DIV/0!</v>
      </c>
      <c r="AB73" s="71" t="e">
        <f t="shared" si="39"/>
        <v>#DIV/0!</v>
      </c>
      <c r="AC73" s="71" t="e">
        <f t="shared" si="39"/>
        <v>#DIV/0!</v>
      </c>
      <c r="AD73" s="71" t="e">
        <f t="shared" si="39"/>
        <v>#DIV/0!</v>
      </c>
      <c r="AE73" s="71" t="e">
        <f t="shared" si="39"/>
        <v>#DIV/0!</v>
      </c>
      <c r="AF73" s="71" t="e">
        <f t="shared" si="39"/>
        <v>#DIV/0!</v>
      </c>
      <c r="AG73" s="71" t="e">
        <f t="shared" si="39"/>
        <v>#DIV/0!</v>
      </c>
      <c r="AH73" s="71" t="e">
        <f t="shared" si="39"/>
        <v>#DIV/0!</v>
      </c>
      <c r="AI73" s="71" t="e">
        <f t="shared" si="39"/>
        <v>#DIV/0!</v>
      </c>
      <c r="AJ73" s="71" t="e">
        <f t="shared" si="39"/>
        <v>#DIV/0!</v>
      </c>
      <c r="AK73" s="71" t="e">
        <f t="shared" si="39"/>
        <v>#DIV/0!</v>
      </c>
      <c r="AL73" s="71" t="e">
        <f t="shared" si="39"/>
        <v>#DIV/0!</v>
      </c>
      <c r="AM73" s="71" t="e">
        <f t="shared" si="39"/>
        <v>#DIV/0!</v>
      </c>
      <c r="AN73" s="71" t="e">
        <f t="shared" si="39"/>
        <v>#DIV/0!</v>
      </c>
      <c r="AO73" s="71" t="e">
        <f t="shared" si="39"/>
        <v>#DIV/0!</v>
      </c>
      <c r="AP73" s="71" t="e">
        <f t="shared" si="39"/>
        <v>#DIV/0!</v>
      </c>
      <c r="AQ73" s="71" t="e">
        <f t="shared" si="39"/>
        <v>#DIV/0!</v>
      </c>
      <c r="AR73" s="71" t="e">
        <f t="shared" si="39"/>
        <v>#DIV/0!</v>
      </c>
      <c r="AS73" s="71" t="e">
        <f t="shared" si="39"/>
        <v>#DIV/0!</v>
      </c>
      <c r="AT73" s="71" t="e">
        <f t="shared" si="39"/>
        <v>#DIV/0!</v>
      </c>
      <c r="AU73" s="71" t="e">
        <f t="shared" si="39"/>
        <v>#DIV/0!</v>
      </c>
      <c r="AV73" s="71" t="e">
        <f t="shared" si="39"/>
        <v>#DIV/0!</v>
      </c>
      <c r="AW73" s="71" t="e">
        <f t="shared" si="39"/>
        <v>#DIV/0!</v>
      </c>
      <c r="AX73" s="71" t="e">
        <f t="shared" si="39"/>
        <v>#DIV/0!</v>
      </c>
      <c r="AY73" s="71" t="e">
        <f t="shared" si="39"/>
        <v>#DIV/0!</v>
      </c>
      <c r="AZ73" s="71" t="e">
        <f t="shared" si="39"/>
        <v>#DIV/0!</v>
      </c>
      <c r="BA73" s="71" t="e">
        <f t="shared" si="39"/>
        <v>#DIV/0!</v>
      </c>
      <c r="BB73" s="71" t="e">
        <f t="shared" si="39"/>
        <v>#DIV/0!</v>
      </c>
      <c r="BC73" s="93" t="s">
        <v>9</v>
      </c>
      <c r="BD73" s="66" t="e">
        <f t="shared" ref="BD73:CU73" si="40">AVERAGEIF($E$5:$E$35,$E73,BD$5:BD$35)</f>
        <v>#DIV/0!</v>
      </c>
      <c r="BE73" s="66" t="e">
        <f t="shared" si="40"/>
        <v>#DIV/0!</v>
      </c>
      <c r="BF73" s="66" t="e">
        <f t="shared" si="40"/>
        <v>#DIV/0!</v>
      </c>
      <c r="BG73" s="66" t="e">
        <f t="shared" si="40"/>
        <v>#DIV/0!</v>
      </c>
      <c r="BH73" s="66" t="e">
        <f t="shared" si="40"/>
        <v>#DIV/0!</v>
      </c>
      <c r="BI73" s="66" t="e">
        <f t="shared" si="40"/>
        <v>#DIV/0!</v>
      </c>
      <c r="BJ73" s="66" t="e">
        <f t="shared" si="40"/>
        <v>#DIV/0!</v>
      </c>
      <c r="BK73" s="66" t="e">
        <f t="shared" si="40"/>
        <v>#DIV/0!</v>
      </c>
      <c r="BL73" s="66" t="e">
        <f t="shared" si="40"/>
        <v>#DIV/0!</v>
      </c>
      <c r="BM73" s="66" t="e">
        <f t="shared" si="40"/>
        <v>#DIV/0!</v>
      </c>
      <c r="BN73" s="66" t="e">
        <f t="shared" si="40"/>
        <v>#DIV/0!</v>
      </c>
      <c r="BO73" s="66" t="e">
        <f t="shared" si="40"/>
        <v>#DIV/0!</v>
      </c>
      <c r="BP73" s="66" t="e">
        <f t="shared" si="40"/>
        <v>#DIV/0!</v>
      </c>
      <c r="BQ73" s="66" t="e">
        <f t="shared" si="40"/>
        <v>#DIV/0!</v>
      </c>
      <c r="BR73" s="66" t="e">
        <f t="shared" si="40"/>
        <v>#DIV/0!</v>
      </c>
      <c r="BS73" s="66" t="e">
        <f t="shared" si="40"/>
        <v>#DIV/0!</v>
      </c>
      <c r="BT73" s="66" t="e">
        <f t="shared" si="40"/>
        <v>#DIV/0!</v>
      </c>
      <c r="BU73" s="66" t="e">
        <f t="shared" si="40"/>
        <v>#DIV/0!</v>
      </c>
      <c r="BV73" s="66" t="e">
        <f t="shared" si="40"/>
        <v>#DIV/0!</v>
      </c>
      <c r="BW73" s="66" t="e">
        <f t="shared" si="40"/>
        <v>#DIV/0!</v>
      </c>
      <c r="BX73" s="66" t="e">
        <f t="shared" si="40"/>
        <v>#DIV/0!</v>
      </c>
      <c r="BY73" s="66" t="e">
        <f t="shared" si="40"/>
        <v>#DIV/0!</v>
      </c>
      <c r="BZ73" s="66" t="e">
        <f t="shared" si="40"/>
        <v>#DIV/0!</v>
      </c>
      <c r="CA73" s="66" t="e">
        <f t="shared" si="40"/>
        <v>#DIV/0!</v>
      </c>
      <c r="CB73" s="66" t="e">
        <f t="shared" si="40"/>
        <v>#DIV/0!</v>
      </c>
      <c r="CC73" s="66" t="e">
        <f t="shared" si="40"/>
        <v>#DIV/0!</v>
      </c>
      <c r="CD73" s="66" t="e">
        <f t="shared" si="40"/>
        <v>#DIV/0!</v>
      </c>
      <c r="CE73" s="66" t="e">
        <f t="shared" si="40"/>
        <v>#DIV/0!</v>
      </c>
      <c r="CF73" s="66" t="e">
        <f t="shared" si="40"/>
        <v>#DIV/0!</v>
      </c>
      <c r="CG73" s="66" t="e">
        <f t="shared" si="40"/>
        <v>#DIV/0!</v>
      </c>
      <c r="CH73" s="66" t="e">
        <f t="shared" si="40"/>
        <v>#DIV/0!</v>
      </c>
      <c r="CI73" s="66" t="e">
        <f t="shared" si="40"/>
        <v>#DIV/0!</v>
      </c>
      <c r="CJ73" s="66" t="e">
        <f t="shared" si="40"/>
        <v>#DIV/0!</v>
      </c>
      <c r="CK73" s="66" t="e">
        <f t="shared" si="40"/>
        <v>#DIV/0!</v>
      </c>
      <c r="CL73" s="66" t="e">
        <f t="shared" si="40"/>
        <v>#DIV/0!</v>
      </c>
      <c r="CM73" s="66" t="e">
        <f t="shared" si="40"/>
        <v>#DIV/0!</v>
      </c>
      <c r="CN73" s="66" t="e">
        <f t="shared" si="40"/>
        <v>#DIV/0!</v>
      </c>
      <c r="CO73" s="66" t="e">
        <f t="shared" si="40"/>
        <v>#DIV/0!</v>
      </c>
      <c r="CP73" s="66" t="e">
        <f t="shared" si="40"/>
        <v>#DIV/0!</v>
      </c>
      <c r="CQ73" s="66" t="e">
        <f t="shared" si="40"/>
        <v>#DIV/0!</v>
      </c>
      <c r="CR73" s="66" t="e">
        <f t="shared" si="40"/>
        <v>#DIV/0!</v>
      </c>
      <c r="CS73" s="66" t="e">
        <f t="shared" si="40"/>
        <v>#DIV/0!</v>
      </c>
      <c r="CT73" s="66" t="e">
        <f t="shared" si="40"/>
        <v>#DIV/0!</v>
      </c>
      <c r="CU73" s="66" t="e">
        <f t="shared" si="40"/>
        <v>#DIV/0!</v>
      </c>
      <c r="CV73" s="69"/>
    </row>
    <row r="74" spans="1:100" ht="14.25" customHeight="1">
      <c r="A74" s="103"/>
      <c r="E74" s="83"/>
      <c r="H74" s="83"/>
      <c r="I74" s="277" t="e">
        <f t="array" ref="I74">_xlfn.STDEV.P(IF($E$5:$E$35=$E73,I$5:I$35))</f>
        <v>#DIV/0!</v>
      </c>
      <c r="J74" s="65" t="s">
        <v>11</v>
      </c>
      <c r="K74" s="74" t="e">
        <f t="array" ref="K74">_xlfn.STDEV.P(IF($E$5:$E$35=$E73,K$5:K$35))</f>
        <v>#DIV/0!</v>
      </c>
      <c r="L74" s="74" t="e">
        <f t="array" ref="L74">_xlfn.STDEV.P(IF($E$5:$E$35=$E73,L$5:L$35))</f>
        <v>#DIV/0!</v>
      </c>
      <c r="M74" s="74" t="e">
        <f t="array" ref="M74">_xlfn.STDEV.P(IF($E$5:$E$35=$E73,M$5:M$35))</f>
        <v>#DIV/0!</v>
      </c>
      <c r="N74" s="74" t="e">
        <f t="array" ref="N74">_xlfn.STDEV.P(IF($E$5:$E$35=$E73,N$5:N$35))</f>
        <v>#DIV/0!</v>
      </c>
      <c r="O74" s="74" t="e">
        <f t="array" ref="O74">_xlfn.STDEV.P(IF($E$5:$E$35=$E73,O$5:O$35))</f>
        <v>#DIV/0!</v>
      </c>
      <c r="P74" s="74" t="e">
        <f t="array" ref="P74">_xlfn.STDEV.P(IF($E$5:$E$35=$E73,P$5:P$35))</f>
        <v>#DIV/0!</v>
      </c>
      <c r="Q74" s="74" t="e">
        <f t="array" ref="Q74">_xlfn.STDEV.P(IF($E$5:$E$35=$E73,Q$5:Q$35))</f>
        <v>#DIV/0!</v>
      </c>
      <c r="R74" s="74" t="e">
        <f t="array" ref="R74">_xlfn.STDEV.P(IF($E$5:$E$35=$E73,R$5:R$35))</f>
        <v>#DIV/0!</v>
      </c>
      <c r="S74" s="74" t="e">
        <f t="array" ref="S74">_xlfn.STDEV.P(IF($E$5:$E$35=$E73,S$5:S$35))</f>
        <v>#DIV/0!</v>
      </c>
      <c r="T74" s="74" t="e">
        <f t="array" ref="T74">_xlfn.STDEV.P(IF($E$5:$E$35=$E73,T$5:T$35))</f>
        <v>#DIV/0!</v>
      </c>
      <c r="U74" s="74" t="e">
        <f t="array" ref="U74">_xlfn.STDEV.P(IF($E$5:$E$35=$E73,U$5:U$35))</f>
        <v>#DIV/0!</v>
      </c>
      <c r="V74" s="74" t="e">
        <f t="array" ref="V74">_xlfn.STDEV.P(IF($E$5:$E$35=$E73,V$5:V$35))</f>
        <v>#DIV/0!</v>
      </c>
      <c r="W74" s="74" t="e">
        <f t="array" ref="W74">_xlfn.STDEV.P(IF($E$5:$E$35=$E73,W$5:W$35))</f>
        <v>#DIV/0!</v>
      </c>
      <c r="X74" s="74" t="e">
        <f t="array" ref="X74">_xlfn.STDEV.P(IF($E$5:$E$35=$E73,X$5:X$35))</f>
        <v>#DIV/0!</v>
      </c>
      <c r="Y74" s="74" t="e">
        <f t="array" ref="Y74">_xlfn.STDEV.P(IF($E$5:$E$35=$E73,Y$5:Y$35))</f>
        <v>#DIV/0!</v>
      </c>
      <c r="Z74" s="74" t="e">
        <f t="array" ref="Z74">_xlfn.STDEV.P(IF($E$5:$E$35=$E73,Z$5:Z$35))</f>
        <v>#DIV/0!</v>
      </c>
      <c r="AA74" s="74" t="e">
        <f t="array" ref="AA74">_xlfn.STDEV.P(IF($E$5:$E$35=$E73,AA$5:AA$35))</f>
        <v>#DIV/0!</v>
      </c>
      <c r="AB74" s="74" t="e">
        <f t="array" ref="AB74">_xlfn.STDEV.P(IF($E$5:$E$35=$E73,AB$5:AB$35))</f>
        <v>#DIV/0!</v>
      </c>
      <c r="AC74" s="74" t="e">
        <f t="array" ref="AC74">_xlfn.STDEV.P(IF($E$5:$E$35=$E73,AC$5:AC$35))</f>
        <v>#DIV/0!</v>
      </c>
      <c r="AD74" s="74" t="e">
        <f t="array" ref="AD74">_xlfn.STDEV.P(IF($E$5:$E$35=$E73,AD$5:AD$35))</f>
        <v>#DIV/0!</v>
      </c>
      <c r="AE74" s="74" t="e">
        <f t="array" ref="AE74">_xlfn.STDEV.P(IF($E$5:$E$35=$E73,AE$5:AE$35))</f>
        <v>#DIV/0!</v>
      </c>
      <c r="AF74" s="74" t="e">
        <f t="array" ref="AF74">_xlfn.STDEV.P(IF($E$5:$E$35=$E73,AF$5:AF$35))</f>
        <v>#DIV/0!</v>
      </c>
      <c r="AG74" s="74" t="e">
        <f t="array" ref="AG74">_xlfn.STDEV.P(IF($E$5:$E$35=$E73,AG$5:AG$35))</f>
        <v>#DIV/0!</v>
      </c>
      <c r="AH74" s="74" t="e">
        <f t="array" ref="AH74">_xlfn.STDEV.P(IF($E$5:$E$35=$E73,AH$5:AH$35))</f>
        <v>#DIV/0!</v>
      </c>
      <c r="AI74" s="74" t="e">
        <f t="array" ref="AI74">_xlfn.STDEV.P(IF($E$5:$E$35=$E73,AI$5:AI$35))</f>
        <v>#DIV/0!</v>
      </c>
      <c r="AJ74" s="74" t="e">
        <f t="array" ref="AJ74">_xlfn.STDEV.P(IF($E$5:$E$35=$E73,AJ$5:AJ$35))</f>
        <v>#DIV/0!</v>
      </c>
      <c r="AK74" s="74" t="e">
        <f t="array" ref="AK74">_xlfn.STDEV.P(IF($E$5:$E$35=$E73,AK$5:AK$35))</f>
        <v>#DIV/0!</v>
      </c>
      <c r="AL74" s="74" t="e">
        <f t="array" ref="AL74">_xlfn.STDEV.P(IF($E$5:$E$35=$E73,AL$5:AL$35))</f>
        <v>#DIV/0!</v>
      </c>
      <c r="AM74" s="74" t="e">
        <f t="array" ref="AM74">_xlfn.STDEV.P(IF($E$5:$E$35=$E73,AM$5:AM$35))</f>
        <v>#DIV/0!</v>
      </c>
      <c r="AN74" s="74" t="e">
        <f t="array" ref="AN74">_xlfn.STDEV.P(IF($E$5:$E$35=$E73,AN$5:AN$35))</f>
        <v>#DIV/0!</v>
      </c>
      <c r="AO74" s="74" t="e">
        <f t="array" ref="AO74">_xlfn.STDEV.P(IF($E$5:$E$35=$E73,AO$5:AO$35))</f>
        <v>#DIV/0!</v>
      </c>
      <c r="AP74" s="74" t="e">
        <f t="array" ref="AP74">_xlfn.STDEV.P(IF($E$5:$E$35=$E73,AP$5:AP$35))</f>
        <v>#DIV/0!</v>
      </c>
      <c r="AQ74" s="74" t="e">
        <f t="array" ref="AQ74">_xlfn.STDEV.P(IF($E$5:$E$35=$E73,AQ$5:AQ$35))</f>
        <v>#DIV/0!</v>
      </c>
      <c r="AR74" s="74" t="e">
        <f t="array" ref="AR74">_xlfn.STDEV.P(IF($E$5:$E$35=$E73,AR$5:AR$35))</f>
        <v>#DIV/0!</v>
      </c>
      <c r="AS74" s="74" t="e">
        <f t="array" ref="AS74">_xlfn.STDEV.P(IF($E$5:$E$35=$E73,AS$5:AS$35))</f>
        <v>#DIV/0!</v>
      </c>
      <c r="AT74" s="74" t="e">
        <f t="array" ref="AT74">_xlfn.STDEV.P(IF($E$5:$E$35=$E73,AT$5:AT$35))</f>
        <v>#DIV/0!</v>
      </c>
      <c r="AU74" s="74" t="e">
        <f t="array" ref="AU74">_xlfn.STDEV.P(IF($E$5:$E$35=$E73,AU$5:AU$35))</f>
        <v>#DIV/0!</v>
      </c>
      <c r="AV74" s="74" t="e">
        <f t="array" ref="AV74">_xlfn.STDEV.P(IF($E$5:$E$35=$E73,AV$5:AV$35))</f>
        <v>#DIV/0!</v>
      </c>
      <c r="AW74" s="74" t="e">
        <f t="array" ref="AW74">_xlfn.STDEV.P(IF($E$5:$E$35=$E73,AW$5:AW$35))</f>
        <v>#DIV/0!</v>
      </c>
      <c r="AX74" s="74" t="e">
        <f t="array" ref="AX74">_xlfn.STDEV.P(IF($E$5:$E$35=$E73,AX$5:AX$35))</f>
        <v>#DIV/0!</v>
      </c>
      <c r="AY74" s="74" t="e">
        <f t="array" ref="AY74">_xlfn.STDEV.P(IF($E$5:$E$35=$E73,AY$5:AY$35))</f>
        <v>#DIV/0!</v>
      </c>
      <c r="AZ74" s="74" t="e">
        <f t="array" ref="AZ74">_xlfn.STDEV.P(IF($E$5:$E$35=$E73,AZ$5:AZ$35))</f>
        <v>#DIV/0!</v>
      </c>
      <c r="BA74" s="74" t="e">
        <f t="array" ref="BA74">_xlfn.STDEV.P(IF($E$5:$E$35=$E73,BA$5:BA$35))</f>
        <v>#DIV/0!</v>
      </c>
      <c r="BB74" s="74" t="e">
        <f t="array" ref="BB74">_xlfn.STDEV.P(IF($E$5:$E$35=$E73,BB$5:BB$35))</f>
        <v>#DIV/0!</v>
      </c>
      <c r="BC74" s="94" t="s">
        <v>11</v>
      </c>
      <c r="BD74" s="67" t="e">
        <f t="array" ref="BD74">_xlfn.STDEV.P(IF($E$5:$E$35=$E73,BD$5:BD$35))</f>
        <v>#DIV/0!</v>
      </c>
      <c r="BE74" s="67" t="e">
        <f t="array" ref="BE74">_xlfn.STDEV.P(IF($E$5:$E$35=$E73,BE$5:BE$35))</f>
        <v>#DIV/0!</v>
      </c>
      <c r="BF74" s="67" t="e">
        <f t="array" ref="BF74">_xlfn.STDEV.P(IF($E$5:$E$35=$E73,BF$5:BF$35))</f>
        <v>#DIV/0!</v>
      </c>
      <c r="BG74" s="67" t="e">
        <f t="array" ref="BG74">_xlfn.STDEV.P(IF($E$5:$E$35=$E73,BG$5:BG$35))</f>
        <v>#DIV/0!</v>
      </c>
      <c r="BH74" s="67" t="e">
        <f t="array" ref="BH74">_xlfn.STDEV.P(IF($E$5:$E$35=$E73,BH$5:BH$35))</f>
        <v>#DIV/0!</v>
      </c>
      <c r="BI74" s="67" t="e">
        <f t="array" ref="BI74">_xlfn.STDEV.P(IF($E$5:$E$35=$E73,BI$5:BI$35))</f>
        <v>#DIV/0!</v>
      </c>
      <c r="BJ74" s="67" t="e">
        <f t="array" ref="BJ74">_xlfn.STDEV.P(IF($E$5:$E$35=$E73,BJ$5:BJ$35))</f>
        <v>#DIV/0!</v>
      </c>
      <c r="BK74" s="67" t="e">
        <f t="array" ref="BK74">_xlfn.STDEV.P(IF($E$5:$E$35=$E73,BK$5:BK$35))</f>
        <v>#DIV/0!</v>
      </c>
      <c r="BL74" s="67" t="e">
        <f t="array" ref="BL74">_xlfn.STDEV.P(IF($E$5:$E$35=$E73,BL$5:BL$35))</f>
        <v>#DIV/0!</v>
      </c>
      <c r="BM74" s="67" t="e">
        <f t="array" ref="BM74">_xlfn.STDEV.P(IF($E$5:$E$35=$E73,BM$5:BM$35))</f>
        <v>#DIV/0!</v>
      </c>
      <c r="BN74" s="67" t="e">
        <f t="array" ref="BN74">_xlfn.STDEV.P(IF($E$5:$E$35=$E73,BN$5:BN$35))</f>
        <v>#DIV/0!</v>
      </c>
      <c r="BO74" s="67" t="e">
        <f t="array" ref="BO74">_xlfn.STDEV.P(IF($E$5:$E$35=$E73,BO$5:BO$35))</f>
        <v>#DIV/0!</v>
      </c>
      <c r="BP74" s="67" t="e">
        <f t="array" ref="BP74">_xlfn.STDEV.P(IF($E$5:$E$35=$E73,BP$5:BP$35))</f>
        <v>#DIV/0!</v>
      </c>
      <c r="BQ74" s="67" t="e">
        <f t="array" ref="BQ74">_xlfn.STDEV.P(IF($E$5:$E$35=$E73,BQ$5:BQ$35))</f>
        <v>#DIV/0!</v>
      </c>
      <c r="BR74" s="67" t="e">
        <f t="array" ref="BR74">_xlfn.STDEV.P(IF($E$5:$E$35=$E73,BR$5:BR$35))</f>
        <v>#DIV/0!</v>
      </c>
      <c r="BS74" s="67" t="e">
        <f t="array" ref="BS74">_xlfn.STDEV.P(IF($E$5:$E$35=$E73,BS$5:BS$35))</f>
        <v>#DIV/0!</v>
      </c>
      <c r="BT74" s="67" t="e">
        <f t="array" ref="BT74">_xlfn.STDEV.P(IF($E$5:$E$35=$E73,BT$5:BT$35))</f>
        <v>#DIV/0!</v>
      </c>
      <c r="BU74" s="67" t="e">
        <f t="array" ref="BU74">_xlfn.STDEV.P(IF($E$5:$E$35=$E73,BU$5:BU$35))</f>
        <v>#DIV/0!</v>
      </c>
      <c r="BV74" s="67" t="e">
        <f t="array" ref="BV74">_xlfn.STDEV.P(IF($E$5:$E$35=$E73,BV$5:BV$35))</f>
        <v>#DIV/0!</v>
      </c>
      <c r="BW74" s="67" t="e">
        <f t="array" ref="BW74">_xlfn.STDEV.P(IF($E$5:$E$35=$E73,BW$5:BW$35))</f>
        <v>#DIV/0!</v>
      </c>
      <c r="BX74" s="67" t="e">
        <f t="array" ref="BX74">_xlfn.STDEV.P(IF($E$5:$E$35=$E73,BX$5:BX$35))</f>
        <v>#DIV/0!</v>
      </c>
      <c r="BY74" s="67" t="e">
        <f t="array" ref="BY74">_xlfn.STDEV.P(IF($E$5:$E$35=$E73,BY$5:BY$35))</f>
        <v>#DIV/0!</v>
      </c>
      <c r="BZ74" s="67" t="e">
        <f t="array" ref="BZ74">_xlfn.STDEV.P(IF($E$5:$E$35=$E73,BZ$5:BZ$35))</f>
        <v>#DIV/0!</v>
      </c>
      <c r="CA74" s="67" t="e">
        <f t="array" ref="CA74">_xlfn.STDEV.P(IF($E$5:$E$35=$E73,CA$5:CA$35))</f>
        <v>#DIV/0!</v>
      </c>
      <c r="CB74" s="67" t="e">
        <f t="array" ref="CB74">_xlfn.STDEV.P(IF($E$5:$E$35=$E73,CB$5:CB$35))</f>
        <v>#DIV/0!</v>
      </c>
      <c r="CC74" s="67" t="e">
        <f t="array" ref="CC74">_xlfn.STDEV.P(IF($E$5:$E$35=$E73,CC$5:CC$35))</f>
        <v>#DIV/0!</v>
      </c>
      <c r="CD74" s="67" t="e">
        <f t="array" ref="CD74">_xlfn.STDEV.P(IF($E$5:$E$35=$E73,CD$5:CD$35))</f>
        <v>#DIV/0!</v>
      </c>
      <c r="CE74" s="67" t="e">
        <f t="array" ref="CE74">_xlfn.STDEV.P(IF($E$5:$E$35=$E73,CE$5:CE$35))</f>
        <v>#DIV/0!</v>
      </c>
      <c r="CF74" s="67" t="e">
        <f t="array" ref="CF74">_xlfn.STDEV.P(IF($E$5:$E$35=$E73,CF$5:CF$35))</f>
        <v>#DIV/0!</v>
      </c>
      <c r="CG74" s="67" t="e">
        <f t="array" ref="CG74">_xlfn.STDEV.P(IF($E$5:$E$35=$E73,CG$5:CG$35))</f>
        <v>#DIV/0!</v>
      </c>
      <c r="CH74" s="67" t="e">
        <f t="array" ref="CH74">_xlfn.STDEV.P(IF($E$5:$E$35=$E73,CH$5:CH$35))</f>
        <v>#DIV/0!</v>
      </c>
      <c r="CI74" s="67" t="e">
        <f t="array" ref="CI74">_xlfn.STDEV.P(IF($E$5:$E$35=$E73,CI$5:CI$35))</f>
        <v>#DIV/0!</v>
      </c>
      <c r="CJ74" s="67" t="e">
        <f t="array" ref="CJ74">_xlfn.STDEV.P(IF($E$5:$E$35=$E73,CJ$5:CJ$35))</f>
        <v>#DIV/0!</v>
      </c>
      <c r="CK74" s="67" t="e">
        <f t="array" ref="CK74">_xlfn.STDEV.P(IF($E$5:$E$35=$E73,CK$5:CK$35))</f>
        <v>#DIV/0!</v>
      </c>
      <c r="CL74" s="67" t="e">
        <f t="array" ref="CL74">_xlfn.STDEV.P(IF($E$5:$E$35=$E73,CL$5:CL$35))</f>
        <v>#DIV/0!</v>
      </c>
      <c r="CM74" s="67" t="e">
        <f t="array" ref="CM74">_xlfn.STDEV.P(IF($E$5:$E$35=$E73,CM$5:CM$35))</f>
        <v>#DIV/0!</v>
      </c>
      <c r="CN74" s="67" t="e">
        <f t="array" ref="CN74">_xlfn.STDEV.P(IF($E$5:$E$35=$E73,CN$5:CN$35))</f>
        <v>#DIV/0!</v>
      </c>
      <c r="CO74" s="67" t="e">
        <f t="array" ref="CO74">_xlfn.STDEV.P(IF($E$5:$E$35=$E73,CO$5:CO$35))</f>
        <v>#DIV/0!</v>
      </c>
      <c r="CP74" s="67" t="e">
        <f t="array" ref="CP74">_xlfn.STDEV.P(IF($E$5:$E$35=$E73,CP$5:CP$35))</f>
        <v>#DIV/0!</v>
      </c>
      <c r="CQ74" s="67" t="e">
        <f t="array" ref="CQ74">_xlfn.STDEV.P(IF($E$5:$E$35=$E73,CQ$5:CQ$35))</f>
        <v>#DIV/0!</v>
      </c>
      <c r="CR74" s="67" t="e">
        <f t="array" ref="CR74">_xlfn.STDEV.P(IF($E$5:$E$35=$E73,CR$5:CR$35))</f>
        <v>#DIV/0!</v>
      </c>
      <c r="CS74" s="67" t="e">
        <f t="array" ref="CS74">_xlfn.STDEV.P(IF($E$5:$E$35=$E73,CS$5:CS$35))</f>
        <v>#DIV/0!</v>
      </c>
      <c r="CT74" s="67" t="e">
        <f t="array" ref="CT74">_xlfn.STDEV.P(IF($E$5:$E$35=$E73,CT$5:CT$35))</f>
        <v>#DIV/0!</v>
      </c>
      <c r="CU74" s="67" t="e">
        <f t="array" ref="CU74">_xlfn.STDEV.P(IF($E$5:$E$35=$E73,CU$5:CU$35))</f>
        <v>#DIV/0!</v>
      </c>
      <c r="CV74" s="69"/>
    </row>
    <row r="75" spans="1:100" ht="15">
      <c r="A75" s="103"/>
      <c r="E75" s="108"/>
      <c r="H75" s="45"/>
    </row>
    <row r="76" spans="1:100" ht="14.25" customHeight="1">
      <c r="A76" s="103"/>
      <c r="E76" s="108" t="str">
        <f>'5GY EBRT Groups'!C18</f>
        <v>Group 13</v>
      </c>
      <c r="H76" s="108" t="str">
        <f>E76</f>
        <v>Group 13</v>
      </c>
      <c r="I76" s="277" t="e">
        <f>AVERAGEIF($E$5:$E$35,$E76,I$5:I$35)</f>
        <v>#DIV/0!</v>
      </c>
      <c r="J76" s="65" t="s">
        <v>9</v>
      </c>
      <c r="K76" s="71" t="e">
        <f t="shared" ref="K76:BB76" si="41">AVERAGEIF($E$5:$E$35,$E76,K$5:K$35)</f>
        <v>#DIV/0!</v>
      </c>
      <c r="L76" s="71" t="e">
        <f t="shared" si="41"/>
        <v>#DIV/0!</v>
      </c>
      <c r="M76" s="71" t="e">
        <f t="shared" si="41"/>
        <v>#DIV/0!</v>
      </c>
      <c r="N76" s="71" t="e">
        <f t="shared" si="41"/>
        <v>#DIV/0!</v>
      </c>
      <c r="O76" s="71" t="e">
        <f t="shared" si="41"/>
        <v>#DIV/0!</v>
      </c>
      <c r="P76" s="71" t="e">
        <f t="shared" si="41"/>
        <v>#DIV/0!</v>
      </c>
      <c r="Q76" s="71" t="e">
        <f t="shared" si="41"/>
        <v>#DIV/0!</v>
      </c>
      <c r="R76" s="71" t="e">
        <f t="shared" si="41"/>
        <v>#DIV/0!</v>
      </c>
      <c r="S76" s="71" t="e">
        <f t="shared" si="41"/>
        <v>#DIV/0!</v>
      </c>
      <c r="T76" s="71" t="e">
        <f t="shared" si="41"/>
        <v>#DIV/0!</v>
      </c>
      <c r="U76" s="71" t="e">
        <f t="shared" si="41"/>
        <v>#DIV/0!</v>
      </c>
      <c r="V76" s="71" t="e">
        <f t="shared" si="41"/>
        <v>#DIV/0!</v>
      </c>
      <c r="W76" s="71" t="e">
        <f t="shared" si="41"/>
        <v>#DIV/0!</v>
      </c>
      <c r="X76" s="71" t="e">
        <f t="shared" si="41"/>
        <v>#DIV/0!</v>
      </c>
      <c r="Y76" s="71" t="e">
        <f t="shared" si="41"/>
        <v>#DIV/0!</v>
      </c>
      <c r="Z76" s="71" t="e">
        <f t="shared" si="41"/>
        <v>#DIV/0!</v>
      </c>
      <c r="AA76" s="71" t="e">
        <f t="shared" si="41"/>
        <v>#DIV/0!</v>
      </c>
      <c r="AB76" s="71" t="e">
        <f t="shared" si="41"/>
        <v>#DIV/0!</v>
      </c>
      <c r="AC76" s="71" t="e">
        <f t="shared" si="41"/>
        <v>#DIV/0!</v>
      </c>
      <c r="AD76" s="71" t="e">
        <f t="shared" si="41"/>
        <v>#DIV/0!</v>
      </c>
      <c r="AE76" s="71" t="e">
        <f t="shared" si="41"/>
        <v>#DIV/0!</v>
      </c>
      <c r="AF76" s="71" t="e">
        <f t="shared" si="41"/>
        <v>#DIV/0!</v>
      </c>
      <c r="AG76" s="71" t="e">
        <f t="shared" si="41"/>
        <v>#DIV/0!</v>
      </c>
      <c r="AH76" s="71" t="e">
        <f t="shared" si="41"/>
        <v>#DIV/0!</v>
      </c>
      <c r="AI76" s="71" t="e">
        <f t="shared" si="41"/>
        <v>#DIV/0!</v>
      </c>
      <c r="AJ76" s="71" t="e">
        <f t="shared" si="41"/>
        <v>#DIV/0!</v>
      </c>
      <c r="AK76" s="71" t="e">
        <f t="shared" si="41"/>
        <v>#DIV/0!</v>
      </c>
      <c r="AL76" s="71" t="e">
        <f t="shared" si="41"/>
        <v>#DIV/0!</v>
      </c>
      <c r="AM76" s="71" t="e">
        <f t="shared" si="41"/>
        <v>#DIV/0!</v>
      </c>
      <c r="AN76" s="71" t="e">
        <f t="shared" si="41"/>
        <v>#DIV/0!</v>
      </c>
      <c r="AO76" s="71" t="e">
        <f t="shared" si="41"/>
        <v>#DIV/0!</v>
      </c>
      <c r="AP76" s="71" t="e">
        <f t="shared" si="41"/>
        <v>#DIV/0!</v>
      </c>
      <c r="AQ76" s="71" t="e">
        <f t="shared" si="41"/>
        <v>#DIV/0!</v>
      </c>
      <c r="AR76" s="71" t="e">
        <f t="shared" si="41"/>
        <v>#DIV/0!</v>
      </c>
      <c r="AS76" s="71" t="e">
        <f t="shared" si="41"/>
        <v>#DIV/0!</v>
      </c>
      <c r="AT76" s="71" t="e">
        <f t="shared" si="41"/>
        <v>#DIV/0!</v>
      </c>
      <c r="AU76" s="71" t="e">
        <f t="shared" si="41"/>
        <v>#DIV/0!</v>
      </c>
      <c r="AV76" s="71" t="e">
        <f t="shared" si="41"/>
        <v>#DIV/0!</v>
      </c>
      <c r="AW76" s="71" t="e">
        <f t="shared" si="41"/>
        <v>#DIV/0!</v>
      </c>
      <c r="AX76" s="71" t="e">
        <f t="shared" si="41"/>
        <v>#DIV/0!</v>
      </c>
      <c r="AY76" s="71" t="e">
        <f t="shared" si="41"/>
        <v>#DIV/0!</v>
      </c>
      <c r="AZ76" s="71" t="e">
        <f t="shared" si="41"/>
        <v>#DIV/0!</v>
      </c>
      <c r="BA76" s="71" t="e">
        <f t="shared" si="41"/>
        <v>#DIV/0!</v>
      </c>
      <c r="BB76" s="71" t="e">
        <f t="shared" si="41"/>
        <v>#DIV/0!</v>
      </c>
      <c r="BC76" s="93" t="s">
        <v>9</v>
      </c>
      <c r="BD76" s="66" t="e">
        <f t="shared" ref="BD76:CU76" si="42">AVERAGEIF($E$5:$E$35,$E76,BD$5:BD$35)</f>
        <v>#DIV/0!</v>
      </c>
      <c r="BE76" s="66" t="e">
        <f t="shared" si="42"/>
        <v>#DIV/0!</v>
      </c>
      <c r="BF76" s="66" t="e">
        <f t="shared" si="42"/>
        <v>#DIV/0!</v>
      </c>
      <c r="BG76" s="66" t="e">
        <f t="shared" si="42"/>
        <v>#DIV/0!</v>
      </c>
      <c r="BH76" s="66" t="e">
        <f t="shared" si="42"/>
        <v>#DIV/0!</v>
      </c>
      <c r="BI76" s="66" t="e">
        <f t="shared" si="42"/>
        <v>#DIV/0!</v>
      </c>
      <c r="BJ76" s="66" t="e">
        <f t="shared" si="42"/>
        <v>#DIV/0!</v>
      </c>
      <c r="BK76" s="66" t="e">
        <f t="shared" si="42"/>
        <v>#DIV/0!</v>
      </c>
      <c r="BL76" s="66" t="e">
        <f t="shared" si="42"/>
        <v>#DIV/0!</v>
      </c>
      <c r="BM76" s="66" t="e">
        <f t="shared" si="42"/>
        <v>#DIV/0!</v>
      </c>
      <c r="BN76" s="66" t="e">
        <f t="shared" si="42"/>
        <v>#DIV/0!</v>
      </c>
      <c r="BO76" s="66" t="e">
        <f t="shared" si="42"/>
        <v>#DIV/0!</v>
      </c>
      <c r="BP76" s="66" t="e">
        <f t="shared" si="42"/>
        <v>#DIV/0!</v>
      </c>
      <c r="BQ76" s="66" t="e">
        <f t="shared" si="42"/>
        <v>#DIV/0!</v>
      </c>
      <c r="BR76" s="66" t="e">
        <f t="shared" si="42"/>
        <v>#DIV/0!</v>
      </c>
      <c r="BS76" s="66" t="e">
        <f t="shared" si="42"/>
        <v>#DIV/0!</v>
      </c>
      <c r="BT76" s="66" t="e">
        <f t="shared" si="42"/>
        <v>#DIV/0!</v>
      </c>
      <c r="BU76" s="66" t="e">
        <f t="shared" si="42"/>
        <v>#DIV/0!</v>
      </c>
      <c r="BV76" s="66" t="e">
        <f t="shared" si="42"/>
        <v>#DIV/0!</v>
      </c>
      <c r="BW76" s="66" t="e">
        <f t="shared" si="42"/>
        <v>#DIV/0!</v>
      </c>
      <c r="BX76" s="66" t="e">
        <f t="shared" si="42"/>
        <v>#DIV/0!</v>
      </c>
      <c r="BY76" s="66" t="e">
        <f t="shared" si="42"/>
        <v>#DIV/0!</v>
      </c>
      <c r="BZ76" s="66" t="e">
        <f t="shared" si="42"/>
        <v>#DIV/0!</v>
      </c>
      <c r="CA76" s="66" t="e">
        <f t="shared" si="42"/>
        <v>#DIV/0!</v>
      </c>
      <c r="CB76" s="66" t="e">
        <f t="shared" si="42"/>
        <v>#DIV/0!</v>
      </c>
      <c r="CC76" s="66" t="e">
        <f t="shared" si="42"/>
        <v>#DIV/0!</v>
      </c>
      <c r="CD76" s="66" t="e">
        <f t="shared" si="42"/>
        <v>#DIV/0!</v>
      </c>
      <c r="CE76" s="66" t="e">
        <f t="shared" si="42"/>
        <v>#DIV/0!</v>
      </c>
      <c r="CF76" s="66" t="e">
        <f t="shared" si="42"/>
        <v>#DIV/0!</v>
      </c>
      <c r="CG76" s="66" t="e">
        <f t="shared" si="42"/>
        <v>#DIV/0!</v>
      </c>
      <c r="CH76" s="66" t="e">
        <f t="shared" si="42"/>
        <v>#DIV/0!</v>
      </c>
      <c r="CI76" s="66" t="e">
        <f t="shared" si="42"/>
        <v>#DIV/0!</v>
      </c>
      <c r="CJ76" s="66" t="e">
        <f t="shared" si="42"/>
        <v>#DIV/0!</v>
      </c>
      <c r="CK76" s="66" t="e">
        <f t="shared" si="42"/>
        <v>#DIV/0!</v>
      </c>
      <c r="CL76" s="66" t="e">
        <f t="shared" si="42"/>
        <v>#DIV/0!</v>
      </c>
      <c r="CM76" s="66" t="e">
        <f t="shared" si="42"/>
        <v>#DIV/0!</v>
      </c>
      <c r="CN76" s="66" t="e">
        <f t="shared" si="42"/>
        <v>#DIV/0!</v>
      </c>
      <c r="CO76" s="66" t="e">
        <f t="shared" si="42"/>
        <v>#DIV/0!</v>
      </c>
      <c r="CP76" s="66" t="e">
        <f t="shared" si="42"/>
        <v>#DIV/0!</v>
      </c>
      <c r="CQ76" s="66" t="e">
        <f t="shared" si="42"/>
        <v>#DIV/0!</v>
      </c>
      <c r="CR76" s="66" t="e">
        <f t="shared" si="42"/>
        <v>#DIV/0!</v>
      </c>
      <c r="CS76" s="66" t="e">
        <f t="shared" si="42"/>
        <v>#DIV/0!</v>
      </c>
      <c r="CT76" s="66" t="e">
        <f t="shared" si="42"/>
        <v>#DIV/0!</v>
      </c>
      <c r="CU76" s="66" t="e">
        <f t="shared" si="42"/>
        <v>#DIV/0!</v>
      </c>
      <c r="CV76" s="69"/>
    </row>
    <row r="77" spans="1:100" ht="14.25" customHeight="1">
      <c r="A77" s="103"/>
      <c r="E77" s="83"/>
      <c r="H77" s="83"/>
      <c r="I77" s="277" t="e">
        <f t="array" ref="I77">_xlfn.STDEV.P(IF($E$5:$E$35=$E76,I$5:I$35))</f>
        <v>#DIV/0!</v>
      </c>
      <c r="J77" s="65" t="s">
        <v>11</v>
      </c>
      <c r="K77" s="74" t="e">
        <f t="array" ref="K77">_xlfn.STDEV.P(IF($E$5:$E$35=$E76,K$5:K$35))</f>
        <v>#DIV/0!</v>
      </c>
      <c r="L77" s="74" t="e">
        <f t="array" ref="L77">_xlfn.STDEV.P(IF($E$5:$E$35=$E76,L$5:L$35))</f>
        <v>#DIV/0!</v>
      </c>
      <c r="M77" s="74" t="e">
        <f t="array" ref="M77">_xlfn.STDEV.P(IF($E$5:$E$35=$E76,M$5:M$35))</f>
        <v>#DIV/0!</v>
      </c>
      <c r="N77" s="74" t="e">
        <f t="array" ref="N77">_xlfn.STDEV.P(IF($E$5:$E$35=$E76,N$5:N$35))</f>
        <v>#DIV/0!</v>
      </c>
      <c r="O77" s="74" t="e">
        <f t="array" ref="O77">_xlfn.STDEV.P(IF($E$5:$E$35=$E76,O$5:O$35))</f>
        <v>#DIV/0!</v>
      </c>
      <c r="P77" s="74" t="e">
        <f t="array" ref="P77">_xlfn.STDEV.P(IF($E$5:$E$35=$E76,P$5:P$35))</f>
        <v>#DIV/0!</v>
      </c>
      <c r="Q77" s="74" t="e">
        <f t="array" ref="Q77">_xlfn.STDEV.P(IF($E$5:$E$35=$E76,Q$5:Q$35))</f>
        <v>#DIV/0!</v>
      </c>
      <c r="R77" s="74" t="e">
        <f t="array" ref="R77">_xlfn.STDEV.P(IF($E$5:$E$35=$E76,R$5:R$35))</f>
        <v>#DIV/0!</v>
      </c>
      <c r="S77" s="74" t="e">
        <f t="array" ref="S77">_xlfn.STDEV.P(IF($E$5:$E$35=$E76,S$5:S$35))</f>
        <v>#DIV/0!</v>
      </c>
      <c r="T77" s="74" t="e">
        <f t="array" ref="T77">_xlfn.STDEV.P(IF($E$5:$E$35=$E76,T$5:T$35))</f>
        <v>#DIV/0!</v>
      </c>
      <c r="U77" s="74" t="e">
        <f t="array" ref="U77">_xlfn.STDEV.P(IF($E$5:$E$35=$E76,U$5:U$35))</f>
        <v>#DIV/0!</v>
      </c>
      <c r="V77" s="74" t="e">
        <f t="array" ref="V77">_xlfn.STDEV.P(IF($E$5:$E$35=$E76,V$5:V$35))</f>
        <v>#DIV/0!</v>
      </c>
      <c r="W77" s="74" t="e">
        <f t="array" ref="W77">_xlfn.STDEV.P(IF($E$5:$E$35=$E76,W$5:W$35))</f>
        <v>#DIV/0!</v>
      </c>
      <c r="X77" s="74" t="e">
        <f t="array" ref="X77">_xlfn.STDEV.P(IF($E$5:$E$35=$E76,X$5:X$35))</f>
        <v>#DIV/0!</v>
      </c>
      <c r="Y77" s="74" t="e">
        <f t="array" ref="Y77">_xlfn.STDEV.P(IF($E$5:$E$35=$E76,Y$5:Y$35))</f>
        <v>#DIV/0!</v>
      </c>
      <c r="Z77" s="74" t="e">
        <f t="array" ref="Z77">_xlfn.STDEV.P(IF($E$5:$E$35=$E76,Z$5:Z$35))</f>
        <v>#DIV/0!</v>
      </c>
      <c r="AA77" s="74" t="e">
        <f t="array" ref="AA77">_xlfn.STDEV.P(IF($E$5:$E$35=$E76,AA$5:AA$35))</f>
        <v>#DIV/0!</v>
      </c>
      <c r="AB77" s="74" t="e">
        <f t="array" ref="AB77">_xlfn.STDEV.P(IF($E$5:$E$35=$E76,AB$5:AB$35))</f>
        <v>#DIV/0!</v>
      </c>
      <c r="AC77" s="74" t="e">
        <f t="array" ref="AC77">_xlfn.STDEV.P(IF($E$5:$E$35=$E76,AC$5:AC$35))</f>
        <v>#DIV/0!</v>
      </c>
      <c r="AD77" s="74" t="e">
        <f t="array" ref="AD77">_xlfn.STDEV.P(IF($E$5:$E$35=$E76,AD$5:AD$35))</f>
        <v>#DIV/0!</v>
      </c>
      <c r="AE77" s="74" t="e">
        <f t="array" ref="AE77">_xlfn.STDEV.P(IF($E$5:$E$35=$E76,AE$5:AE$35))</f>
        <v>#DIV/0!</v>
      </c>
      <c r="AF77" s="74" t="e">
        <f t="array" ref="AF77">_xlfn.STDEV.P(IF($E$5:$E$35=$E76,AF$5:AF$35))</f>
        <v>#DIV/0!</v>
      </c>
      <c r="AG77" s="74" t="e">
        <f t="array" ref="AG77">_xlfn.STDEV.P(IF($E$5:$E$35=$E76,AG$5:AG$35))</f>
        <v>#DIV/0!</v>
      </c>
      <c r="AH77" s="74" t="e">
        <f t="array" ref="AH77">_xlfn.STDEV.P(IF($E$5:$E$35=$E76,AH$5:AH$35))</f>
        <v>#DIV/0!</v>
      </c>
      <c r="AI77" s="74" t="e">
        <f t="array" ref="AI77">_xlfn.STDEV.P(IF($E$5:$E$35=$E76,AI$5:AI$35))</f>
        <v>#DIV/0!</v>
      </c>
      <c r="AJ77" s="74" t="e">
        <f t="array" ref="AJ77">_xlfn.STDEV.P(IF($E$5:$E$35=$E76,AJ$5:AJ$35))</f>
        <v>#DIV/0!</v>
      </c>
      <c r="AK77" s="74" t="e">
        <f t="array" ref="AK77">_xlfn.STDEV.P(IF($E$5:$E$35=$E76,AK$5:AK$35))</f>
        <v>#DIV/0!</v>
      </c>
      <c r="AL77" s="74" t="e">
        <f t="array" ref="AL77">_xlfn.STDEV.P(IF($E$5:$E$35=$E76,AL$5:AL$35))</f>
        <v>#DIV/0!</v>
      </c>
      <c r="AM77" s="74" t="e">
        <f t="array" ref="AM77">_xlfn.STDEV.P(IF($E$5:$E$35=$E76,AM$5:AM$35))</f>
        <v>#DIV/0!</v>
      </c>
      <c r="AN77" s="74" t="e">
        <f t="array" ref="AN77">_xlfn.STDEV.P(IF($E$5:$E$35=$E76,AN$5:AN$35))</f>
        <v>#DIV/0!</v>
      </c>
      <c r="AO77" s="74" t="e">
        <f t="array" ref="AO77">_xlfn.STDEV.P(IF($E$5:$E$35=$E76,AO$5:AO$35))</f>
        <v>#DIV/0!</v>
      </c>
      <c r="AP77" s="74" t="e">
        <f t="array" ref="AP77">_xlfn.STDEV.P(IF($E$5:$E$35=$E76,AP$5:AP$35))</f>
        <v>#DIV/0!</v>
      </c>
      <c r="AQ77" s="74" t="e">
        <f t="array" ref="AQ77">_xlfn.STDEV.P(IF($E$5:$E$35=$E76,AQ$5:AQ$35))</f>
        <v>#DIV/0!</v>
      </c>
      <c r="AR77" s="74" t="e">
        <f t="array" ref="AR77">_xlfn.STDEV.P(IF($E$5:$E$35=$E76,AR$5:AR$35))</f>
        <v>#DIV/0!</v>
      </c>
      <c r="AS77" s="74" t="e">
        <f t="array" ref="AS77">_xlfn.STDEV.P(IF($E$5:$E$35=$E76,AS$5:AS$35))</f>
        <v>#DIV/0!</v>
      </c>
      <c r="AT77" s="74" t="e">
        <f t="array" ref="AT77">_xlfn.STDEV.P(IF($E$5:$E$35=$E76,AT$5:AT$35))</f>
        <v>#DIV/0!</v>
      </c>
      <c r="AU77" s="74" t="e">
        <f t="array" ref="AU77">_xlfn.STDEV.P(IF($E$5:$E$35=$E76,AU$5:AU$35))</f>
        <v>#DIV/0!</v>
      </c>
      <c r="AV77" s="74" t="e">
        <f t="array" ref="AV77">_xlfn.STDEV.P(IF($E$5:$E$35=$E76,AV$5:AV$35))</f>
        <v>#DIV/0!</v>
      </c>
      <c r="AW77" s="74" t="e">
        <f t="array" ref="AW77">_xlfn.STDEV.P(IF($E$5:$E$35=$E76,AW$5:AW$35))</f>
        <v>#DIV/0!</v>
      </c>
      <c r="AX77" s="74" t="e">
        <f t="array" ref="AX77">_xlfn.STDEV.P(IF($E$5:$E$35=$E76,AX$5:AX$35))</f>
        <v>#DIV/0!</v>
      </c>
      <c r="AY77" s="74" t="e">
        <f t="array" ref="AY77">_xlfn.STDEV.P(IF($E$5:$E$35=$E76,AY$5:AY$35))</f>
        <v>#DIV/0!</v>
      </c>
      <c r="AZ77" s="74" t="e">
        <f t="array" ref="AZ77">_xlfn.STDEV.P(IF($E$5:$E$35=$E76,AZ$5:AZ$35))</f>
        <v>#DIV/0!</v>
      </c>
      <c r="BA77" s="74" t="e">
        <f t="array" ref="BA77">_xlfn.STDEV.P(IF($E$5:$E$35=$E76,BA$5:BA$35))</f>
        <v>#DIV/0!</v>
      </c>
      <c r="BB77" s="74" t="e">
        <f t="array" ref="BB77">_xlfn.STDEV.P(IF($E$5:$E$35=$E76,BB$5:BB$35))</f>
        <v>#DIV/0!</v>
      </c>
      <c r="BC77" s="94" t="s">
        <v>11</v>
      </c>
      <c r="BD77" s="67" t="e">
        <f t="array" ref="BD77">_xlfn.STDEV.P(IF($E$5:$E$35=$E76,BD$5:BD$35))</f>
        <v>#DIV/0!</v>
      </c>
      <c r="BE77" s="67" t="e">
        <f t="array" ref="BE77">_xlfn.STDEV.P(IF($E$5:$E$35=$E76,BE$5:BE$35))</f>
        <v>#DIV/0!</v>
      </c>
      <c r="BF77" s="67" t="e">
        <f t="array" ref="BF77">_xlfn.STDEV.P(IF($E$5:$E$35=$E76,BF$5:BF$35))</f>
        <v>#DIV/0!</v>
      </c>
      <c r="BG77" s="67" t="e">
        <f t="array" ref="BG77">_xlfn.STDEV.P(IF($E$5:$E$35=$E76,BG$5:BG$35))</f>
        <v>#DIV/0!</v>
      </c>
      <c r="BH77" s="67" t="e">
        <f t="array" ref="BH77">_xlfn.STDEV.P(IF($E$5:$E$35=$E76,BH$5:BH$35))</f>
        <v>#DIV/0!</v>
      </c>
      <c r="BI77" s="67" t="e">
        <f t="array" ref="BI77">_xlfn.STDEV.P(IF($E$5:$E$35=$E76,BI$5:BI$35))</f>
        <v>#DIV/0!</v>
      </c>
      <c r="BJ77" s="67" t="e">
        <f t="array" ref="BJ77">_xlfn.STDEV.P(IF($E$5:$E$35=$E76,BJ$5:BJ$35))</f>
        <v>#DIV/0!</v>
      </c>
      <c r="BK77" s="67" t="e">
        <f t="array" ref="BK77">_xlfn.STDEV.P(IF($E$5:$E$35=$E76,BK$5:BK$35))</f>
        <v>#DIV/0!</v>
      </c>
      <c r="BL77" s="67" t="e">
        <f t="array" ref="BL77">_xlfn.STDEV.P(IF($E$5:$E$35=$E76,BL$5:BL$35))</f>
        <v>#DIV/0!</v>
      </c>
      <c r="BM77" s="67" t="e">
        <f t="array" ref="BM77">_xlfn.STDEV.P(IF($E$5:$E$35=$E76,BM$5:BM$35))</f>
        <v>#DIV/0!</v>
      </c>
      <c r="BN77" s="67" t="e">
        <f t="array" ref="BN77">_xlfn.STDEV.P(IF($E$5:$E$35=$E76,BN$5:BN$35))</f>
        <v>#DIV/0!</v>
      </c>
      <c r="BO77" s="67" t="e">
        <f t="array" ref="BO77">_xlfn.STDEV.P(IF($E$5:$E$35=$E76,BO$5:BO$35))</f>
        <v>#DIV/0!</v>
      </c>
      <c r="BP77" s="67" t="e">
        <f t="array" ref="BP77">_xlfn.STDEV.P(IF($E$5:$E$35=$E76,BP$5:BP$35))</f>
        <v>#DIV/0!</v>
      </c>
      <c r="BQ77" s="67" t="e">
        <f t="array" ref="BQ77">_xlfn.STDEV.P(IF($E$5:$E$35=$E76,BQ$5:BQ$35))</f>
        <v>#DIV/0!</v>
      </c>
      <c r="BR77" s="67" t="e">
        <f t="array" ref="BR77">_xlfn.STDEV.P(IF($E$5:$E$35=$E76,BR$5:BR$35))</f>
        <v>#DIV/0!</v>
      </c>
      <c r="BS77" s="67" t="e">
        <f t="array" ref="BS77">_xlfn.STDEV.P(IF($E$5:$E$35=$E76,BS$5:BS$35))</f>
        <v>#DIV/0!</v>
      </c>
      <c r="BT77" s="67" t="e">
        <f t="array" ref="BT77">_xlfn.STDEV.P(IF($E$5:$E$35=$E76,BT$5:BT$35))</f>
        <v>#DIV/0!</v>
      </c>
      <c r="BU77" s="67" t="e">
        <f t="array" ref="BU77">_xlfn.STDEV.P(IF($E$5:$E$35=$E76,BU$5:BU$35))</f>
        <v>#DIV/0!</v>
      </c>
      <c r="BV77" s="67" t="e">
        <f t="array" ref="BV77">_xlfn.STDEV.P(IF($E$5:$E$35=$E76,BV$5:BV$35))</f>
        <v>#DIV/0!</v>
      </c>
      <c r="BW77" s="67" t="e">
        <f t="array" ref="BW77">_xlfn.STDEV.P(IF($E$5:$E$35=$E76,BW$5:BW$35))</f>
        <v>#DIV/0!</v>
      </c>
      <c r="BX77" s="67" t="e">
        <f t="array" ref="BX77">_xlfn.STDEV.P(IF($E$5:$E$35=$E76,BX$5:BX$35))</f>
        <v>#DIV/0!</v>
      </c>
      <c r="BY77" s="67" t="e">
        <f t="array" ref="BY77">_xlfn.STDEV.P(IF($E$5:$E$35=$E76,BY$5:BY$35))</f>
        <v>#DIV/0!</v>
      </c>
      <c r="BZ77" s="67" t="e">
        <f t="array" ref="BZ77">_xlfn.STDEV.P(IF($E$5:$E$35=$E76,BZ$5:BZ$35))</f>
        <v>#DIV/0!</v>
      </c>
      <c r="CA77" s="67" t="e">
        <f t="array" ref="CA77">_xlfn.STDEV.P(IF($E$5:$E$35=$E76,CA$5:CA$35))</f>
        <v>#DIV/0!</v>
      </c>
      <c r="CB77" s="67" t="e">
        <f t="array" ref="CB77">_xlfn.STDEV.P(IF($E$5:$E$35=$E76,CB$5:CB$35))</f>
        <v>#DIV/0!</v>
      </c>
      <c r="CC77" s="67" t="e">
        <f t="array" ref="CC77">_xlfn.STDEV.P(IF($E$5:$E$35=$E76,CC$5:CC$35))</f>
        <v>#DIV/0!</v>
      </c>
      <c r="CD77" s="67" t="e">
        <f t="array" ref="CD77">_xlfn.STDEV.P(IF($E$5:$E$35=$E76,CD$5:CD$35))</f>
        <v>#DIV/0!</v>
      </c>
      <c r="CE77" s="67" t="e">
        <f t="array" ref="CE77">_xlfn.STDEV.P(IF($E$5:$E$35=$E76,CE$5:CE$35))</f>
        <v>#DIV/0!</v>
      </c>
      <c r="CF77" s="67" t="e">
        <f t="array" ref="CF77">_xlfn.STDEV.P(IF($E$5:$E$35=$E76,CF$5:CF$35))</f>
        <v>#DIV/0!</v>
      </c>
      <c r="CG77" s="67" t="e">
        <f t="array" ref="CG77">_xlfn.STDEV.P(IF($E$5:$E$35=$E76,CG$5:CG$35))</f>
        <v>#DIV/0!</v>
      </c>
      <c r="CH77" s="67" t="e">
        <f t="array" ref="CH77">_xlfn.STDEV.P(IF($E$5:$E$35=$E76,CH$5:CH$35))</f>
        <v>#DIV/0!</v>
      </c>
      <c r="CI77" s="67" t="e">
        <f t="array" ref="CI77">_xlfn.STDEV.P(IF($E$5:$E$35=$E76,CI$5:CI$35))</f>
        <v>#DIV/0!</v>
      </c>
      <c r="CJ77" s="67" t="e">
        <f t="array" ref="CJ77">_xlfn.STDEV.P(IF($E$5:$E$35=$E76,CJ$5:CJ$35))</f>
        <v>#DIV/0!</v>
      </c>
      <c r="CK77" s="67" t="e">
        <f t="array" ref="CK77">_xlfn.STDEV.P(IF($E$5:$E$35=$E76,CK$5:CK$35))</f>
        <v>#DIV/0!</v>
      </c>
      <c r="CL77" s="67" t="e">
        <f t="array" ref="CL77">_xlfn.STDEV.P(IF($E$5:$E$35=$E76,CL$5:CL$35))</f>
        <v>#DIV/0!</v>
      </c>
      <c r="CM77" s="67" t="e">
        <f t="array" ref="CM77">_xlfn.STDEV.P(IF($E$5:$E$35=$E76,CM$5:CM$35))</f>
        <v>#DIV/0!</v>
      </c>
      <c r="CN77" s="67" t="e">
        <f t="array" ref="CN77">_xlfn.STDEV.P(IF($E$5:$E$35=$E76,CN$5:CN$35))</f>
        <v>#DIV/0!</v>
      </c>
      <c r="CO77" s="67" t="e">
        <f t="array" ref="CO77">_xlfn.STDEV.P(IF($E$5:$E$35=$E76,CO$5:CO$35))</f>
        <v>#DIV/0!</v>
      </c>
      <c r="CP77" s="67" t="e">
        <f t="array" ref="CP77">_xlfn.STDEV.P(IF($E$5:$E$35=$E76,CP$5:CP$35))</f>
        <v>#DIV/0!</v>
      </c>
      <c r="CQ77" s="67" t="e">
        <f t="array" ref="CQ77">_xlfn.STDEV.P(IF($E$5:$E$35=$E76,CQ$5:CQ$35))</f>
        <v>#DIV/0!</v>
      </c>
      <c r="CR77" s="67" t="e">
        <f t="array" ref="CR77">_xlfn.STDEV.P(IF($E$5:$E$35=$E76,CR$5:CR$35))</f>
        <v>#DIV/0!</v>
      </c>
      <c r="CS77" s="67" t="e">
        <f t="array" ref="CS77">_xlfn.STDEV.P(IF($E$5:$E$35=$E76,CS$5:CS$35))</f>
        <v>#DIV/0!</v>
      </c>
      <c r="CT77" s="67" t="e">
        <f t="array" ref="CT77">_xlfn.STDEV.P(IF($E$5:$E$35=$E76,CT$5:CT$35))</f>
        <v>#DIV/0!</v>
      </c>
      <c r="CU77" s="67" t="e">
        <f t="array" ref="CU77">_xlfn.STDEV.P(IF($E$5:$E$35=$E76,CU$5:CU$35))</f>
        <v>#DIV/0!</v>
      </c>
      <c r="CV77" s="69"/>
    </row>
    <row r="78" spans="1:100" ht="15">
      <c r="A78" s="103"/>
      <c r="E78" s="108"/>
      <c r="H78" s="45"/>
    </row>
    <row r="79" spans="1:100" ht="14.25" customHeight="1">
      <c r="A79" s="103"/>
      <c r="E79" s="108" t="str">
        <f>'5GY EBRT Groups'!C19</f>
        <v>Group 14</v>
      </c>
      <c r="H79" s="108" t="str">
        <f>E79</f>
        <v>Group 14</v>
      </c>
      <c r="I79" s="277" t="e">
        <f>AVERAGEIF($E$5:$E$35,$E79,I$5:I$35)</f>
        <v>#DIV/0!</v>
      </c>
      <c r="J79" s="65" t="s">
        <v>9</v>
      </c>
      <c r="K79" s="71" t="e">
        <f t="shared" ref="K79:BB79" si="43">AVERAGEIF($E$5:$E$35,$E79,K$5:K$35)</f>
        <v>#DIV/0!</v>
      </c>
      <c r="L79" s="71" t="e">
        <f t="shared" si="43"/>
        <v>#DIV/0!</v>
      </c>
      <c r="M79" s="71" t="e">
        <f t="shared" si="43"/>
        <v>#DIV/0!</v>
      </c>
      <c r="N79" s="71" t="e">
        <f t="shared" si="43"/>
        <v>#DIV/0!</v>
      </c>
      <c r="O79" s="71" t="e">
        <f t="shared" si="43"/>
        <v>#DIV/0!</v>
      </c>
      <c r="P79" s="71" t="e">
        <f t="shared" si="43"/>
        <v>#DIV/0!</v>
      </c>
      <c r="Q79" s="71" t="e">
        <f t="shared" si="43"/>
        <v>#DIV/0!</v>
      </c>
      <c r="R79" s="71" t="e">
        <f t="shared" si="43"/>
        <v>#DIV/0!</v>
      </c>
      <c r="S79" s="71" t="e">
        <f t="shared" si="43"/>
        <v>#DIV/0!</v>
      </c>
      <c r="T79" s="71" t="e">
        <f t="shared" si="43"/>
        <v>#DIV/0!</v>
      </c>
      <c r="U79" s="71" t="e">
        <f t="shared" si="43"/>
        <v>#DIV/0!</v>
      </c>
      <c r="V79" s="71" t="e">
        <f t="shared" si="43"/>
        <v>#DIV/0!</v>
      </c>
      <c r="W79" s="71" t="e">
        <f t="shared" si="43"/>
        <v>#DIV/0!</v>
      </c>
      <c r="X79" s="71" t="e">
        <f t="shared" si="43"/>
        <v>#DIV/0!</v>
      </c>
      <c r="Y79" s="71" t="e">
        <f t="shared" si="43"/>
        <v>#DIV/0!</v>
      </c>
      <c r="Z79" s="71" t="e">
        <f t="shared" si="43"/>
        <v>#DIV/0!</v>
      </c>
      <c r="AA79" s="71" t="e">
        <f t="shared" si="43"/>
        <v>#DIV/0!</v>
      </c>
      <c r="AB79" s="71" t="e">
        <f t="shared" si="43"/>
        <v>#DIV/0!</v>
      </c>
      <c r="AC79" s="71" t="e">
        <f t="shared" si="43"/>
        <v>#DIV/0!</v>
      </c>
      <c r="AD79" s="71" t="e">
        <f t="shared" si="43"/>
        <v>#DIV/0!</v>
      </c>
      <c r="AE79" s="71" t="e">
        <f t="shared" si="43"/>
        <v>#DIV/0!</v>
      </c>
      <c r="AF79" s="71" t="e">
        <f t="shared" si="43"/>
        <v>#DIV/0!</v>
      </c>
      <c r="AG79" s="71" t="e">
        <f t="shared" si="43"/>
        <v>#DIV/0!</v>
      </c>
      <c r="AH79" s="71" t="e">
        <f t="shared" si="43"/>
        <v>#DIV/0!</v>
      </c>
      <c r="AI79" s="71" t="e">
        <f t="shared" si="43"/>
        <v>#DIV/0!</v>
      </c>
      <c r="AJ79" s="71" t="e">
        <f t="shared" si="43"/>
        <v>#DIV/0!</v>
      </c>
      <c r="AK79" s="71" t="e">
        <f t="shared" si="43"/>
        <v>#DIV/0!</v>
      </c>
      <c r="AL79" s="71" t="e">
        <f t="shared" si="43"/>
        <v>#DIV/0!</v>
      </c>
      <c r="AM79" s="71" t="e">
        <f t="shared" si="43"/>
        <v>#DIV/0!</v>
      </c>
      <c r="AN79" s="71" t="e">
        <f t="shared" si="43"/>
        <v>#DIV/0!</v>
      </c>
      <c r="AO79" s="71" t="e">
        <f t="shared" si="43"/>
        <v>#DIV/0!</v>
      </c>
      <c r="AP79" s="71" t="e">
        <f t="shared" si="43"/>
        <v>#DIV/0!</v>
      </c>
      <c r="AQ79" s="71" t="e">
        <f t="shared" si="43"/>
        <v>#DIV/0!</v>
      </c>
      <c r="AR79" s="71" t="e">
        <f t="shared" si="43"/>
        <v>#DIV/0!</v>
      </c>
      <c r="AS79" s="71" t="e">
        <f t="shared" si="43"/>
        <v>#DIV/0!</v>
      </c>
      <c r="AT79" s="71" t="e">
        <f t="shared" si="43"/>
        <v>#DIV/0!</v>
      </c>
      <c r="AU79" s="71" t="e">
        <f t="shared" si="43"/>
        <v>#DIV/0!</v>
      </c>
      <c r="AV79" s="71" t="e">
        <f t="shared" si="43"/>
        <v>#DIV/0!</v>
      </c>
      <c r="AW79" s="71" t="e">
        <f t="shared" si="43"/>
        <v>#DIV/0!</v>
      </c>
      <c r="AX79" s="71" t="e">
        <f t="shared" si="43"/>
        <v>#DIV/0!</v>
      </c>
      <c r="AY79" s="71" t="e">
        <f t="shared" si="43"/>
        <v>#DIV/0!</v>
      </c>
      <c r="AZ79" s="71" t="e">
        <f t="shared" si="43"/>
        <v>#DIV/0!</v>
      </c>
      <c r="BA79" s="71" t="e">
        <f t="shared" si="43"/>
        <v>#DIV/0!</v>
      </c>
      <c r="BB79" s="71" t="e">
        <f t="shared" si="43"/>
        <v>#DIV/0!</v>
      </c>
      <c r="BC79" s="93" t="s">
        <v>9</v>
      </c>
      <c r="BD79" s="66" t="e">
        <f t="shared" ref="BD79:CU79" si="44">AVERAGEIF($E$5:$E$35,$E79,BD$5:BD$35)</f>
        <v>#DIV/0!</v>
      </c>
      <c r="BE79" s="66" t="e">
        <f t="shared" si="44"/>
        <v>#DIV/0!</v>
      </c>
      <c r="BF79" s="66" t="e">
        <f t="shared" si="44"/>
        <v>#DIV/0!</v>
      </c>
      <c r="BG79" s="66" t="e">
        <f t="shared" si="44"/>
        <v>#DIV/0!</v>
      </c>
      <c r="BH79" s="66" t="e">
        <f t="shared" si="44"/>
        <v>#DIV/0!</v>
      </c>
      <c r="BI79" s="66" t="e">
        <f t="shared" si="44"/>
        <v>#DIV/0!</v>
      </c>
      <c r="BJ79" s="66" t="e">
        <f t="shared" si="44"/>
        <v>#DIV/0!</v>
      </c>
      <c r="BK79" s="66" t="e">
        <f t="shared" si="44"/>
        <v>#DIV/0!</v>
      </c>
      <c r="BL79" s="66" t="e">
        <f t="shared" si="44"/>
        <v>#DIV/0!</v>
      </c>
      <c r="BM79" s="66" t="e">
        <f t="shared" si="44"/>
        <v>#DIV/0!</v>
      </c>
      <c r="BN79" s="66" t="e">
        <f t="shared" si="44"/>
        <v>#DIV/0!</v>
      </c>
      <c r="BO79" s="66" t="e">
        <f t="shared" si="44"/>
        <v>#DIV/0!</v>
      </c>
      <c r="BP79" s="66" t="e">
        <f t="shared" si="44"/>
        <v>#DIV/0!</v>
      </c>
      <c r="BQ79" s="66" t="e">
        <f t="shared" si="44"/>
        <v>#DIV/0!</v>
      </c>
      <c r="BR79" s="66" t="e">
        <f t="shared" si="44"/>
        <v>#DIV/0!</v>
      </c>
      <c r="BS79" s="66" t="e">
        <f t="shared" si="44"/>
        <v>#DIV/0!</v>
      </c>
      <c r="BT79" s="66" t="e">
        <f t="shared" si="44"/>
        <v>#DIV/0!</v>
      </c>
      <c r="BU79" s="66" t="e">
        <f t="shared" si="44"/>
        <v>#DIV/0!</v>
      </c>
      <c r="BV79" s="66" t="e">
        <f t="shared" si="44"/>
        <v>#DIV/0!</v>
      </c>
      <c r="BW79" s="66" t="e">
        <f t="shared" si="44"/>
        <v>#DIV/0!</v>
      </c>
      <c r="BX79" s="66" t="e">
        <f t="shared" si="44"/>
        <v>#DIV/0!</v>
      </c>
      <c r="BY79" s="66" t="e">
        <f t="shared" si="44"/>
        <v>#DIV/0!</v>
      </c>
      <c r="BZ79" s="66" t="e">
        <f t="shared" si="44"/>
        <v>#DIV/0!</v>
      </c>
      <c r="CA79" s="66" t="e">
        <f t="shared" si="44"/>
        <v>#DIV/0!</v>
      </c>
      <c r="CB79" s="66" t="e">
        <f t="shared" si="44"/>
        <v>#DIV/0!</v>
      </c>
      <c r="CC79" s="66" t="e">
        <f t="shared" si="44"/>
        <v>#DIV/0!</v>
      </c>
      <c r="CD79" s="66" t="e">
        <f t="shared" si="44"/>
        <v>#DIV/0!</v>
      </c>
      <c r="CE79" s="66" t="e">
        <f t="shared" si="44"/>
        <v>#DIV/0!</v>
      </c>
      <c r="CF79" s="66" t="e">
        <f t="shared" si="44"/>
        <v>#DIV/0!</v>
      </c>
      <c r="CG79" s="66" t="e">
        <f t="shared" si="44"/>
        <v>#DIV/0!</v>
      </c>
      <c r="CH79" s="66" t="e">
        <f t="shared" si="44"/>
        <v>#DIV/0!</v>
      </c>
      <c r="CI79" s="66" t="e">
        <f t="shared" si="44"/>
        <v>#DIV/0!</v>
      </c>
      <c r="CJ79" s="66" t="e">
        <f t="shared" si="44"/>
        <v>#DIV/0!</v>
      </c>
      <c r="CK79" s="66" t="e">
        <f t="shared" si="44"/>
        <v>#DIV/0!</v>
      </c>
      <c r="CL79" s="66" t="e">
        <f t="shared" si="44"/>
        <v>#DIV/0!</v>
      </c>
      <c r="CM79" s="66" t="e">
        <f t="shared" si="44"/>
        <v>#DIV/0!</v>
      </c>
      <c r="CN79" s="66" t="e">
        <f t="shared" si="44"/>
        <v>#DIV/0!</v>
      </c>
      <c r="CO79" s="66" t="e">
        <f t="shared" si="44"/>
        <v>#DIV/0!</v>
      </c>
      <c r="CP79" s="66" t="e">
        <f t="shared" si="44"/>
        <v>#DIV/0!</v>
      </c>
      <c r="CQ79" s="66" t="e">
        <f t="shared" si="44"/>
        <v>#DIV/0!</v>
      </c>
      <c r="CR79" s="66" t="e">
        <f t="shared" si="44"/>
        <v>#DIV/0!</v>
      </c>
      <c r="CS79" s="66" t="e">
        <f t="shared" si="44"/>
        <v>#DIV/0!</v>
      </c>
      <c r="CT79" s="66" t="e">
        <f t="shared" si="44"/>
        <v>#DIV/0!</v>
      </c>
      <c r="CU79" s="66" t="e">
        <f t="shared" si="44"/>
        <v>#DIV/0!</v>
      </c>
      <c r="CV79" s="69"/>
    </row>
    <row r="80" spans="1:100" ht="14.25" customHeight="1">
      <c r="A80" s="103"/>
      <c r="E80" s="83"/>
      <c r="H80" s="83"/>
      <c r="I80" s="277" t="e">
        <f t="array" ref="I80">_xlfn.STDEV.P(IF($E$5:$E$35=$E79,I$5:I$35))</f>
        <v>#DIV/0!</v>
      </c>
      <c r="J80" s="65" t="s">
        <v>11</v>
      </c>
      <c r="K80" s="74" t="e">
        <f t="array" ref="K80">_xlfn.STDEV.P(IF($E$5:$E$35=$E79,K$5:K$35))</f>
        <v>#DIV/0!</v>
      </c>
      <c r="L80" s="74" t="e">
        <f t="array" ref="L80">_xlfn.STDEV.P(IF($E$5:$E$35=$E79,L$5:L$35))</f>
        <v>#DIV/0!</v>
      </c>
      <c r="M80" s="74" t="e">
        <f t="array" ref="M80">_xlfn.STDEV.P(IF($E$5:$E$35=$E79,M$5:M$35))</f>
        <v>#DIV/0!</v>
      </c>
      <c r="N80" s="74" t="e">
        <f t="array" ref="N80">_xlfn.STDEV.P(IF($E$5:$E$35=$E79,N$5:N$35))</f>
        <v>#DIV/0!</v>
      </c>
      <c r="O80" s="74" t="e">
        <f t="array" ref="O80">_xlfn.STDEV.P(IF($E$5:$E$35=$E79,O$5:O$35))</f>
        <v>#DIV/0!</v>
      </c>
      <c r="P80" s="74" t="e">
        <f t="array" ref="P80">_xlfn.STDEV.P(IF($E$5:$E$35=$E79,P$5:P$35))</f>
        <v>#DIV/0!</v>
      </c>
      <c r="Q80" s="74" t="e">
        <f t="array" ref="Q80">_xlfn.STDEV.P(IF($E$5:$E$35=$E79,Q$5:Q$35))</f>
        <v>#DIV/0!</v>
      </c>
      <c r="R80" s="74" t="e">
        <f t="array" ref="R80">_xlfn.STDEV.P(IF($E$5:$E$35=$E79,R$5:R$35))</f>
        <v>#DIV/0!</v>
      </c>
      <c r="S80" s="74" t="e">
        <f t="array" ref="S80">_xlfn.STDEV.P(IF($E$5:$E$35=$E79,S$5:S$35))</f>
        <v>#DIV/0!</v>
      </c>
      <c r="T80" s="74" t="e">
        <f t="array" ref="T80">_xlfn.STDEV.P(IF($E$5:$E$35=$E79,T$5:T$35))</f>
        <v>#DIV/0!</v>
      </c>
      <c r="U80" s="74" t="e">
        <f t="array" ref="U80">_xlfn.STDEV.P(IF($E$5:$E$35=$E79,U$5:U$35))</f>
        <v>#DIV/0!</v>
      </c>
      <c r="V80" s="74" t="e">
        <f t="array" ref="V80">_xlfn.STDEV.P(IF($E$5:$E$35=$E79,V$5:V$35))</f>
        <v>#DIV/0!</v>
      </c>
      <c r="W80" s="74" t="e">
        <f t="array" ref="W80">_xlfn.STDEV.P(IF($E$5:$E$35=$E79,W$5:W$35))</f>
        <v>#DIV/0!</v>
      </c>
      <c r="X80" s="74" t="e">
        <f t="array" ref="X80">_xlfn.STDEV.P(IF($E$5:$E$35=$E79,X$5:X$35))</f>
        <v>#DIV/0!</v>
      </c>
      <c r="Y80" s="74" t="e">
        <f t="array" ref="Y80">_xlfn.STDEV.P(IF($E$5:$E$35=$E79,Y$5:Y$35))</f>
        <v>#DIV/0!</v>
      </c>
      <c r="Z80" s="74" t="e">
        <f t="array" ref="Z80">_xlfn.STDEV.P(IF($E$5:$E$35=$E79,Z$5:Z$35))</f>
        <v>#DIV/0!</v>
      </c>
      <c r="AA80" s="74" t="e">
        <f t="array" ref="AA80">_xlfn.STDEV.P(IF($E$5:$E$35=$E79,AA$5:AA$35))</f>
        <v>#DIV/0!</v>
      </c>
      <c r="AB80" s="74" t="e">
        <f t="array" ref="AB80">_xlfn.STDEV.P(IF($E$5:$E$35=$E79,AB$5:AB$35))</f>
        <v>#DIV/0!</v>
      </c>
      <c r="AC80" s="74" t="e">
        <f t="array" ref="AC80">_xlfn.STDEV.P(IF($E$5:$E$35=$E79,AC$5:AC$35))</f>
        <v>#DIV/0!</v>
      </c>
      <c r="AD80" s="74" t="e">
        <f t="array" ref="AD80">_xlfn.STDEV.P(IF($E$5:$E$35=$E79,AD$5:AD$35))</f>
        <v>#DIV/0!</v>
      </c>
      <c r="AE80" s="74" t="e">
        <f t="array" ref="AE80">_xlfn.STDEV.P(IF($E$5:$E$35=$E79,AE$5:AE$35))</f>
        <v>#DIV/0!</v>
      </c>
      <c r="AF80" s="74" t="e">
        <f t="array" ref="AF80">_xlfn.STDEV.P(IF($E$5:$E$35=$E79,AF$5:AF$35))</f>
        <v>#DIV/0!</v>
      </c>
      <c r="AG80" s="74" t="e">
        <f t="array" ref="AG80">_xlfn.STDEV.P(IF($E$5:$E$35=$E79,AG$5:AG$35))</f>
        <v>#DIV/0!</v>
      </c>
      <c r="AH80" s="74" t="e">
        <f t="array" ref="AH80">_xlfn.STDEV.P(IF($E$5:$E$35=$E79,AH$5:AH$35))</f>
        <v>#DIV/0!</v>
      </c>
      <c r="AI80" s="74" t="e">
        <f t="array" ref="AI80">_xlfn.STDEV.P(IF($E$5:$E$35=$E79,AI$5:AI$35))</f>
        <v>#DIV/0!</v>
      </c>
      <c r="AJ80" s="74" t="e">
        <f t="array" ref="AJ80">_xlfn.STDEV.P(IF($E$5:$E$35=$E79,AJ$5:AJ$35))</f>
        <v>#DIV/0!</v>
      </c>
      <c r="AK80" s="74" t="e">
        <f t="array" ref="AK80">_xlfn.STDEV.P(IF($E$5:$E$35=$E79,AK$5:AK$35))</f>
        <v>#DIV/0!</v>
      </c>
      <c r="AL80" s="74" t="e">
        <f t="array" ref="AL80">_xlfn.STDEV.P(IF($E$5:$E$35=$E79,AL$5:AL$35))</f>
        <v>#DIV/0!</v>
      </c>
      <c r="AM80" s="74" t="e">
        <f t="array" ref="AM80">_xlfn.STDEV.P(IF($E$5:$E$35=$E79,AM$5:AM$35))</f>
        <v>#DIV/0!</v>
      </c>
      <c r="AN80" s="74" t="e">
        <f t="array" ref="AN80">_xlfn.STDEV.P(IF($E$5:$E$35=$E79,AN$5:AN$35))</f>
        <v>#DIV/0!</v>
      </c>
      <c r="AO80" s="74" t="e">
        <f t="array" ref="AO80">_xlfn.STDEV.P(IF($E$5:$E$35=$E79,AO$5:AO$35))</f>
        <v>#DIV/0!</v>
      </c>
      <c r="AP80" s="74" t="e">
        <f t="array" ref="AP80">_xlfn.STDEV.P(IF($E$5:$E$35=$E79,AP$5:AP$35))</f>
        <v>#DIV/0!</v>
      </c>
      <c r="AQ80" s="74" t="e">
        <f t="array" ref="AQ80">_xlfn.STDEV.P(IF($E$5:$E$35=$E79,AQ$5:AQ$35))</f>
        <v>#DIV/0!</v>
      </c>
      <c r="AR80" s="74" t="e">
        <f t="array" ref="AR80">_xlfn.STDEV.P(IF($E$5:$E$35=$E79,AR$5:AR$35))</f>
        <v>#DIV/0!</v>
      </c>
      <c r="AS80" s="74" t="e">
        <f t="array" ref="AS80">_xlfn.STDEV.P(IF($E$5:$E$35=$E79,AS$5:AS$35))</f>
        <v>#DIV/0!</v>
      </c>
      <c r="AT80" s="74" t="e">
        <f t="array" ref="AT80">_xlfn.STDEV.P(IF($E$5:$E$35=$E79,AT$5:AT$35))</f>
        <v>#DIV/0!</v>
      </c>
      <c r="AU80" s="74" t="e">
        <f t="array" ref="AU80">_xlfn.STDEV.P(IF($E$5:$E$35=$E79,AU$5:AU$35))</f>
        <v>#DIV/0!</v>
      </c>
      <c r="AV80" s="74" t="e">
        <f t="array" ref="AV80">_xlfn.STDEV.P(IF($E$5:$E$35=$E79,AV$5:AV$35))</f>
        <v>#DIV/0!</v>
      </c>
      <c r="AW80" s="74" t="e">
        <f t="array" ref="AW80">_xlfn.STDEV.P(IF($E$5:$E$35=$E79,AW$5:AW$35))</f>
        <v>#DIV/0!</v>
      </c>
      <c r="AX80" s="74" t="e">
        <f t="array" ref="AX80">_xlfn.STDEV.P(IF($E$5:$E$35=$E79,AX$5:AX$35))</f>
        <v>#DIV/0!</v>
      </c>
      <c r="AY80" s="74" t="e">
        <f t="array" ref="AY80">_xlfn.STDEV.P(IF($E$5:$E$35=$E79,AY$5:AY$35))</f>
        <v>#DIV/0!</v>
      </c>
      <c r="AZ80" s="74" t="e">
        <f t="array" ref="AZ80">_xlfn.STDEV.P(IF($E$5:$E$35=$E79,AZ$5:AZ$35))</f>
        <v>#DIV/0!</v>
      </c>
      <c r="BA80" s="74" t="e">
        <f t="array" ref="BA80">_xlfn.STDEV.P(IF($E$5:$E$35=$E79,BA$5:BA$35))</f>
        <v>#DIV/0!</v>
      </c>
      <c r="BB80" s="74" t="e">
        <f t="array" ref="BB80">_xlfn.STDEV.P(IF($E$5:$E$35=$E79,BB$5:BB$35))</f>
        <v>#DIV/0!</v>
      </c>
      <c r="BC80" s="94" t="s">
        <v>11</v>
      </c>
      <c r="BD80" s="67" t="e">
        <f t="array" ref="BD80">_xlfn.STDEV.P(IF($E$5:$E$35=$E79,BD$5:BD$35))</f>
        <v>#DIV/0!</v>
      </c>
      <c r="BE80" s="67" t="e">
        <f t="array" ref="BE80">_xlfn.STDEV.P(IF($E$5:$E$35=$E79,BE$5:BE$35))</f>
        <v>#DIV/0!</v>
      </c>
      <c r="BF80" s="67" t="e">
        <f t="array" ref="BF80">_xlfn.STDEV.P(IF($E$5:$E$35=$E79,BF$5:BF$35))</f>
        <v>#DIV/0!</v>
      </c>
      <c r="BG80" s="67" t="e">
        <f t="array" ref="BG80">_xlfn.STDEV.P(IF($E$5:$E$35=$E79,BG$5:BG$35))</f>
        <v>#DIV/0!</v>
      </c>
      <c r="BH80" s="67" t="e">
        <f t="array" ref="BH80">_xlfn.STDEV.P(IF($E$5:$E$35=$E79,BH$5:BH$35))</f>
        <v>#DIV/0!</v>
      </c>
      <c r="BI80" s="67" t="e">
        <f t="array" ref="BI80">_xlfn.STDEV.P(IF($E$5:$E$35=$E79,BI$5:BI$35))</f>
        <v>#DIV/0!</v>
      </c>
      <c r="BJ80" s="67" t="e">
        <f t="array" ref="BJ80">_xlfn.STDEV.P(IF($E$5:$E$35=$E79,BJ$5:BJ$35))</f>
        <v>#DIV/0!</v>
      </c>
      <c r="BK80" s="67" t="e">
        <f t="array" ref="BK80">_xlfn.STDEV.P(IF($E$5:$E$35=$E79,BK$5:BK$35))</f>
        <v>#DIV/0!</v>
      </c>
      <c r="BL80" s="67" t="e">
        <f t="array" ref="BL80">_xlfn.STDEV.P(IF($E$5:$E$35=$E79,BL$5:BL$35))</f>
        <v>#DIV/0!</v>
      </c>
      <c r="BM80" s="67" t="e">
        <f t="array" ref="BM80">_xlfn.STDEV.P(IF($E$5:$E$35=$E79,BM$5:BM$35))</f>
        <v>#DIV/0!</v>
      </c>
      <c r="BN80" s="67" t="e">
        <f t="array" ref="BN80">_xlfn.STDEV.P(IF($E$5:$E$35=$E79,BN$5:BN$35))</f>
        <v>#DIV/0!</v>
      </c>
      <c r="BO80" s="67" t="e">
        <f t="array" ref="BO80">_xlfn.STDEV.P(IF($E$5:$E$35=$E79,BO$5:BO$35))</f>
        <v>#DIV/0!</v>
      </c>
      <c r="BP80" s="67" t="e">
        <f t="array" ref="BP80">_xlfn.STDEV.P(IF($E$5:$E$35=$E79,BP$5:BP$35))</f>
        <v>#DIV/0!</v>
      </c>
      <c r="BQ80" s="67" t="e">
        <f t="array" ref="BQ80">_xlfn.STDEV.P(IF($E$5:$E$35=$E79,BQ$5:BQ$35))</f>
        <v>#DIV/0!</v>
      </c>
      <c r="BR80" s="67" t="e">
        <f t="array" ref="BR80">_xlfn.STDEV.P(IF($E$5:$E$35=$E79,BR$5:BR$35))</f>
        <v>#DIV/0!</v>
      </c>
      <c r="BS80" s="67" t="e">
        <f t="array" ref="BS80">_xlfn.STDEV.P(IF($E$5:$E$35=$E79,BS$5:BS$35))</f>
        <v>#DIV/0!</v>
      </c>
      <c r="BT80" s="67" t="e">
        <f t="array" ref="BT80">_xlfn.STDEV.P(IF($E$5:$E$35=$E79,BT$5:BT$35))</f>
        <v>#DIV/0!</v>
      </c>
      <c r="BU80" s="67" t="e">
        <f t="array" ref="BU80">_xlfn.STDEV.P(IF($E$5:$E$35=$E79,BU$5:BU$35))</f>
        <v>#DIV/0!</v>
      </c>
      <c r="BV80" s="67" t="e">
        <f t="array" ref="BV80">_xlfn.STDEV.P(IF($E$5:$E$35=$E79,BV$5:BV$35))</f>
        <v>#DIV/0!</v>
      </c>
      <c r="BW80" s="67" t="e">
        <f t="array" ref="BW80">_xlfn.STDEV.P(IF($E$5:$E$35=$E79,BW$5:BW$35))</f>
        <v>#DIV/0!</v>
      </c>
      <c r="BX80" s="67" t="e">
        <f t="array" ref="BX80">_xlfn.STDEV.P(IF($E$5:$E$35=$E79,BX$5:BX$35))</f>
        <v>#DIV/0!</v>
      </c>
      <c r="BY80" s="67" t="e">
        <f t="array" ref="BY80">_xlfn.STDEV.P(IF($E$5:$E$35=$E79,BY$5:BY$35))</f>
        <v>#DIV/0!</v>
      </c>
      <c r="BZ80" s="67" t="e">
        <f t="array" ref="BZ80">_xlfn.STDEV.P(IF($E$5:$E$35=$E79,BZ$5:BZ$35))</f>
        <v>#DIV/0!</v>
      </c>
      <c r="CA80" s="67" t="e">
        <f t="array" ref="CA80">_xlfn.STDEV.P(IF($E$5:$E$35=$E79,CA$5:CA$35))</f>
        <v>#DIV/0!</v>
      </c>
      <c r="CB80" s="67" t="e">
        <f t="array" ref="CB80">_xlfn.STDEV.P(IF($E$5:$E$35=$E79,CB$5:CB$35))</f>
        <v>#DIV/0!</v>
      </c>
      <c r="CC80" s="67" t="e">
        <f t="array" ref="CC80">_xlfn.STDEV.P(IF($E$5:$E$35=$E79,CC$5:CC$35))</f>
        <v>#DIV/0!</v>
      </c>
      <c r="CD80" s="67" t="e">
        <f t="array" ref="CD80">_xlfn.STDEV.P(IF($E$5:$E$35=$E79,CD$5:CD$35))</f>
        <v>#DIV/0!</v>
      </c>
      <c r="CE80" s="67" t="e">
        <f t="array" ref="CE80">_xlfn.STDEV.P(IF($E$5:$E$35=$E79,CE$5:CE$35))</f>
        <v>#DIV/0!</v>
      </c>
      <c r="CF80" s="67" t="e">
        <f t="array" ref="CF80">_xlfn.STDEV.P(IF($E$5:$E$35=$E79,CF$5:CF$35))</f>
        <v>#DIV/0!</v>
      </c>
      <c r="CG80" s="67" t="e">
        <f t="array" ref="CG80">_xlfn.STDEV.P(IF($E$5:$E$35=$E79,CG$5:CG$35))</f>
        <v>#DIV/0!</v>
      </c>
      <c r="CH80" s="67" t="e">
        <f t="array" ref="CH80">_xlfn.STDEV.P(IF($E$5:$E$35=$E79,CH$5:CH$35))</f>
        <v>#DIV/0!</v>
      </c>
      <c r="CI80" s="67" t="e">
        <f t="array" ref="CI80">_xlfn.STDEV.P(IF($E$5:$E$35=$E79,CI$5:CI$35))</f>
        <v>#DIV/0!</v>
      </c>
      <c r="CJ80" s="67" t="e">
        <f t="array" ref="CJ80">_xlfn.STDEV.P(IF($E$5:$E$35=$E79,CJ$5:CJ$35))</f>
        <v>#DIV/0!</v>
      </c>
      <c r="CK80" s="67" t="e">
        <f t="array" ref="CK80">_xlfn.STDEV.P(IF($E$5:$E$35=$E79,CK$5:CK$35))</f>
        <v>#DIV/0!</v>
      </c>
      <c r="CL80" s="67" t="e">
        <f t="array" ref="CL80">_xlfn.STDEV.P(IF($E$5:$E$35=$E79,CL$5:CL$35))</f>
        <v>#DIV/0!</v>
      </c>
      <c r="CM80" s="67" t="e">
        <f t="array" ref="CM80">_xlfn.STDEV.P(IF($E$5:$E$35=$E79,CM$5:CM$35))</f>
        <v>#DIV/0!</v>
      </c>
      <c r="CN80" s="67" t="e">
        <f t="array" ref="CN80">_xlfn.STDEV.P(IF($E$5:$E$35=$E79,CN$5:CN$35))</f>
        <v>#DIV/0!</v>
      </c>
      <c r="CO80" s="67" t="e">
        <f t="array" ref="CO80">_xlfn.STDEV.P(IF($E$5:$E$35=$E79,CO$5:CO$35))</f>
        <v>#DIV/0!</v>
      </c>
      <c r="CP80" s="67" t="e">
        <f t="array" ref="CP80">_xlfn.STDEV.P(IF($E$5:$E$35=$E79,CP$5:CP$35))</f>
        <v>#DIV/0!</v>
      </c>
      <c r="CQ80" s="67" t="e">
        <f t="array" ref="CQ80">_xlfn.STDEV.P(IF($E$5:$E$35=$E79,CQ$5:CQ$35))</f>
        <v>#DIV/0!</v>
      </c>
      <c r="CR80" s="67" t="e">
        <f t="array" ref="CR80">_xlfn.STDEV.P(IF($E$5:$E$35=$E79,CR$5:CR$35))</f>
        <v>#DIV/0!</v>
      </c>
      <c r="CS80" s="67" t="e">
        <f t="array" ref="CS80">_xlfn.STDEV.P(IF($E$5:$E$35=$E79,CS$5:CS$35))</f>
        <v>#DIV/0!</v>
      </c>
      <c r="CT80" s="67" t="e">
        <f t="array" ref="CT80">_xlfn.STDEV.P(IF($E$5:$E$35=$E79,CT$5:CT$35))</f>
        <v>#DIV/0!</v>
      </c>
      <c r="CU80" s="67" t="e">
        <f t="array" ref="CU80">_xlfn.STDEV.P(IF($E$5:$E$35=$E79,CU$5:CU$35))</f>
        <v>#DIV/0!</v>
      </c>
      <c r="CV80" s="69"/>
    </row>
    <row r="81" spans="1:100" ht="15">
      <c r="A81" s="103"/>
      <c r="E81" s="108"/>
      <c r="H81" s="45"/>
    </row>
    <row r="82" spans="1:100" ht="14.25" customHeight="1">
      <c r="A82" s="103"/>
      <c r="E82" s="108" t="str">
        <f>'5GY EBRT Groups'!C20</f>
        <v>Group 15</v>
      </c>
      <c r="H82" s="108" t="str">
        <f>E82</f>
        <v>Group 15</v>
      </c>
      <c r="I82" s="277" t="e">
        <f>AVERAGEIF($E$5:$E$35,$E82,I$5:I$35)</f>
        <v>#DIV/0!</v>
      </c>
      <c r="J82" s="65" t="s">
        <v>9</v>
      </c>
      <c r="K82" s="71" t="e">
        <f t="shared" ref="K82:BB82" si="45">AVERAGEIF($E$5:$E$35,$E82,K$5:K$35)</f>
        <v>#DIV/0!</v>
      </c>
      <c r="L82" s="71" t="e">
        <f t="shared" si="45"/>
        <v>#DIV/0!</v>
      </c>
      <c r="M82" s="71" t="e">
        <f t="shared" si="45"/>
        <v>#DIV/0!</v>
      </c>
      <c r="N82" s="71" t="e">
        <f t="shared" si="45"/>
        <v>#DIV/0!</v>
      </c>
      <c r="O82" s="71" t="e">
        <f t="shared" si="45"/>
        <v>#DIV/0!</v>
      </c>
      <c r="P82" s="71" t="e">
        <f t="shared" si="45"/>
        <v>#DIV/0!</v>
      </c>
      <c r="Q82" s="71" t="e">
        <f t="shared" si="45"/>
        <v>#DIV/0!</v>
      </c>
      <c r="R82" s="71" t="e">
        <f t="shared" si="45"/>
        <v>#DIV/0!</v>
      </c>
      <c r="S82" s="71" t="e">
        <f t="shared" si="45"/>
        <v>#DIV/0!</v>
      </c>
      <c r="T82" s="71" t="e">
        <f t="shared" si="45"/>
        <v>#DIV/0!</v>
      </c>
      <c r="U82" s="71" t="e">
        <f t="shared" si="45"/>
        <v>#DIV/0!</v>
      </c>
      <c r="V82" s="71" t="e">
        <f t="shared" si="45"/>
        <v>#DIV/0!</v>
      </c>
      <c r="W82" s="71" t="e">
        <f t="shared" si="45"/>
        <v>#DIV/0!</v>
      </c>
      <c r="X82" s="71" t="e">
        <f t="shared" si="45"/>
        <v>#DIV/0!</v>
      </c>
      <c r="Y82" s="71" t="e">
        <f t="shared" si="45"/>
        <v>#DIV/0!</v>
      </c>
      <c r="Z82" s="71" t="e">
        <f t="shared" si="45"/>
        <v>#DIV/0!</v>
      </c>
      <c r="AA82" s="71" t="e">
        <f t="shared" si="45"/>
        <v>#DIV/0!</v>
      </c>
      <c r="AB82" s="71" t="e">
        <f t="shared" si="45"/>
        <v>#DIV/0!</v>
      </c>
      <c r="AC82" s="71" t="e">
        <f t="shared" si="45"/>
        <v>#DIV/0!</v>
      </c>
      <c r="AD82" s="71" t="e">
        <f t="shared" si="45"/>
        <v>#DIV/0!</v>
      </c>
      <c r="AE82" s="71" t="e">
        <f t="shared" si="45"/>
        <v>#DIV/0!</v>
      </c>
      <c r="AF82" s="71" t="e">
        <f t="shared" si="45"/>
        <v>#DIV/0!</v>
      </c>
      <c r="AG82" s="71" t="e">
        <f t="shared" si="45"/>
        <v>#DIV/0!</v>
      </c>
      <c r="AH82" s="71" t="e">
        <f t="shared" si="45"/>
        <v>#DIV/0!</v>
      </c>
      <c r="AI82" s="71" t="e">
        <f t="shared" si="45"/>
        <v>#DIV/0!</v>
      </c>
      <c r="AJ82" s="71" t="e">
        <f t="shared" si="45"/>
        <v>#DIV/0!</v>
      </c>
      <c r="AK82" s="71" t="e">
        <f t="shared" si="45"/>
        <v>#DIV/0!</v>
      </c>
      <c r="AL82" s="71" t="e">
        <f t="shared" si="45"/>
        <v>#DIV/0!</v>
      </c>
      <c r="AM82" s="71" t="e">
        <f t="shared" si="45"/>
        <v>#DIV/0!</v>
      </c>
      <c r="AN82" s="71" t="e">
        <f t="shared" si="45"/>
        <v>#DIV/0!</v>
      </c>
      <c r="AO82" s="71" t="e">
        <f t="shared" si="45"/>
        <v>#DIV/0!</v>
      </c>
      <c r="AP82" s="71" t="e">
        <f t="shared" si="45"/>
        <v>#DIV/0!</v>
      </c>
      <c r="AQ82" s="71" t="e">
        <f t="shared" si="45"/>
        <v>#DIV/0!</v>
      </c>
      <c r="AR82" s="71" t="e">
        <f t="shared" si="45"/>
        <v>#DIV/0!</v>
      </c>
      <c r="AS82" s="71" t="e">
        <f t="shared" si="45"/>
        <v>#DIV/0!</v>
      </c>
      <c r="AT82" s="71" t="e">
        <f t="shared" si="45"/>
        <v>#DIV/0!</v>
      </c>
      <c r="AU82" s="71" t="e">
        <f t="shared" si="45"/>
        <v>#DIV/0!</v>
      </c>
      <c r="AV82" s="71" t="e">
        <f t="shared" si="45"/>
        <v>#DIV/0!</v>
      </c>
      <c r="AW82" s="71" t="e">
        <f t="shared" si="45"/>
        <v>#DIV/0!</v>
      </c>
      <c r="AX82" s="71" t="e">
        <f t="shared" si="45"/>
        <v>#DIV/0!</v>
      </c>
      <c r="AY82" s="71" t="e">
        <f t="shared" si="45"/>
        <v>#DIV/0!</v>
      </c>
      <c r="AZ82" s="71" t="e">
        <f t="shared" si="45"/>
        <v>#DIV/0!</v>
      </c>
      <c r="BA82" s="71" t="e">
        <f t="shared" si="45"/>
        <v>#DIV/0!</v>
      </c>
      <c r="BB82" s="71" t="e">
        <f t="shared" si="45"/>
        <v>#DIV/0!</v>
      </c>
      <c r="BC82" s="93" t="s">
        <v>9</v>
      </c>
      <c r="BD82" s="66" t="e">
        <f t="shared" ref="BD82:CU82" si="46">AVERAGEIF($E$5:$E$35,$E82,BD$5:BD$35)</f>
        <v>#DIV/0!</v>
      </c>
      <c r="BE82" s="66" t="e">
        <f t="shared" si="46"/>
        <v>#DIV/0!</v>
      </c>
      <c r="BF82" s="66" t="e">
        <f t="shared" si="46"/>
        <v>#DIV/0!</v>
      </c>
      <c r="BG82" s="66" t="e">
        <f t="shared" si="46"/>
        <v>#DIV/0!</v>
      </c>
      <c r="BH82" s="66" t="e">
        <f t="shared" si="46"/>
        <v>#DIV/0!</v>
      </c>
      <c r="BI82" s="66" t="e">
        <f t="shared" si="46"/>
        <v>#DIV/0!</v>
      </c>
      <c r="BJ82" s="66" t="e">
        <f t="shared" si="46"/>
        <v>#DIV/0!</v>
      </c>
      <c r="BK82" s="66" t="e">
        <f t="shared" si="46"/>
        <v>#DIV/0!</v>
      </c>
      <c r="BL82" s="66" t="e">
        <f t="shared" si="46"/>
        <v>#DIV/0!</v>
      </c>
      <c r="BM82" s="66" t="e">
        <f t="shared" si="46"/>
        <v>#DIV/0!</v>
      </c>
      <c r="BN82" s="66" t="e">
        <f t="shared" si="46"/>
        <v>#DIV/0!</v>
      </c>
      <c r="BO82" s="66" t="e">
        <f t="shared" si="46"/>
        <v>#DIV/0!</v>
      </c>
      <c r="BP82" s="66" t="e">
        <f t="shared" si="46"/>
        <v>#DIV/0!</v>
      </c>
      <c r="BQ82" s="66" t="e">
        <f t="shared" si="46"/>
        <v>#DIV/0!</v>
      </c>
      <c r="BR82" s="66" t="e">
        <f t="shared" si="46"/>
        <v>#DIV/0!</v>
      </c>
      <c r="BS82" s="66" t="e">
        <f t="shared" si="46"/>
        <v>#DIV/0!</v>
      </c>
      <c r="BT82" s="66" t="e">
        <f t="shared" si="46"/>
        <v>#DIV/0!</v>
      </c>
      <c r="BU82" s="66" t="e">
        <f t="shared" si="46"/>
        <v>#DIV/0!</v>
      </c>
      <c r="BV82" s="66" t="e">
        <f t="shared" si="46"/>
        <v>#DIV/0!</v>
      </c>
      <c r="BW82" s="66" t="e">
        <f t="shared" si="46"/>
        <v>#DIV/0!</v>
      </c>
      <c r="BX82" s="66" t="e">
        <f t="shared" si="46"/>
        <v>#DIV/0!</v>
      </c>
      <c r="BY82" s="66" t="e">
        <f t="shared" si="46"/>
        <v>#DIV/0!</v>
      </c>
      <c r="BZ82" s="66" t="e">
        <f t="shared" si="46"/>
        <v>#DIV/0!</v>
      </c>
      <c r="CA82" s="66" t="e">
        <f t="shared" si="46"/>
        <v>#DIV/0!</v>
      </c>
      <c r="CB82" s="66" t="e">
        <f t="shared" si="46"/>
        <v>#DIV/0!</v>
      </c>
      <c r="CC82" s="66" t="e">
        <f t="shared" si="46"/>
        <v>#DIV/0!</v>
      </c>
      <c r="CD82" s="66" t="e">
        <f t="shared" si="46"/>
        <v>#DIV/0!</v>
      </c>
      <c r="CE82" s="66" t="e">
        <f t="shared" si="46"/>
        <v>#DIV/0!</v>
      </c>
      <c r="CF82" s="66" t="e">
        <f t="shared" si="46"/>
        <v>#DIV/0!</v>
      </c>
      <c r="CG82" s="66" t="e">
        <f t="shared" si="46"/>
        <v>#DIV/0!</v>
      </c>
      <c r="CH82" s="66" t="e">
        <f t="shared" si="46"/>
        <v>#DIV/0!</v>
      </c>
      <c r="CI82" s="66" t="e">
        <f t="shared" si="46"/>
        <v>#DIV/0!</v>
      </c>
      <c r="CJ82" s="66" t="e">
        <f t="shared" si="46"/>
        <v>#DIV/0!</v>
      </c>
      <c r="CK82" s="66" t="e">
        <f t="shared" si="46"/>
        <v>#DIV/0!</v>
      </c>
      <c r="CL82" s="66" t="e">
        <f t="shared" si="46"/>
        <v>#DIV/0!</v>
      </c>
      <c r="CM82" s="66" t="e">
        <f t="shared" si="46"/>
        <v>#DIV/0!</v>
      </c>
      <c r="CN82" s="66" t="e">
        <f t="shared" si="46"/>
        <v>#DIV/0!</v>
      </c>
      <c r="CO82" s="66" t="e">
        <f t="shared" si="46"/>
        <v>#DIV/0!</v>
      </c>
      <c r="CP82" s="66" t="e">
        <f t="shared" si="46"/>
        <v>#DIV/0!</v>
      </c>
      <c r="CQ82" s="66" t="e">
        <f t="shared" si="46"/>
        <v>#DIV/0!</v>
      </c>
      <c r="CR82" s="66" t="e">
        <f t="shared" si="46"/>
        <v>#DIV/0!</v>
      </c>
      <c r="CS82" s="66" t="e">
        <f t="shared" si="46"/>
        <v>#DIV/0!</v>
      </c>
      <c r="CT82" s="66" t="e">
        <f t="shared" si="46"/>
        <v>#DIV/0!</v>
      </c>
      <c r="CU82" s="66" t="e">
        <f t="shared" si="46"/>
        <v>#DIV/0!</v>
      </c>
      <c r="CV82" s="69"/>
    </row>
    <row r="83" spans="1:100" ht="14.25" customHeight="1">
      <c r="A83" s="103"/>
      <c r="E83" s="83"/>
      <c r="H83" s="83"/>
      <c r="I83" s="277" t="e">
        <f t="array" ref="I83">_xlfn.STDEV.P(IF($E$5:$E$35=$E82,I$5:I$35))</f>
        <v>#DIV/0!</v>
      </c>
      <c r="J83" s="65" t="s">
        <v>11</v>
      </c>
      <c r="K83" s="74" t="e">
        <f t="array" ref="K83">_xlfn.STDEV.P(IF($E$5:$E$35=$E82,K$5:K$35))</f>
        <v>#DIV/0!</v>
      </c>
      <c r="L83" s="74" t="e">
        <f t="array" ref="L83">_xlfn.STDEV.P(IF($E$5:$E$35=$E82,L$5:L$35))</f>
        <v>#DIV/0!</v>
      </c>
      <c r="M83" s="74" t="e">
        <f t="array" ref="M83">_xlfn.STDEV.P(IF($E$5:$E$35=$E82,M$5:M$35))</f>
        <v>#DIV/0!</v>
      </c>
      <c r="N83" s="74" t="e">
        <f t="array" ref="N83">_xlfn.STDEV.P(IF($E$5:$E$35=$E82,N$5:N$35))</f>
        <v>#DIV/0!</v>
      </c>
      <c r="O83" s="74" t="e">
        <f t="array" ref="O83">_xlfn.STDEV.P(IF($E$5:$E$35=$E82,O$5:O$35))</f>
        <v>#DIV/0!</v>
      </c>
      <c r="P83" s="74" t="e">
        <f t="array" ref="P83">_xlfn.STDEV.P(IF($E$5:$E$35=$E82,P$5:P$35))</f>
        <v>#DIV/0!</v>
      </c>
      <c r="Q83" s="74" t="e">
        <f t="array" ref="Q83">_xlfn.STDEV.P(IF($E$5:$E$35=$E82,Q$5:Q$35))</f>
        <v>#DIV/0!</v>
      </c>
      <c r="R83" s="74" t="e">
        <f t="array" ref="R83">_xlfn.STDEV.P(IF($E$5:$E$35=$E82,R$5:R$35))</f>
        <v>#DIV/0!</v>
      </c>
      <c r="S83" s="74" t="e">
        <f t="array" ref="S83">_xlfn.STDEV.P(IF($E$5:$E$35=$E82,S$5:S$35))</f>
        <v>#DIV/0!</v>
      </c>
      <c r="T83" s="74" t="e">
        <f t="array" ref="T83">_xlfn.STDEV.P(IF($E$5:$E$35=$E82,T$5:T$35))</f>
        <v>#DIV/0!</v>
      </c>
      <c r="U83" s="74" t="e">
        <f t="array" ref="U83">_xlfn.STDEV.P(IF($E$5:$E$35=$E82,U$5:U$35))</f>
        <v>#DIV/0!</v>
      </c>
      <c r="V83" s="74" t="e">
        <f t="array" ref="V83">_xlfn.STDEV.P(IF($E$5:$E$35=$E82,V$5:V$35))</f>
        <v>#DIV/0!</v>
      </c>
      <c r="W83" s="74" t="e">
        <f t="array" ref="W83">_xlfn.STDEV.P(IF($E$5:$E$35=$E82,W$5:W$35))</f>
        <v>#DIV/0!</v>
      </c>
      <c r="X83" s="74" t="e">
        <f t="array" ref="X83">_xlfn.STDEV.P(IF($E$5:$E$35=$E82,X$5:X$35))</f>
        <v>#DIV/0!</v>
      </c>
      <c r="Y83" s="74" t="e">
        <f t="array" ref="Y83">_xlfn.STDEV.P(IF($E$5:$E$35=$E82,Y$5:Y$35))</f>
        <v>#DIV/0!</v>
      </c>
      <c r="Z83" s="74" t="e">
        <f t="array" ref="Z83">_xlfn.STDEV.P(IF($E$5:$E$35=$E82,Z$5:Z$35))</f>
        <v>#DIV/0!</v>
      </c>
      <c r="AA83" s="74" t="e">
        <f t="array" ref="AA83">_xlfn.STDEV.P(IF($E$5:$E$35=$E82,AA$5:AA$35))</f>
        <v>#DIV/0!</v>
      </c>
      <c r="AB83" s="74" t="e">
        <f t="array" ref="AB83">_xlfn.STDEV.P(IF($E$5:$E$35=$E82,AB$5:AB$35))</f>
        <v>#DIV/0!</v>
      </c>
      <c r="AC83" s="74" t="e">
        <f t="array" ref="AC83">_xlfn.STDEV.P(IF($E$5:$E$35=$E82,AC$5:AC$35))</f>
        <v>#DIV/0!</v>
      </c>
      <c r="AD83" s="74" t="e">
        <f t="array" ref="AD83">_xlfn.STDEV.P(IF($E$5:$E$35=$E82,AD$5:AD$35))</f>
        <v>#DIV/0!</v>
      </c>
      <c r="AE83" s="74" t="e">
        <f t="array" ref="AE83">_xlfn.STDEV.P(IF($E$5:$E$35=$E82,AE$5:AE$35))</f>
        <v>#DIV/0!</v>
      </c>
      <c r="AF83" s="74" t="e">
        <f t="array" ref="AF83">_xlfn.STDEV.P(IF($E$5:$E$35=$E82,AF$5:AF$35))</f>
        <v>#DIV/0!</v>
      </c>
      <c r="AG83" s="74" t="e">
        <f t="array" ref="AG83">_xlfn.STDEV.P(IF($E$5:$E$35=$E82,AG$5:AG$35))</f>
        <v>#DIV/0!</v>
      </c>
      <c r="AH83" s="74" t="e">
        <f t="array" ref="AH83">_xlfn.STDEV.P(IF($E$5:$E$35=$E82,AH$5:AH$35))</f>
        <v>#DIV/0!</v>
      </c>
      <c r="AI83" s="74" t="e">
        <f t="array" ref="AI83">_xlfn.STDEV.P(IF($E$5:$E$35=$E82,AI$5:AI$35))</f>
        <v>#DIV/0!</v>
      </c>
      <c r="AJ83" s="74" t="e">
        <f t="array" ref="AJ83">_xlfn.STDEV.P(IF($E$5:$E$35=$E82,AJ$5:AJ$35))</f>
        <v>#DIV/0!</v>
      </c>
      <c r="AK83" s="74" t="e">
        <f t="array" ref="AK83">_xlfn.STDEV.P(IF($E$5:$E$35=$E82,AK$5:AK$35))</f>
        <v>#DIV/0!</v>
      </c>
      <c r="AL83" s="74" t="e">
        <f t="array" ref="AL83">_xlfn.STDEV.P(IF($E$5:$E$35=$E82,AL$5:AL$35))</f>
        <v>#DIV/0!</v>
      </c>
      <c r="AM83" s="74" t="e">
        <f t="array" ref="AM83">_xlfn.STDEV.P(IF($E$5:$E$35=$E82,AM$5:AM$35))</f>
        <v>#DIV/0!</v>
      </c>
      <c r="AN83" s="74" t="e">
        <f t="array" ref="AN83">_xlfn.STDEV.P(IF($E$5:$E$35=$E82,AN$5:AN$35))</f>
        <v>#DIV/0!</v>
      </c>
      <c r="AO83" s="74" t="e">
        <f t="array" ref="AO83">_xlfn.STDEV.P(IF($E$5:$E$35=$E82,AO$5:AO$35))</f>
        <v>#DIV/0!</v>
      </c>
      <c r="AP83" s="74" t="e">
        <f t="array" ref="AP83">_xlfn.STDEV.P(IF($E$5:$E$35=$E82,AP$5:AP$35))</f>
        <v>#DIV/0!</v>
      </c>
      <c r="AQ83" s="74" t="e">
        <f t="array" ref="AQ83">_xlfn.STDEV.P(IF($E$5:$E$35=$E82,AQ$5:AQ$35))</f>
        <v>#DIV/0!</v>
      </c>
      <c r="AR83" s="74" t="e">
        <f t="array" ref="AR83">_xlfn.STDEV.P(IF($E$5:$E$35=$E82,AR$5:AR$35))</f>
        <v>#DIV/0!</v>
      </c>
      <c r="AS83" s="74" t="e">
        <f t="array" ref="AS83">_xlfn.STDEV.P(IF($E$5:$E$35=$E82,AS$5:AS$35))</f>
        <v>#DIV/0!</v>
      </c>
      <c r="AT83" s="74" t="e">
        <f t="array" ref="AT83">_xlfn.STDEV.P(IF($E$5:$E$35=$E82,AT$5:AT$35))</f>
        <v>#DIV/0!</v>
      </c>
      <c r="AU83" s="74" t="e">
        <f t="array" ref="AU83">_xlfn.STDEV.P(IF($E$5:$E$35=$E82,AU$5:AU$35))</f>
        <v>#DIV/0!</v>
      </c>
      <c r="AV83" s="74" t="e">
        <f t="array" ref="AV83">_xlfn.STDEV.P(IF($E$5:$E$35=$E82,AV$5:AV$35))</f>
        <v>#DIV/0!</v>
      </c>
      <c r="AW83" s="74" t="e">
        <f t="array" ref="AW83">_xlfn.STDEV.P(IF($E$5:$E$35=$E82,AW$5:AW$35))</f>
        <v>#DIV/0!</v>
      </c>
      <c r="AX83" s="74" t="e">
        <f t="array" ref="AX83">_xlfn.STDEV.P(IF($E$5:$E$35=$E82,AX$5:AX$35))</f>
        <v>#DIV/0!</v>
      </c>
      <c r="AY83" s="74" t="e">
        <f t="array" ref="AY83">_xlfn.STDEV.P(IF($E$5:$E$35=$E82,AY$5:AY$35))</f>
        <v>#DIV/0!</v>
      </c>
      <c r="AZ83" s="74" t="e">
        <f t="array" ref="AZ83">_xlfn.STDEV.P(IF($E$5:$E$35=$E82,AZ$5:AZ$35))</f>
        <v>#DIV/0!</v>
      </c>
      <c r="BA83" s="74" t="e">
        <f t="array" ref="BA83">_xlfn.STDEV.P(IF($E$5:$E$35=$E82,BA$5:BA$35))</f>
        <v>#DIV/0!</v>
      </c>
      <c r="BB83" s="74" t="e">
        <f t="array" ref="BB83">_xlfn.STDEV.P(IF($E$5:$E$35=$E82,BB$5:BB$35))</f>
        <v>#DIV/0!</v>
      </c>
      <c r="BC83" s="94" t="s">
        <v>11</v>
      </c>
      <c r="BD83" s="67" t="e">
        <f t="array" ref="BD83">_xlfn.STDEV.P(IF($E$5:$E$35=$E82,BD$5:BD$35))</f>
        <v>#DIV/0!</v>
      </c>
      <c r="BE83" s="67" t="e">
        <f t="array" ref="BE83">_xlfn.STDEV.P(IF($E$5:$E$35=$E82,BE$5:BE$35))</f>
        <v>#DIV/0!</v>
      </c>
      <c r="BF83" s="67" t="e">
        <f t="array" ref="BF83">_xlfn.STDEV.P(IF($E$5:$E$35=$E82,BF$5:BF$35))</f>
        <v>#DIV/0!</v>
      </c>
      <c r="BG83" s="67" t="e">
        <f t="array" ref="BG83">_xlfn.STDEV.P(IF($E$5:$E$35=$E82,BG$5:BG$35))</f>
        <v>#DIV/0!</v>
      </c>
      <c r="BH83" s="67" t="e">
        <f t="array" ref="BH83">_xlfn.STDEV.P(IF($E$5:$E$35=$E82,BH$5:BH$35))</f>
        <v>#DIV/0!</v>
      </c>
      <c r="BI83" s="67" t="e">
        <f t="array" ref="BI83">_xlfn.STDEV.P(IF($E$5:$E$35=$E82,BI$5:BI$35))</f>
        <v>#DIV/0!</v>
      </c>
      <c r="BJ83" s="67" t="e">
        <f t="array" ref="BJ83">_xlfn.STDEV.P(IF($E$5:$E$35=$E82,BJ$5:BJ$35))</f>
        <v>#DIV/0!</v>
      </c>
      <c r="BK83" s="67" t="e">
        <f t="array" ref="BK83">_xlfn.STDEV.P(IF($E$5:$E$35=$E82,BK$5:BK$35))</f>
        <v>#DIV/0!</v>
      </c>
      <c r="BL83" s="67" t="e">
        <f t="array" ref="BL83">_xlfn.STDEV.P(IF($E$5:$E$35=$E82,BL$5:BL$35))</f>
        <v>#DIV/0!</v>
      </c>
      <c r="BM83" s="67" t="e">
        <f t="array" ref="BM83">_xlfn.STDEV.P(IF($E$5:$E$35=$E82,BM$5:BM$35))</f>
        <v>#DIV/0!</v>
      </c>
      <c r="BN83" s="67" t="e">
        <f t="array" ref="BN83">_xlfn.STDEV.P(IF($E$5:$E$35=$E82,BN$5:BN$35))</f>
        <v>#DIV/0!</v>
      </c>
      <c r="BO83" s="67" t="e">
        <f t="array" ref="BO83">_xlfn.STDEV.P(IF($E$5:$E$35=$E82,BO$5:BO$35))</f>
        <v>#DIV/0!</v>
      </c>
      <c r="BP83" s="67" t="e">
        <f t="array" ref="BP83">_xlfn.STDEV.P(IF($E$5:$E$35=$E82,BP$5:BP$35))</f>
        <v>#DIV/0!</v>
      </c>
      <c r="BQ83" s="67" t="e">
        <f t="array" ref="BQ83">_xlfn.STDEV.P(IF($E$5:$E$35=$E82,BQ$5:BQ$35))</f>
        <v>#DIV/0!</v>
      </c>
      <c r="BR83" s="67" t="e">
        <f t="array" ref="BR83">_xlfn.STDEV.P(IF($E$5:$E$35=$E82,BR$5:BR$35))</f>
        <v>#DIV/0!</v>
      </c>
      <c r="BS83" s="67" t="e">
        <f t="array" ref="BS83">_xlfn.STDEV.P(IF($E$5:$E$35=$E82,BS$5:BS$35))</f>
        <v>#DIV/0!</v>
      </c>
      <c r="BT83" s="67" t="e">
        <f t="array" ref="BT83">_xlfn.STDEV.P(IF($E$5:$E$35=$E82,BT$5:BT$35))</f>
        <v>#DIV/0!</v>
      </c>
      <c r="BU83" s="67" t="e">
        <f t="array" ref="BU83">_xlfn.STDEV.P(IF($E$5:$E$35=$E82,BU$5:BU$35))</f>
        <v>#DIV/0!</v>
      </c>
      <c r="BV83" s="67" t="e">
        <f t="array" ref="BV83">_xlfn.STDEV.P(IF($E$5:$E$35=$E82,BV$5:BV$35))</f>
        <v>#DIV/0!</v>
      </c>
      <c r="BW83" s="67" t="e">
        <f t="array" ref="BW83">_xlfn.STDEV.P(IF($E$5:$E$35=$E82,BW$5:BW$35))</f>
        <v>#DIV/0!</v>
      </c>
      <c r="BX83" s="67" t="e">
        <f t="array" ref="BX83">_xlfn.STDEV.P(IF($E$5:$E$35=$E82,BX$5:BX$35))</f>
        <v>#DIV/0!</v>
      </c>
      <c r="BY83" s="67" t="e">
        <f t="array" ref="BY83">_xlfn.STDEV.P(IF($E$5:$E$35=$E82,BY$5:BY$35))</f>
        <v>#DIV/0!</v>
      </c>
      <c r="BZ83" s="67" t="e">
        <f t="array" ref="BZ83">_xlfn.STDEV.P(IF($E$5:$E$35=$E82,BZ$5:BZ$35))</f>
        <v>#DIV/0!</v>
      </c>
      <c r="CA83" s="67" t="e">
        <f t="array" ref="CA83">_xlfn.STDEV.P(IF($E$5:$E$35=$E82,CA$5:CA$35))</f>
        <v>#DIV/0!</v>
      </c>
      <c r="CB83" s="67" t="e">
        <f t="array" ref="CB83">_xlfn.STDEV.P(IF($E$5:$E$35=$E82,CB$5:CB$35))</f>
        <v>#DIV/0!</v>
      </c>
      <c r="CC83" s="67" t="e">
        <f t="array" ref="CC83">_xlfn.STDEV.P(IF($E$5:$E$35=$E82,CC$5:CC$35))</f>
        <v>#DIV/0!</v>
      </c>
      <c r="CD83" s="67" t="e">
        <f t="array" ref="CD83">_xlfn.STDEV.P(IF($E$5:$E$35=$E82,CD$5:CD$35))</f>
        <v>#DIV/0!</v>
      </c>
      <c r="CE83" s="67" t="e">
        <f t="array" ref="CE83">_xlfn.STDEV.P(IF($E$5:$E$35=$E82,CE$5:CE$35))</f>
        <v>#DIV/0!</v>
      </c>
      <c r="CF83" s="67" t="e">
        <f t="array" ref="CF83">_xlfn.STDEV.P(IF($E$5:$E$35=$E82,CF$5:CF$35))</f>
        <v>#DIV/0!</v>
      </c>
      <c r="CG83" s="67" t="e">
        <f t="array" ref="CG83">_xlfn.STDEV.P(IF($E$5:$E$35=$E82,CG$5:CG$35))</f>
        <v>#DIV/0!</v>
      </c>
      <c r="CH83" s="67" t="e">
        <f t="array" ref="CH83">_xlfn.STDEV.P(IF($E$5:$E$35=$E82,CH$5:CH$35))</f>
        <v>#DIV/0!</v>
      </c>
      <c r="CI83" s="67" t="e">
        <f t="array" ref="CI83">_xlfn.STDEV.P(IF($E$5:$E$35=$E82,CI$5:CI$35))</f>
        <v>#DIV/0!</v>
      </c>
      <c r="CJ83" s="67" t="e">
        <f t="array" ref="CJ83">_xlfn.STDEV.P(IF($E$5:$E$35=$E82,CJ$5:CJ$35))</f>
        <v>#DIV/0!</v>
      </c>
      <c r="CK83" s="67" t="e">
        <f t="array" ref="CK83">_xlfn.STDEV.P(IF($E$5:$E$35=$E82,CK$5:CK$35))</f>
        <v>#DIV/0!</v>
      </c>
      <c r="CL83" s="67" t="e">
        <f t="array" ref="CL83">_xlfn.STDEV.P(IF($E$5:$E$35=$E82,CL$5:CL$35))</f>
        <v>#DIV/0!</v>
      </c>
      <c r="CM83" s="67" t="e">
        <f t="array" ref="CM83">_xlfn.STDEV.P(IF($E$5:$E$35=$E82,CM$5:CM$35))</f>
        <v>#DIV/0!</v>
      </c>
      <c r="CN83" s="67" t="e">
        <f t="array" ref="CN83">_xlfn.STDEV.P(IF($E$5:$E$35=$E82,CN$5:CN$35))</f>
        <v>#DIV/0!</v>
      </c>
      <c r="CO83" s="67" t="e">
        <f t="array" ref="CO83">_xlfn.STDEV.P(IF($E$5:$E$35=$E82,CO$5:CO$35))</f>
        <v>#DIV/0!</v>
      </c>
      <c r="CP83" s="67" t="e">
        <f t="array" ref="CP83">_xlfn.STDEV.P(IF($E$5:$E$35=$E82,CP$5:CP$35))</f>
        <v>#DIV/0!</v>
      </c>
      <c r="CQ83" s="67" t="e">
        <f t="array" ref="CQ83">_xlfn.STDEV.P(IF($E$5:$E$35=$E82,CQ$5:CQ$35))</f>
        <v>#DIV/0!</v>
      </c>
      <c r="CR83" s="67" t="e">
        <f t="array" ref="CR83">_xlfn.STDEV.P(IF($E$5:$E$35=$E82,CR$5:CR$35))</f>
        <v>#DIV/0!</v>
      </c>
      <c r="CS83" s="67" t="e">
        <f t="array" ref="CS83">_xlfn.STDEV.P(IF($E$5:$E$35=$E82,CS$5:CS$35))</f>
        <v>#DIV/0!</v>
      </c>
      <c r="CT83" s="67" t="e">
        <f t="array" ref="CT83">_xlfn.STDEV.P(IF($E$5:$E$35=$E82,CT$5:CT$35))</f>
        <v>#DIV/0!</v>
      </c>
      <c r="CU83" s="67" t="e">
        <f t="array" ref="CU83">_xlfn.STDEV.P(IF($E$5:$E$35=$E82,CU$5:CU$35))</f>
        <v>#DIV/0!</v>
      </c>
      <c r="CV83" s="69"/>
    </row>
    <row r="84" spans="1:100" ht="15">
      <c r="A84" s="103"/>
      <c r="E84" s="108"/>
      <c r="H84" s="45"/>
    </row>
    <row r="85" spans="1:100" ht="14.25" customHeight="1">
      <c r="A85" s="103"/>
      <c r="E85" s="108" t="str">
        <f>'5GY EBRT Groups'!C21</f>
        <v>Group 16</v>
      </c>
      <c r="H85" s="108" t="str">
        <f>E85</f>
        <v>Group 16</v>
      </c>
      <c r="I85" s="277" t="e">
        <f>AVERAGEIF($E$5:$E$35,$E85,I$5:I$35)</f>
        <v>#DIV/0!</v>
      </c>
      <c r="J85" s="65" t="s">
        <v>9</v>
      </c>
      <c r="K85" s="71" t="e">
        <f t="shared" ref="K85:BB85" si="47">AVERAGEIF($E$5:$E$35,$E85,K$5:K$35)</f>
        <v>#DIV/0!</v>
      </c>
      <c r="L85" s="71" t="e">
        <f t="shared" si="47"/>
        <v>#DIV/0!</v>
      </c>
      <c r="M85" s="71" t="e">
        <f t="shared" si="47"/>
        <v>#DIV/0!</v>
      </c>
      <c r="N85" s="71" t="e">
        <f t="shared" si="47"/>
        <v>#DIV/0!</v>
      </c>
      <c r="O85" s="71" t="e">
        <f t="shared" si="47"/>
        <v>#DIV/0!</v>
      </c>
      <c r="P85" s="71" t="e">
        <f t="shared" si="47"/>
        <v>#DIV/0!</v>
      </c>
      <c r="Q85" s="71" t="e">
        <f t="shared" si="47"/>
        <v>#DIV/0!</v>
      </c>
      <c r="R85" s="71" t="e">
        <f t="shared" si="47"/>
        <v>#DIV/0!</v>
      </c>
      <c r="S85" s="71" t="e">
        <f t="shared" si="47"/>
        <v>#DIV/0!</v>
      </c>
      <c r="T85" s="71" t="e">
        <f t="shared" si="47"/>
        <v>#DIV/0!</v>
      </c>
      <c r="U85" s="71" t="e">
        <f t="shared" si="47"/>
        <v>#DIV/0!</v>
      </c>
      <c r="V85" s="71" t="e">
        <f t="shared" si="47"/>
        <v>#DIV/0!</v>
      </c>
      <c r="W85" s="71" t="e">
        <f t="shared" si="47"/>
        <v>#DIV/0!</v>
      </c>
      <c r="X85" s="71" t="e">
        <f t="shared" si="47"/>
        <v>#DIV/0!</v>
      </c>
      <c r="Y85" s="71" t="e">
        <f t="shared" si="47"/>
        <v>#DIV/0!</v>
      </c>
      <c r="Z85" s="71" t="e">
        <f t="shared" si="47"/>
        <v>#DIV/0!</v>
      </c>
      <c r="AA85" s="71" t="e">
        <f t="shared" si="47"/>
        <v>#DIV/0!</v>
      </c>
      <c r="AB85" s="71" t="e">
        <f t="shared" si="47"/>
        <v>#DIV/0!</v>
      </c>
      <c r="AC85" s="71" t="e">
        <f t="shared" si="47"/>
        <v>#DIV/0!</v>
      </c>
      <c r="AD85" s="71" t="e">
        <f t="shared" si="47"/>
        <v>#DIV/0!</v>
      </c>
      <c r="AE85" s="71" t="e">
        <f t="shared" si="47"/>
        <v>#DIV/0!</v>
      </c>
      <c r="AF85" s="71" t="e">
        <f t="shared" si="47"/>
        <v>#DIV/0!</v>
      </c>
      <c r="AG85" s="71" t="e">
        <f t="shared" si="47"/>
        <v>#DIV/0!</v>
      </c>
      <c r="AH85" s="71" t="e">
        <f t="shared" si="47"/>
        <v>#DIV/0!</v>
      </c>
      <c r="AI85" s="71" t="e">
        <f t="shared" si="47"/>
        <v>#DIV/0!</v>
      </c>
      <c r="AJ85" s="71" t="e">
        <f t="shared" si="47"/>
        <v>#DIV/0!</v>
      </c>
      <c r="AK85" s="71" t="e">
        <f t="shared" si="47"/>
        <v>#DIV/0!</v>
      </c>
      <c r="AL85" s="71" t="e">
        <f t="shared" si="47"/>
        <v>#DIV/0!</v>
      </c>
      <c r="AM85" s="71" t="e">
        <f t="shared" si="47"/>
        <v>#DIV/0!</v>
      </c>
      <c r="AN85" s="71" t="e">
        <f t="shared" si="47"/>
        <v>#DIV/0!</v>
      </c>
      <c r="AO85" s="71" t="e">
        <f t="shared" si="47"/>
        <v>#DIV/0!</v>
      </c>
      <c r="AP85" s="71" t="e">
        <f t="shared" si="47"/>
        <v>#DIV/0!</v>
      </c>
      <c r="AQ85" s="71" t="e">
        <f t="shared" si="47"/>
        <v>#DIV/0!</v>
      </c>
      <c r="AR85" s="71" t="e">
        <f t="shared" si="47"/>
        <v>#DIV/0!</v>
      </c>
      <c r="AS85" s="71" t="e">
        <f t="shared" si="47"/>
        <v>#DIV/0!</v>
      </c>
      <c r="AT85" s="71" t="e">
        <f t="shared" si="47"/>
        <v>#DIV/0!</v>
      </c>
      <c r="AU85" s="71" t="e">
        <f t="shared" si="47"/>
        <v>#DIV/0!</v>
      </c>
      <c r="AV85" s="71" t="e">
        <f t="shared" si="47"/>
        <v>#DIV/0!</v>
      </c>
      <c r="AW85" s="71" t="e">
        <f t="shared" si="47"/>
        <v>#DIV/0!</v>
      </c>
      <c r="AX85" s="71" t="e">
        <f t="shared" si="47"/>
        <v>#DIV/0!</v>
      </c>
      <c r="AY85" s="71" t="e">
        <f t="shared" si="47"/>
        <v>#DIV/0!</v>
      </c>
      <c r="AZ85" s="71" t="e">
        <f t="shared" si="47"/>
        <v>#DIV/0!</v>
      </c>
      <c r="BA85" s="71" t="e">
        <f t="shared" si="47"/>
        <v>#DIV/0!</v>
      </c>
      <c r="BB85" s="71" t="e">
        <f t="shared" si="47"/>
        <v>#DIV/0!</v>
      </c>
      <c r="BC85" s="93" t="s">
        <v>9</v>
      </c>
      <c r="BD85" s="66" t="e">
        <f t="shared" ref="BD85:CU85" si="48">AVERAGEIF($E$5:$E$35,$E85,BD$5:BD$35)</f>
        <v>#DIV/0!</v>
      </c>
      <c r="BE85" s="66" t="e">
        <f t="shared" si="48"/>
        <v>#DIV/0!</v>
      </c>
      <c r="BF85" s="66" t="e">
        <f t="shared" si="48"/>
        <v>#DIV/0!</v>
      </c>
      <c r="BG85" s="66" t="e">
        <f t="shared" si="48"/>
        <v>#DIV/0!</v>
      </c>
      <c r="BH85" s="66" t="e">
        <f t="shared" si="48"/>
        <v>#DIV/0!</v>
      </c>
      <c r="BI85" s="66" t="e">
        <f t="shared" si="48"/>
        <v>#DIV/0!</v>
      </c>
      <c r="BJ85" s="66" t="e">
        <f t="shared" si="48"/>
        <v>#DIV/0!</v>
      </c>
      <c r="BK85" s="66" t="e">
        <f t="shared" si="48"/>
        <v>#DIV/0!</v>
      </c>
      <c r="BL85" s="66" t="e">
        <f t="shared" si="48"/>
        <v>#DIV/0!</v>
      </c>
      <c r="BM85" s="66" t="e">
        <f t="shared" si="48"/>
        <v>#DIV/0!</v>
      </c>
      <c r="BN85" s="66" t="e">
        <f t="shared" si="48"/>
        <v>#DIV/0!</v>
      </c>
      <c r="BO85" s="66" t="e">
        <f t="shared" si="48"/>
        <v>#DIV/0!</v>
      </c>
      <c r="BP85" s="66" t="e">
        <f t="shared" si="48"/>
        <v>#DIV/0!</v>
      </c>
      <c r="BQ85" s="66" t="e">
        <f t="shared" si="48"/>
        <v>#DIV/0!</v>
      </c>
      <c r="BR85" s="66" t="e">
        <f t="shared" si="48"/>
        <v>#DIV/0!</v>
      </c>
      <c r="BS85" s="66" t="e">
        <f t="shared" si="48"/>
        <v>#DIV/0!</v>
      </c>
      <c r="BT85" s="66" t="e">
        <f t="shared" si="48"/>
        <v>#DIV/0!</v>
      </c>
      <c r="BU85" s="66" t="e">
        <f t="shared" si="48"/>
        <v>#DIV/0!</v>
      </c>
      <c r="BV85" s="66" t="e">
        <f t="shared" si="48"/>
        <v>#DIV/0!</v>
      </c>
      <c r="BW85" s="66" t="e">
        <f t="shared" si="48"/>
        <v>#DIV/0!</v>
      </c>
      <c r="BX85" s="66" t="e">
        <f t="shared" si="48"/>
        <v>#DIV/0!</v>
      </c>
      <c r="BY85" s="66" t="e">
        <f t="shared" si="48"/>
        <v>#DIV/0!</v>
      </c>
      <c r="BZ85" s="66" t="e">
        <f t="shared" si="48"/>
        <v>#DIV/0!</v>
      </c>
      <c r="CA85" s="66" t="e">
        <f t="shared" si="48"/>
        <v>#DIV/0!</v>
      </c>
      <c r="CB85" s="66" t="e">
        <f t="shared" si="48"/>
        <v>#DIV/0!</v>
      </c>
      <c r="CC85" s="66" t="e">
        <f t="shared" si="48"/>
        <v>#DIV/0!</v>
      </c>
      <c r="CD85" s="66" t="e">
        <f t="shared" si="48"/>
        <v>#DIV/0!</v>
      </c>
      <c r="CE85" s="66" t="e">
        <f t="shared" si="48"/>
        <v>#DIV/0!</v>
      </c>
      <c r="CF85" s="66" t="e">
        <f t="shared" si="48"/>
        <v>#DIV/0!</v>
      </c>
      <c r="CG85" s="66" t="e">
        <f t="shared" si="48"/>
        <v>#DIV/0!</v>
      </c>
      <c r="CH85" s="66" t="e">
        <f t="shared" si="48"/>
        <v>#DIV/0!</v>
      </c>
      <c r="CI85" s="66" t="e">
        <f t="shared" si="48"/>
        <v>#DIV/0!</v>
      </c>
      <c r="CJ85" s="66" t="e">
        <f t="shared" si="48"/>
        <v>#DIV/0!</v>
      </c>
      <c r="CK85" s="66" t="e">
        <f t="shared" si="48"/>
        <v>#DIV/0!</v>
      </c>
      <c r="CL85" s="66" t="e">
        <f t="shared" si="48"/>
        <v>#DIV/0!</v>
      </c>
      <c r="CM85" s="66" t="e">
        <f t="shared" si="48"/>
        <v>#DIV/0!</v>
      </c>
      <c r="CN85" s="66" t="e">
        <f t="shared" si="48"/>
        <v>#DIV/0!</v>
      </c>
      <c r="CO85" s="66" t="e">
        <f t="shared" si="48"/>
        <v>#DIV/0!</v>
      </c>
      <c r="CP85" s="66" t="e">
        <f t="shared" si="48"/>
        <v>#DIV/0!</v>
      </c>
      <c r="CQ85" s="66" t="e">
        <f t="shared" si="48"/>
        <v>#DIV/0!</v>
      </c>
      <c r="CR85" s="66" t="e">
        <f t="shared" si="48"/>
        <v>#DIV/0!</v>
      </c>
      <c r="CS85" s="66" t="e">
        <f t="shared" si="48"/>
        <v>#DIV/0!</v>
      </c>
      <c r="CT85" s="66" t="e">
        <f t="shared" si="48"/>
        <v>#DIV/0!</v>
      </c>
      <c r="CU85" s="66" t="e">
        <f t="shared" si="48"/>
        <v>#DIV/0!</v>
      </c>
      <c r="CV85" s="69"/>
    </row>
    <row r="86" spans="1:100" ht="14.25" customHeight="1">
      <c r="A86" s="103"/>
      <c r="E86" s="83"/>
      <c r="H86" s="83"/>
      <c r="I86" s="277" t="e">
        <f t="array" ref="I86">_xlfn.STDEV.P(IF($E$5:$E$35=$E85,I$5:I$35))</f>
        <v>#DIV/0!</v>
      </c>
      <c r="J86" s="65" t="s">
        <v>11</v>
      </c>
      <c r="K86" s="74" t="e">
        <f t="array" ref="K86">_xlfn.STDEV.P(IF($E$5:$E$35=$E85,K$5:K$35))</f>
        <v>#DIV/0!</v>
      </c>
      <c r="L86" s="74" t="e">
        <f t="array" ref="L86">_xlfn.STDEV.P(IF($E$5:$E$35=$E85,L$5:L$35))</f>
        <v>#DIV/0!</v>
      </c>
      <c r="M86" s="74" t="e">
        <f t="array" ref="M86">_xlfn.STDEV.P(IF($E$5:$E$35=$E85,M$5:M$35))</f>
        <v>#DIV/0!</v>
      </c>
      <c r="N86" s="74" t="e">
        <f t="array" ref="N86">_xlfn.STDEV.P(IF($E$5:$E$35=$E85,N$5:N$35))</f>
        <v>#DIV/0!</v>
      </c>
      <c r="O86" s="74" t="e">
        <f t="array" ref="O86">_xlfn.STDEV.P(IF($E$5:$E$35=$E85,O$5:O$35))</f>
        <v>#DIV/0!</v>
      </c>
      <c r="P86" s="74" t="e">
        <f t="array" ref="P86">_xlfn.STDEV.P(IF($E$5:$E$35=$E85,P$5:P$35))</f>
        <v>#DIV/0!</v>
      </c>
      <c r="Q86" s="74" t="e">
        <f t="array" ref="Q86">_xlfn.STDEV.P(IF($E$5:$E$35=$E85,Q$5:Q$35))</f>
        <v>#DIV/0!</v>
      </c>
      <c r="R86" s="74" t="e">
        <f t="array" ref="R86">_xlfn.STDEV.P(IF($E$5:$E$35=$E85,R$5:R$35))</f>
        <v>#DIV/0!</v>
      </c>
      <c r="S86" s="74" t="e">
        <f t="array" ref="S86">_xlfn.STDEV.P(IF($E$5:$E$35=$E85,S$5:S$35))</f>
        <v>#DIV/0!</v>
      </c>
      <c r="T86" s="74" t="e">
        <f t="array" ref="T86">_xlfn.STDEV.P(IF($E$5:$E$35=$E85,T$5:T$35))</f>
        <v>#DIV/0!</v>
      </c>
      <c r="U86" s="74" t="e">
        <f t="array" ref="U86">_xlfn.STDEV.P(IF($E$5:$E$35=$E85,U$5:U$35))</f>
        <v>#DIV/0!</v>
      </c>
      <c r="V86" s="74" t="e">
        <f t="array" ref="V86">_xlfn.STDEV.P(IF($E$5:$E$35=$E85,V$5:V$35))</f>
        <v>#DIV/0!</v>
      </c>
      <c r="W86" s="74" t="e">
        <f t="array" ref="W86">_xlfn.STDEV.P(IF($E$5:$E$35=$E85,W$5:W$35))</f>
        <v>#DIV/0!</v>
      </c>
      <c r="X86" s="74" t="e">
        <f t="array" ref="X86">_xlfn.STDEV.P(IF($E$5:$E$35=$E85,X$5:X$35))</f>
        <v>#DIV/0!</v>
      </c>
      <c r="Y86" s="74" t="e">
        <f t="array" ref="Y86">_xlfn.STDEV.P(IF($E$5:$E$35=$E85,Y$5:Y$35))</f>
        <v>#DIV/0!</v>
      </c>
      <c r="Z86" s="74" t="e">
        <f t="array" ref="Z86">_xlfn.STDEV.P(IF($E$5:$E$35=$E85,Z$5:Z$35))</f>
        <v>#DIV/0!</v>
      </c>
      <c r="AA86" s="74" t="e">
        <f t="array" ref="AA86">_xlfn.STDEV.P(IF($E$5:$E$35=$E85,AA$5:AA$35))</f>
        <v>#DIV/0!</v>
      </c>
      <c r="AB86" s="74" t="e">
        <f t="array" ref="AB86">_xlfn.STDEV.P(IF($E$5:$E$35=$E85,AB$5:AB$35))</f>
        <v>#DIV/0!</v>
      </c>
      <c r="AC86" s="74" t="e">
        <f t="array" ref="AC86">_xlfn.STDEV.P(IF($E$5:$E$35=$E85,AC$5:AC$35))</f>
        <v>#DIV/0!</v>
      </c>
      <c r="AD86" s="74" t="e">
        <f t="array" ref="AD86">_xlfn.STDEV.P(IF($E$5:$E$35=$E85,AD$5:AD$35))</f>
        <v>#DIV/0!</v>
      </c>
      <c r="AE86" s="74" t="e">
        <f t="array" ref="AE86">_xlfn.STDEV.P(IF($E$5:$E$35=$E85,AE$5:AE$35))</f>
        <v>#DIV/0!</v>
      </c>
      <c r="AF86" s="74" t="e">
        <f t="array" ref="AF86">_xlfn.STDEV.P(IF($E$5:$E$35=$E85,AF$5:AF$35))</f>
        <v>#DIV/0!</v>
      </c>
      <c r="AG86" s="74" t="e">
        <f t="array" ref="AG86">_xlfn.STDEV.P(IF($E$5:$E$35=$E85,AG$5:AG$35))</f>
        <v>#DIV/0!</v>
      </c>
      <c r="AH86" s="74" t="e">
        <f t="array" ref="AH86">_xlfn.STDEV.P(IF($E$5:$E$35=$E85,AH$5:AH$35))</f>
        <v>#DIV/0!</v>
      </c>
      <c r="AI86" s="74" t="e">
        <f t="array" ref="AI86">_xlfn.STDEV.P(IF($E$5:$E$35=$E85,AI$5:AI$35))</f>
        <v>#DIV/0!</v>
      </c>
      <c r="AJ86" s="74" t="e">
        <f t="array" ref="AJ86">_xlfn.STDEV.P(IF($E$5:$E$35=$E85,AJ$5:AJ$35))</f>
        <v>#DIV/0!</v>
      </c>
      <c r="AK86" s="74" t="e">
        <f t="array" ref="AK86">_xlfn.STDEV.P(IF($E$5:$E$35=$E85,AK$5:AK$35))</f>
        <v>#DIV/0!</v>
      </c>
      <c r="AL86" s="74" t="e">
        <f t="array" ref="AL86">_xlfn.STDEV.P(IF($E$5:$E$35=$E85,AL$5:AL$35))</f>
        <v>#DIV/0!</v>
      </c>
      <c r="AM86" s="74" t="e">
        <f t="array" ref="AM86">_xlfn.STDEV.P(IF($E$5:$E$35=$E85,AM$5:AM$35))</f>
        <v>#DIV/0!</v>
      </c>
      <c r="AN86" s="74" t="e">
        <f t="array" ref="AN86">_xlfn.STDEV.P(IF($E$5:$E$35=$E85,AN$5:AN$35))</f>
        <v>#DIV/0!</v>
      </c>
      <c r="AO86" s="74" t="e">
        <f t="array" ref="AO86">_xlfn.STDEV.P(IF($E$5:$E$35=$E85,AO$5:AO$35))</f>
        <v>#DIV/0!</v>
      </c>
      <c r="AP86" s="74" t="e">
        <f t="array" ref="AP86">_xlfn.STDEV.P(IF($E$5:$E$35=$E85,AP$5:AP$35))</f>
        <v>#DIV/0!</v>
      </c>
      <c r="AQ86" s="74" t="e">
        <f t="array" ref="AQ86">_xlfn.STDEV.P(IF($E$5:$E$35=$E85,AQ$5:AQ$35))</f>
        <v>#DIV/0!</v>
      </c>
      <c r="AR86" s="74" t="e">
        <f t="array" ref="AR86">_xlfn.STDEV.P(IF($E$5:$E$35=$E85,AR$5:AR$35))</f>
        <v>#DIV/0!</v>
      </c>
      <c r="AS86" s="74" t="e">
        <f t="array" ref="AS86">_xlfn.STDEV.P(IF($E$5:$E$35=$E85,AS$5:AS$35))</f>
        <v>#DIV/0!</v>
      </c>
      <c r="AT86" s="74" t="e">
        <f t="array" ref="AT86">_xlfn.STDEV.P(IF($E$5:$E$35=$E85,AT$5:AT$35))</f>
        <v>#DIV/0!</v>
      </c>
      <c r="AU86" s="74" t="e">
        <f t="array" ref="AU86">_xlfn.STDEV.P(IF($E$5:$E$35=$E85,AU$5:AU$35))</f>
        <v>#DIV/0!</v>
      </c>
      <c r="AV86" s="74" t="e">
        <f t="array" ref="AV86">_xlfn.STDEV.P(IF($E$5:$E$35=$E85,AV$5:AV$35))</f>
        <v>#DIV/0!</v>
      </c>
      <c r="AW86" s="74" t="e">
        <f t="array" ref="AW86">_xlfn.STDEV.P(IF($E$5:$E$35=$E85,AW$5:AW$35))</f>
        <v>#DIV/0!</v>
      </c>
      <c r="AX86" s="74" t="e">
        <f t="array" ref="AX86">_xlfn.STDEV.P(IF($E$5:$E$35=$E85,AX$5:AX$35))</f>
        <v>#DIV/0!</v>
      </c>
      <c r="AY86" s="74" t="e">
        <f t="array" ref="AY86">_xlfn.STDEV.P(IF($E$5:$E$35=$E85,AY$5:AY$35))</f>
        <v>#DIV/0!</v>
      </c>
      <c r="AZ86" s="74" t="e">
        <f t="array" ref="AZ86">_xlfn.STDEV.P(IF($E$5:$E$35=$E85,AZ$5:AZ$35))</f>
        <v>#DIV/0!</v>
      </c>
      <c r="BA86" s="74" t="e">
        <f t="array" ref="BA86">_xlfn.STDEV.P(IF($E$5:$E$35=$E85,BA$5:BA$35))</f>
        <v>#DIV/0!</v>
      </c>
      <c r="BB86" s="74" t="e">
        <f t="array" ref="BB86">_xlfn.STDEV.P(IF($E$5:$E$35=$E85,BB$5:BB$35))</f>
        <v>#DIV/0!</v>
      </c>
      <c r="BC86" s="94" t="s">
        <v>11</v>
      </c>
      <c r="BD86" s="67" t="e">
        <f t="array" ref="BD86">_xlfn.STDEV.P(IF($E$5:$E$35=$E85,BD$5:BD$35))</f>
        <v>#DIV/0!</v>
      </c>
      <c r="BE86" s="67" t="e">
        <f t="array" ref="BE86">_xlfn.STDEV.P(IF($E$5:$E$35=$E85,BE$5:BE$35))</f>
        <v>#DIV/0!</v>
      </c>
      <c r="BF86" s="67" t="e">
        <f t="array" ref="BF86">_xlfn.STDEV.P(IF($E$5:$E$35=$E85,BF$5:BF$35))</f>
        <v>#DIV/0!</v>
      </c>
      <c r="BG86" s="67" t="e">
        <f t="array" ref="BG86">_xlfn.STDEV.P(IF($E$5:$E$35=$E85,BG$5:BG$35))</f>
        <v>#DIV/0!</v>
      </c>
      <c r="BH86" s="67" t="e">
        <f t="array" ref="BH86">_xlfn.STDEV.P(IF($E$5:$E$35=$E85,BH$5:BH$35))</f>
        <v>#DIV/0!</v>
      </c>
      <c r="BI86" s="67" t="e">
        <f t="array" ref="BI86">_xlfn.STDEV.P(IF($E$5:$E$35=$E85,BI$5:BI$35))</f>
        <v>#DIV/0!</v>
      </c>
      <c r="BJ86" s="67" t="e">
        <f t="array" ref="BJ86">_xlfn.STDEV.P(IF($E$5:$E$35=$E85,BJ$5:BJ$35))</f>
        <v>#DIV/0!</v>
      </c>
      <c r="BK86" s="67" t="e">
        <f t="array" ref="BK86">_xlfn.STDEV.P(IF($E$5:$E$35=$E85,BK$5:BK$35))</f>
        <v>#DIV/0!</v>
      </c>
      <c r="BL86" s="67" t="e">
        <f t="array" ref="BL86">_xlfn.STDEV.P(IF($E$5:$E$35=$E85,BL$5:BL$35))</f>
        <v>#DIV/0!</v>
      </c>
      <c r="BM86" s="67" t="e">
        <f t="array" ref="BM86">_xlfn.STDEV.P(IF($E$5:$E$35=$E85,BM$5:BM$35))</f>
        <v>#DIV/0!</v>
      </c>
      <c r="BN86" s="67" t="e">
        <f t="array" ref="BN86">_xlfn.STDEV.P(IF($E$5:$E$35=$E85,BN$5:BN$35))</f>
        <v>#DIV/0!</v>
      </c>
      <c r="BO86" s="67" t="e">
        <f t="array" ref="BO86">_xlfn.STDEV.P(IF($E$5:$E$35=$E85,BO$5:BO$35))</f>
        <v>#DIV/0!</v>
      </c>
      <c r="BP86" s="67" t="e">
        <f t="array" ref="BP86">_xlfn.STDEV.P(IF($E$5:$E$35=$E85,BP$5:BP$35))</f>
        <v>#DIV/0!</v>
      </c>
      <c r="BQ86" s="67" t="e">
        <f t="array" ref="BQ86">_xlfn.STDEV.P(IF($E$5:$E$35=$E85,BQ$5:BQ$35))</f>
        <v>#DIV/0!</v>
      </c>
      <c r="BR86" s="67" t="e">
        <f t="array" ref="BR86">_xlfn.STDEV.P(IF($E$5:$E$35=$E85,BR$5:BR$35))</f>
        <v>#DIV/0!</v>
      </c>
      <c r="BS86" s="67" t="e">
        <f t="array" ref="BS86">_xlfn.STDEV.P(IF($E$5:$E$35=$E85,BS$5:BS$35))</f>
        <v>#DIV/0!</v>
      </c>
      <c r="BT86" s="67" t="e">
        <f t="array" ref="BT86">_xlfn.STDEV.P(IF($E$5:$E$35=$E85,BT$5:BT$35))</f>
        <v>#DIV/0!</v>
      </c>
      <c r="BU86" s="67" t="e">
        <f t="array" ref="BU86">_xlfn.STDEV.P(IF($E$5:$E$35=$E85,BU$5:BU$35))</f>
        <v>#DIV/0!</v>
      </c>
      <c r="BV86" s="67" t="e">
        <f t="array" ref="BV86">_xlfn.STDEV.P(IF($E$5:$E$35=$E85,BV$5:BV$35))</f>
        <v>#DIV/0!</v>
      </c>
      <c r="BW86" s="67" t="e">
        <f t="array" ref="BW86">_xlfn.STDEV.P(IF($E$5:$E$35=$E85,BW$5:BW$35))</f>
        <v>#DIV/0!</v>
      </c>
      <c r="BX86" s="67" t="e">
        <f t="array" ref="BX86">_xlfn.STDEV.P(IF($E$5:$E$35=$E85,BX$5:BX$35))</f>
        <v>#DIV/0!</v>
      </c>
      <c r="BY86" s="67" t="e">
        <f t="array" ref="BY86">_xlfn.STDEV.P(IF($E$5:$E$35=$E85,BY$5:BY$35))</f>
        <v>#DIV/0!</v>
      </c>
      <c r="BZ86" s="67" t="e">
        <f t="array" ref="BZ86">_xlfn.STDEV.P(IF($E$5:$E$35=$E85,BZ$5:BZ$35))</f>
        <v>#DIV/0!</v>
      </c>
      <c r="CA86" s="67" t="e">
        <f t="array" ref="CA86">_xlfn.STDEV.P(IF($E$5:$E$35=$E85,CA$5:CA$35))</f>
        <v>#DIV/0!</v>
      </c>
      <c r="CB86" s="67" t="e">
        <f t="array" ref="CB86">_xlfn.STDEV.P(IF($E$5:$E$35=$E85,CB$5:CB$35))</f>
        <v>#DIV/0!</v>
      </c>
      <c r="CC86" s="67" t="e">
        <f t="array" ref="CC86">_xlfn.STDEV.P(IF($E$5:$E$35=$E85,CC$5:CC$35))</f>
        <v>#DIV/0!</v>
      </c>
      <c r="CD86" s="67" t="e">
        <f t="array" ref="CD86">_xlfn.STDEV.P(IF($E$5:$E$35=$E85,CD$5:CD$35))</f>
        <v>#DIV/0!</v>
      </c>
      <c r="CE86" s="67" t="e">
        <f t="array" ref="CE86">_xlfn.STDEV.P(IF($E$5:$E$35=$E85,CE$5:CE$35))</f>
        <v>#DIV/0!</v>
      </c>
      <c r="CF86" s="67" t="e">
        <f t="array" ref="CF86">_xlfn.STDEV.P(IF($E$5:$E$35=$E85,CF$5:CF$35))</f>
        <v>#DIV/0!</v>
      </c>
      <c r="CG86" s="67" t="e">
        <f t="array" ref="CG86">_xlfn.STDEV.P(IF($E$5:$E$35=$E85,CG$5:CG$35))</f>
        <v>#DIV/0!</v>
      </c>
      <c r="CH86" s="67" t="e">
        <f t="array" ref="CH86">_xlfn.STDEV.P(IF($E$5:$E$35=$E85,CH$5:CH$35))</f>
        <v>#DIV/0!</v>
      </c>
      <c r="CI86" s="67" t="e">
        <f t="array" ref="CI86">_xlfn.STDEV.P(IF($E$5:$E$35=$E85,CI$5:CI$35))</f>
        <v>#DIV/0!</v>
      </c>
      <c r="CJ86" s="67" t="e">
        <f t="array" ref="CJ86">_xlfn.STDEV.P(IF($E$5:$E$35=$E85,CJ$5:CJ$35))</f>
        <v>#DIV/0!</v>
      </c>
      <c r="CK86" s="67" t="e">
        <f t="array" ref="CK86">_xlfn.STDEV.P(IF($E$5:$E$35=$E85,CK$5:CK$35))</f>
        <v>#DIV/0!</v>
      </c>
      <c r="CL86" s="67" t="e">
        <f t="array" ref="CL86">_xlfn.STDEV.P(IF($E$5:$E$35=$E85,CL$5:CL$35))</f>
        <v>#DIV/0!</v>
      </c>
      <c r="CM86" s="67" t="e">
        <f t="array" ref="CM86">_xlfn.STDEV.P(IF($E$5:$E$35=$E85,CM$5:CM$35))</f>
        <v>#DIV/0!</v>
      </c>
      <c r="CN86" s="67" t="e">
        <f t="array" ref="CN86">_xlfn.STDEV.P(IF($E$5:$E$35=$E85,CN$5:CN$35))</f>
        <v>#DIV/0!</v>
      </c>
      <c r="CO86" s="67" t="e">
        <f t="array" ref="CO86">_xlfn.STDEV.P(IF($E$5:$E$35=$E85,CO$5:CO$35))</f>
        <v>#DIV/0!</v>
      </c>
      <c r="CP86" s="67" t="e">
        <f t="array" ref="CP86">_xlfn.STDEV.P(IF($E$5:$E$35=$E85,CP$5:CP$35))</f>
        <v>#DIV/0!</v>
      </c>
      <c r="CQ86" s="67" t="e">
        <f t="array" ref="CQ86">_xlfn.STDEV.P(IF($E$5:$E$35=$E85,CQ$5:CQ$35))</f>
        <v>#DIV/0!</v>
      </c>
      <c r="CR86" s="67" t="e">
        <f t="array" ref="CR86">_xlfn.STDEV.P(IF($E$5:$E$35=$E85,CR$5:CR$35))</f>
        <v>#DIV/0!</v>
      </c>
      <c r="CS86" s="67" t="e">
        <f t="array" ref="CS86">_xlfn.STDEV.P(IF($E$5:$E$35=$E85,CS$5:CS$35))</f>
        <v>#DIV/0!</v>
      </c>
      <c r="CT86" s="67" t="e">
        <f t="array" ref="CT86">_xlfn.STDEV.P(IF($E$5:$E$35=$E85,CT$5:CT$35))</f>
        <v>#DIV/0!</v>
      </c>
      <c r="CU86" s="67" t="e">
        <f t="array" ref="CU86">_xlfn.STDEV.P(IF($E$5:$E$35=$E85,CU$5:CU$35))</f>
        <v>#DIV/0!</v>
      </c>
      <c r="CV86" s="69"/>
    </row>
  </sheetData>
  <autoFilter ref="A4:CU35" xr:uid="{00000000-0009-0000-0000-000001000000}">
    <sortState xmlns:xlrd2="http://schemas.microsoft.com/office/spreadsheetml/2017/richdata2" ref="A5:CU53">
      <sortCondition ref="B4:B53"/>
    </sortState>
  </autoFilter>
  <mergeCells count="3">
    <mergeCell ref="F2:G3"/>
    <mergeCell ref="H2:I3"/>
    <mergeCell ref="H37:H38"/>
  </mergeCells>
  <conditionalFormatting sqref="BD5:CU35">
    <cfRule type="cellIs" dxfId="1" priority="1" operator="between">
      <formula>0.85</formula>
      <formula>0.88</formula>
    </cfRule>
    <cfRule type="cellIs" dxfId="0" priority="2" operator="lessThan">
      <formula>0.85</formula>
    </cfRule>
  </conditionalFormatting>
  <dataValidations count="1">
    <dataValidation type="list" allowBlank="1" showInputMessage="1" showErrorMessage="1" sqref="E40:E1048576 E5:E35" xr:uid="{D92F1A6B-D141-4FE4-8ADC-033449F7EB35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194CD5-37CB-4B06-B04E-9F56ECB0CDCA}">
          <x14:formula1>
            <xm:f>'5GY EBRT Groups'!$C$6:$C$21</xm:f>
          </x14:formula1>
          <xm:sqref>H40:H86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7076-6F1F-4442-ADFD-1F6E8E7B6B11}">
  <dimension ref="A1:AZ104"/>
  <sheetViews>
    <sheetView showGridLines="0" workbookViewId="0">
      <pane xSplit="8" ySplit="4" topLeftCell="I5" activePane="bottomRight" state="frozen"/>
      <selection activeCell="V1" sqref="V1"/>
      <selection pane="topRight" activeCell="V1" sqref="V1"/>
      <selection pane="bottomLeft" activeCell="V1" sqref="V1"/>
      <selection pane="bottomRight" activeCell="F19" sqref="F19"/>
    </sheetView>
  </sheetViews>
  <sheetFormatPr defaultRowHeight="12.75" outlineLevelCol="1"/>
  <cols>
    <col min="1" max="1" width="9.85546875" style="47" bestFit="1" customWidth="1"/>
    <col min="2" max="2" width="9.140625" style="37"/>
    <col min="3" max="3" width="17.28515625" style="48" hidden="1" customWidth="1" outlineLevel="1"/>
    <col min="4" max="4" width="22.85546875" style="37" hidden="1" customWidth="1" outlineLevel="1"/>
    <col min="5" max="5" width="22.85546875" style="46" customWidth="1" collapsed="1"/>
    <col min="6" max="6" width="12.7109375" style="49" customWidth="1"/>
    <col min="7" max="7" width="12.7109375" style="50" hidden="1" customWidth="1" outlineLevel="1"/>
    <col min="8" max="8" width="13.85546875" style="49" customWidth="1" collapsed="1"/>
    <col min="9" max="9" width="11.85546875" style="37" customWidth="1"/>
    <col min="10" max="11" width="8.5703125" style="37" customWidth="1"/>
    <col min="12" max="51" width="8.5703125" style="37" customWidth="1" outlineLevel="1"/>
    <col min="52" max="16384" width="9.140625" style="46"/>
  </cols>
  <sheetData>
    <row r="1" spans="1:52" s="5" customFormat="1" ht="25.5">
      <c r="A1" s="4" t="s">
        <v>95</v>
      </c>
      <c r="C1" s="6"/>
      <c r="D1" s="7"/>
      <c r="F1" s="8"/>
      <c r="G1" s="9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2" s="43" customFormat="1" ht="15.75" customHeight="1">
      <c r="A2" s="293" t="s">
        <v>36</v>
      </c>
      <c r="B2" s="5"/>
      <c r="C2" s="236"/>
      <c r="D2" s="235"/>
      <c r="E2" s="14"/>
      <c r="F2" s="351" t="s">
        <v>12</v>
      </c>
      <c r="G2" s="363"/>
      <c r="H2" s="351" t="s">
        <v>0</v>
      </c>
      <c r="I2" s="15"/>
      <c r="J2" s="293" t="s">
        <v>37</v>
      </c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7"/>
      <c r="AZ2" s="42"/>
    </row>
    <row r="3" spans="1:52" s="57" customFormat="1" ht="15.75">
      <c r="A3" s="239"/>
      <c r="B3" s="240"/>
      <c r="C3" s="241"/>
      <c r="D3" s="240"/>
      <c r="E3" s="55"/>
      <c r="F3" s="351"/>
      <c r="G3" s="363"/>
      <c r="H3" s="351"/>
      <c r="I3" s="288" t="s">
        <v>13</v>
      </c>
      <c r="J3" s="243">
        <v>42808</v>
      </c>
      <c r="K3" s="243">
        <v>42809</v>
      </c>
      <c r="L3" s="243">
        <v>42811</v>
      </c>
      <c r="M3" s="243">
        <v>42814</v>
      </c>
      <c r="N3" s="243">
        <v>42815</v>
      </c>
      <c r="O3" s="243">
        <v>42816</v>
      </c>
      <c r="P3" s="243">
        <v>42818</v>
      </c>
      <c r="Q3" s="243">
        <v>42821</v>
      </c>
      <c r="R3" s="243">
        <v>42823</v>
      </c>
      <c r="S3" s="243">
        <v>42825</v>
      </c>
      <c r="T3" s="243">
        <v>42829</v>
      </c>
      <c r="U3" s="243">
        <v>42831</v>
      </c>
      <c r="V3" s="243">
        <v>42833</v>
      </c>
      <c r="W3" s="243">
        <v>42836</v>
      </c>
      <c r="X3" s="243">
        <v>42842</v>
      </c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56"/>
    </row>
    <row r="4" spans="1:52" s="45" customFormat="1" ht="15.75" customHeight="1">
      <c r="A4" s="245" t="s">
        <v>5</v>
      </c>
      <c r="B4" s="164" t="s">
        <v>6</v>
      </c>
      <c r="C4" s="246" t="s">
        <v>7</v>
      </c>
      <c r="D4" s="245" t="s">
        <v>14</v>
      </c>
      <c r="E4" s="19" t="s">
        <v>10</v>
      </c>
      <c r="F4" s="20" t="s">
        <v>1</v>
      </c>
      <c r="G4" s="247" t="s">
        <v>2</v>
      </c>
      <c r="H4" s="20" t="s">
        <v>1</v>
      </c>
      <c r="I4" s="289" t="s">
        <v>8</v>
      </c>
      <c r="J4" s="164">
        <f>J3-$H5</f>
        <v>0</v>
      </c>
      <c r="K4" s="164">
        <f>K3-$H5</f>
        <v>1</v>
      </c>
      <c r="L4" s="164">
        <f>L3-$H5</f>
        <v>3</v>
      </c>
      <c r="M4" s="164">
        <f t="shared" ref="M4:AY4" si="0">M3-$H5</f>
        <v>6</v>
      </c>
      <c r="N4" s="164">
        <f t="shared" si="0"/>
        <v>7</v>
      </c>
      <c r="O4" s="164">
        <f t="shared" si="0"/>
        <v>8</v>
      </c>
      <c r="P4" s="164">
        <f t="shared" si="0"/>
        <v>10</v>
      </c>
      <c r="Q4" s="164">
        <f t="shared" si="0"/>
        <v>13</v>
      </c>
      <c r="R4" s="164">
        <f t="shared" si="0"/>
        <v>15</v>
      </c>
      <c r="S4" s="164">
        <f t="shared" si="0"/>
        <v>17</v>
      </c>
      <c r="T4" s="164">
        <f t="shared" si="0"/>
        <v>21</v>
      </c>
      <c r="U4" s="164">
        <f t="shared" si="0"/>
        <v>23</v>
      </c>
      <c r="V4" s="164">
        <f t="shared" si="0"/>
        <v>25</v>
      </c>
      <c r="W4" s="164">
        <f t="shared" si="0"/>
        <v>28</v>
      </c>
      <c r="X4" s="164">
        <f t="shared" si="0"/>
        <v>34</v>
      </c>
      <c r="Y4" s="164">
        <f t="shared" si="0"/>
        <v>-42808</v>
      </c>
      <c r="Z4" s="164">
        <f t="shared" si="0"/>
        <v>-42808</v>
      </c>
      <c r="AA4" s="164">
        <f t="shared" si="0"/>
        <v>-42808</v>
      </c>
      <c r="AB4" s="164">
        <f t="shared" si="0"/>
        <v>-42808</v>
      </c>
      <c r="AC4" s="164">
        <f t="shared" si="0"/>
        <v>-42808</v>
      </c>
      <c r="AD4" s="164">
        <f t="shared" si="0"/>
        <v>-42808</v>
      </c>
      <c r="AE4" s="164">
        <f t="shared" si="0"/>
        <v>-42808</v>
      </c>
      <c r="AF4" s="164">
        <f t="shared" si="0"/>
        <v>-42808</v>
      </c>
      <c r="AG4" s="164">
        <f t="shared" si="0"/>
        <v>-42808</v>
      </c>
      <c r="AH4" s="164">
        <f t="shared" si="0"/>
        <v>-42808</v>
      </c>
      <c r="AI4" s="164">
        <f t="shared" si="0"/>
        <v>-42808</v>
      </c>
      <c r="AJ4" s="164">
        <f t="shared" si="0"/>
        <v>-42808</v>
      </c>
      <c r="AK4" s="164">
        <f t="shared" si="0"/>
        <v>-42808</v>
      </c>
      <c r="AL4" s="164">
        <f t="shared" si="0"/>
        <v>-42808</v>
      </c>
      <c r="AM4" s="164">
        <f t="shared" si="0"/>
        <v>-42808</v>
      </c>
      <c r="AN4" s="164">
        <f t="shared" si="0"/>
        <v>-42808</v>
      </c>
      <c r="AO4" s="164">
        <f t="shared" si="0"/>
        <v>-42808</v>
      </c>
      <c r="AP4" s="164">
        <f t="shared" si="0"/>
        <v>-42808</v>
      </c>
      <c r="AQ4" s="164">
        <f t="shared" si="0"/>
        <v>-42808</v>
      </c>
      <c r="AR4" s="164">
        <f t="shared" si="0"/>
        <v>-42808</v>
      </c>
      <c r="AS4" s="164">
        <f t="shared" si="0"/>
        <v>-42808</v>
      </c>
      <c r="AT4" s="164">
        <f t="shared" si="0"/>
        <v>-42808</v>
      </c>
      <c r="AU4" s="164">
        <f t="shared" si="0"/>
        <v>-42808</v>
      </c>
      <c r="AV4" s="164">
        <f t="shared" si="0"/>
        <v>-42808</v>
      </c>
      <c r="AW4" s="164">
        <f t="shared" si="0"/>
        <v>-42808</v>
      </c>
      <c r="AX4" s="164">
        <f t="shared" si="0"/>
        <v>-42808</v>
      </c>
      <c r="AY4" s="164">
        <f t="shared" si="0"/>
        <v>-42808</v>
      </c>
      <c r="AZ4" s="44"/>
    </row>
    <row r="5" spans="1:52">
      <c r="A5" s="23">
        <v>1055532</v>
      </c>
      <c r="B5" s="24">
        <v>11</v>
      </c>
      <c r="C5" s="25" t="str">
        <f t="shared" ref="C5:C34" si="1">CONCATENATE(A5,"-",B5)</f>
        <v>1055532-11</v>
      </c>
      <c r="D5" s="24" t="s">
        <v>87</v>
      </c>
      <c r="E5" s="26" t="s">
        <v>88</v>
      </c>
      <c r="F5" s="27">
        <v>42798</v>
      </c>
      <c r="G5" s="28">
        <v>22.8</v>
      </c>
      <c r="H5" s="27">
        <v>42808</v>
      </c>
      <c r="I5" s="111"/>
      <c r="J5" s="71" t="s">
        <v>70</v>
      </c>
      <c r="K5" s="71" t="s">
        <v>70</v>
      </c>
      <c r="L5" s="71" t="s">
        <v>70</v>
      </c>
      <c r="M5" s="71" t="s">
        <v>70</v>
      </c>
      <c r="N5" s="71" t="s">
        <v>70</v>
      </c>
      <c r="O5" s="71" t="s">
        <v>70</v>
      </c>
      <c r="P5" s="71" t="s">
        <v>71</v>
      </c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3"/>
    </row>
    <row r="6" spans="1:52">
      <c r="A6" s="23">
        <v>1055532</v>
      </c>
      <c r="B6" s="1">
        <v>12</v>
      </c>
      <c r="C6" s="25" t="str">
        <f t="shared" si="1"/>
        <v>1055532-12</v>
      </c>
      <c r="D6" s="24" t="s">
        <v>87</v>
      </c>
      <c r="E6" s="32" t="s">
        <v>93</v>
      </c>
      <c r="F6" s="27">
        <v>42798</v>
      </c>
      <c r="G6" s="33">
        <v>23.2</v>
      </c>
      <c r="H6" s="27">
        <v>42808</v>
      </c>
      <c r="I6" s="111"/>
      <c r="J6" s="71" t="s">
        <v>70</v>
      </c>
      <c r="K6" s="71" t="s">
        <v>70</v>
      </c>
      <c r="L6" s="71" t="s">
        <v>70</v>
      </c>
      <c r="M6" s="71" t="s">
        <v>70</v>
      </c>
      <c r="N6" s="71" t="s">
        <v>70</v>
      </c>
      <c r="O6" s="71" t="s">
        <v>70</v>
      </c>
      <c r="P6" s="71" t="s">
        <v>70</v>
      </c>
      <c r="Q6" s="71" t="s">
        <v>70</v>
      </c>
      <c r="R6" s="71" t="s">
        <v>70</v>
      </c>
      <c r="S6" s="71" t="s">
        <v>71</v>
      </c>
      <c r="T6" s="71"/>
      <c r="U6" s="71"/>
      <c r="V6" s="71"/>
      <c r="W6" s="71"/>
      <c r="X6" s="71"/>
      <c r="Y6" s="71"/>
      <c r="Z6" s="71"/>
      <c r="AA6" s="71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3"/>
    </row>
    <row r="7" spans="1:52">
      <c r="A7" s="23">
        <v>1055532</v>
      </c>
      <c r="B7" s="1">
        <v>13</v>
      </c>
      <c r="C7" s="25" t="str">
        <f t="shared" si="1"/>
        <v>1055532-13</v>
      </c>
      <c r="D7" s="24" t="s">
        <v>87</v>
      </c>
      <c r="E7" s="32" t="s">
        <v>93</v>
      </c>
      <c r="F7" s="27">
        <v>42798</v>
      </c>
      <c r="G7" s="33">
        <v>26.4</v>
      </c>
      <c r="H7" s="27">
        <v>42808</v>
      </c>
      <c r="I7" s="111"/>
      <c r="J7" s="71" t="s">
        <v>70</v>
      </c>
      <c r="K7" s="71" t="s">
        <v>70</v>
      </c>
      <c r="L7" s="71" t="s">
        <v>70</v>
      </c>
      <c r="M7" s="71" t="s">
        <v>70</v>
      </c>
      <c r="N7" s="71" t="s">
        <v>70</v>
      </c>
      <c r="O7" s="71" t="s">
        <v>70</v>
      </c>
      <c r="P7" s="71" t="s">
        <v>70</v>
      </c>
      <c r="Q7" s="71" t="s">
        <v>71</v>
      </c>
      <c r="R7" s="71"/>
      <c r="S7" s="71"/>
      <c r="T7" s="71"/>
      <c r="U7" s="71"/>
      <c r="V7" s="71"/>
      <c r="W7" s="71"/>
      <c r="X7" s="71"/>
      <c r="Y7" s="71"/>
      <c r="Z7" s="71"/>
      <c r="AA7" s="71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3"/>
    </row>
    <row r="8" spans="1:52">
      <c r="A8" s="23">
        <v>1055532</v>
      </c>
      <c r="B8" s="1">
        <v>14</v>
      </c>
      <c r="C8" s="25" t="str">
        <f t="shared" si="1"/>
        <v>1055532-14</v>
      </c>
      <c r="D8" s="24" t="s">
        <v>87</v>
      </c>
      <c r="E8" s="32" t="s">
        <v>68</v>
      </c>
      <c r="F8" s="27">
        <v>42798</v>
      </c>
      <c r="G8" s="33">
        <v>26.9</v>
      </c>
      <c r="H8" s="27">
        <v>42808</v>
      </c>
      <c r="I8" s="111"/>
      <c r="J8" s="71" t="s">
        <v>70</v>
      </c>
      <c r="K8" s="71" t="s">
        <v>70</v>
      </c>
      <c r="L8" s="71" t="s">
        <v>70</v>
      </c>
      <c r="M8" s="71" t="s">
        <v>70</v>
      </c>
      <c r="N8" s="71" t="s">
        <v>70</v>
      </c>
      <c r="O8" s="71" t="s">
        <v>70</v>
      </c>
      <c r="P8" s="71" t="s">
        <v>71</v>
      </c>
      <c r="Q8" s="71"/>
      <c r="R8" s="71"/>
      <c r="S8" s="71"/>
      <c r="T8" s="71"/>
      <c r="U8" s="71"/>
      <c r="V8" s="71"/>
      <c r="W8" s="71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3"/>
    </row>
    <row r="9" spans="1:52">
      <c r="A9" s="23">
        <v>1055532</v>
      </c>
      <c r="B9" s="1">
        <v>15</v>
      </c>
      <c r="C9" s="25" t="str">
        <f t="shared" si="1"/>
        <v>1055532-15</v>
      </c>
      <c r="D9" s="24" t="s">
        <v>87</v>
      </c>
      <c r="E9" s="32"/>
      <c r="F9" s="27">
        <v>42798</v>
      </c>
      <c r="G9" s="33">
        <v>25.1</v>
      </c>
      <c r="H9" s="27">
        <v>42808</v>
      </c>
      <c r="I9" s="111"/>
      <c r="J9" s="71" t="s">
        <v>70</v>
      </c>
      <c r="K9" s="71" t="s">
        <v>70</v>
      </c>
      <c r="L9" s="71" t="s">
        <v>70</v>
      </c>
      <c r="M9" s="71" t="s">
        <v>70</v>
      </c>
      <c r="N9" s="71" t="s">
        <v>70</v>
      </c>
      <c r="O9" s="71" t="s">
        <v>70</v>
      </c>
      <c r="P9" s="71" t="s">
        <v>70</v>
      </c>
      <c r="Q9" s="71" t="s">
        <v>71</v>
      </c>
      <c r="R9" s="71"/>
      <c r="S9" s="71"/>
      <c r="T9" s="71"/>
      <c r="U9" s="71"/>
      <c r="V9" s="71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3"/>
    </row>
    <row r="10" spans="1:52">
      <c r="A10" s="35">
        <v>1057006</v>
      </c>
      <c r="B10" s="1">
        <v>21</v>
      </c>
      <c r="C10" s="25" t="str">
        <f t="shared" si="1"/>
        <v>1057006-21</v>
      </c>
      <c r="D10" s="24" t="s">
        <v>87</v>
      </c>
      <c r="E10" s="32" t="s">
        <v>68</v>
      </c>
      <c r="F10" s="27">
        <v>42798</v>
      </c>
      <c r="G10" s="33">
        <v>26.1</v>
      </c>
      <c r="H10" s="27">
        <v>42808</v>
      </c>
      <c r="I10" s="111"/>
      <c r="J10" s="71" t="s">
        <v>70</v>
      </c>
      <c r="K10" s="71" t="s">
        <v>70</v>
      </c>
      <c r="L10" s="71" t="s">
        <v>70</v>
      </c>
      <c r="M10" s="71" t="s">
        <v>70</v>
      </c>
      <c r="N10" s="71" t="s">
        <v>70</v>
      </c>
      <c r="O10" s="71" t="s">
        <v>70</v>
      </c>
      <c r="P10" s="71" t="s">
        <v>70</v>
      </c>
      <c r="Q10" s="71" t="s">
        <v>71</v>
      </c>
      <c r="R10" s="71"/>
      <c r="S10" s="71"/>
      <c r="T10" s="71"/>
      <c r="U10" s="71"/>
      <c r="V10" s="71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3"/>
    </row>
    <row r="11" spans="1:52">
      <c r="A11" s="35">
        <v>1057006</v>
      </c>
      <c r="B11" s="1">
        <v>22</v>
      </c>
      <c r="C11" s="25" t="str">
        <f t="shared" si="1"/>
        <v>1057006-22</v>
      </c>
      <c r="D11" s="24" t="s">
        <v>87</v>
      </c>
      <c r="E11" s="32" t="s">
        <v>88</v>
      </c>
      <c r="F11" s="27">
        <v>42798</v>
      </c>
      <c r="G11" s="33">
        <v>30</v>
      </c>
      <c r="H11" s="27">
        <v>42808</v>
      </c>
      <c r="I11" s="111"/>
      <c r="J11" s="71" t="s">
        <v>70</v>
      </c>
      <c r="K11" s="71" t="s">
        <v>70</v>
      </c>
      <c r="L11" s="71" t="s">
        <v>70</v>
      </c>
      <c r="M11" s="71" t="s">
        <v>70</v>
      </c>
      <c r="N11" s="71" t="s">
        <v>70</v>
      </c>
      <c r="O11" s="71" t="s">
        <v>70</v>
      </c>
      <c r="P11" s="71" t="s">
        <v>71</v>
      </c>
      <c r="Q11" s="71"/>
      <c r="R11" s="71"/>
      <c r="S11" s="71"/>
      <c r="T11" s="71"/>
      <c r="U11" s="71"/>
      <c r="V11" s="71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3"/>
    </row>
    <row r="12" spans="1:52">
      <c r="A12" s="35">
        <v>1057006</v>
      </c>
      <c r="B12" s="1">
        <v>23</v>
      </c>
      <c r="C12" s="25" t="str">
        <f t="shared" si="1"/>
        <v>1057006-23</v>
      </c>
      <c r="D12" s="24" t="s">
        <v>87</v>
      </c>
      <c r="E12" s="32" t="s">
        <v>94</v>
      </c>
      <c r="F12" s="27">
        <v>42798</v>
      </c>
      <c r="G12" s="33">
        <v>24.8</v>
      </c>
      <c r="H12" s="27">
        <v>42808</v>
      </c>
      <c r="I12" s="111"/>
      <c r="J12" s="71" t="s">
        <v>70</v>
      </c>
      <c r="K12" s="71" t="s">
        <v>70</v>
      </c>
      <c r="L12" s="71" t="s">
        <v>70</v>
      </c>
      <c r="M12" s="71" t="s">
        <v>70</v>
      </c>
      <c r="N12" s="71" t="s">
        <v>70</v>
      </c>
      <c r="O12" s="71" t="s">
        <v>70</v>
      </c>
      <c r="P12" s="71" t="s">
        <v>70</v>
      </c>
      <c r="Q12" s="71" t="s">
        <v>71</v>
      </c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3"/>
    </row>
    <row r="13" spans="1:52">
      <c r="A13" s="35">
        <v>1057006</v>
      </c>
      <c r="B13" s="1">
        <v>24</v>
      </c>
      <c r="C13" s="25" t="str">
        <f t="shared" si="1"/>
        <v>1057006-24</v>
      </c>
      <c r="D13" s="24" t="s">
        <v>87</v>
      </c>
      <c r="E13" s="32" t="s">
        <v>93</v>
      </c>
      <c r="F13" s="27">
        <v>42798</v>
      </c>
      <c r="G13" s="33">
        <v>28.5</v>
      </c>
      <c r="H13" s="27">
        <v>42808</v>
      </c>
      <c r="I13" s="111"/>
      <c r="J13" s="71" t="s">
        <v>70</v>
      </c>
      <c r="K13" s="71" t="s">
        <v>70</v>
      </c>
      <c r="L13" s="71" t="s">
        <v>70</v>
      </c>
      <c r="M13" s="71" t="s">
        <v>70</v>
      </c>
      <c r="N13" s="71" t="s">
        <v>70</v>
      </c>
      <c r="O13" s="71" t="s">
        <v>70</v>
      </c>
      <c r="P13" s="71" t="s">
        <v>71</v>
      </c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3"/>
    </row>
    <row r="14" spans="1:52">
      <c r="A14" s="35">
        <v>1057006</v>
      </c>
      <c r="B14" s="1">
        <v>25</v>
      </c>
      <c r="C14" s="25" t="str">
        <f t="shared" si="1"/>
        <v>1057006-25</v>
      </c>
      <c r="D14" s="24" t="s">
        <v>87</v>
      </c>
      <c r="E14" s="32" t="s">
        <v>93</v>
      </c>
      <c r="F14" s="27">
        <v>42798</v>
      </c>
      <c r="G14" s="33">
        <v>30.2</v>
      </c>
      <c r="H14" s="27">
        <v>42808</v>
      </c>
      <c r="I14" s="111"/>
      <c r="J14" s="71" t="s">
        <v>70</v>
      </c>
      <c r="K14" s="71" t="s">
        <v>70</v>
      </c>
      <c r="L14" s="71" t="s">
        <v>70</v>
      </c>
      <c r="M14" s="71" t="s">
        <v>70</v>
      </c>
      <c r="N14" s="71" t="s">
        <v>70</v>
      </c>
      <c r="O14" s="71" t="s">
        <v>70</v>
      </c>
      <c r="P14" s="71" t="s">
        <v>70</v>
      </c>
      <c r="Q14" s="71" t="s">
        <v>70</v>
      </c>
      <c r="R14" s="71" t="s">
        <v>70</v>
      </c>
      <c r="S14" s="71" t="s">
        <v>70</v>
      </c>
      <c r="T14" s="71" t="s">
        <v>70</v>
      </c>
      <c r="U14" s="71" t="s">
        <v>70</v>
      </c>
      <c r="V14" s="71" t="s">
        <v>71</v>
      </c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3"/>
    </row>
    <row r="15" spans="1:52">
      <c r="A15" s="35">
        <v>1057005</v>
      </c>
      <c r="B15" s="1">
        <v>31</v>
      </c>
      <c r="C15" s="25" t="str">
        <f t="shared" si="1"/>
        <v>1057005-31</v>
      </c>
      <c r="D15" s="24" t="s">
        <v>87</v>
      </c>
      <c r="E15" s="32" t="s">
        <v>94</v>
      </c>
      <c r="F15" s="27">
        <v>42798</v>
      </c>
      <c r="G15" s="33">
        <v>26.1</v>
      </c>
      <c r="H15" s="27">
        <v>42808</v>
      </c>
      <c r="I15" s="111"/>
      <c r="J15" s="71" t="s">
        <v>70</v>
      </c>
      <c r="K15" s="71" t="s">
        <v>70</v>
      </c>
      <c r="L15" s="71" t="s">
        <v>70</v>
      </c>
      <c r="M15" s="71" t="s">
        <v>70</v>
      </c>
      <c r="N15" s="71" t="s">
        <v>70</v>
      </c>
      <c r="O15" s="71" t="s">
        <v>70</v>
      </c>
      <c r="P15" s="71" t="s">
        <v>70</v>
      </c>
      <c r="Q15" s="71" t="s">
        <v>70</v>
      </c>
      <c r="R15" s="71" t="s">
        <v>70</v>
      </c>
      <c r="S15" s="71" t="s">
        <v>70</v>
      </c>
      <c r="T15" s="71" t="s">
        <v>70</v>
      </c>
      <c r="U15" s="71" t="s">
        <v>71</v>
      </c>
      <c r="V15" s="71"/>
      <c r="W15" s="71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3"/>
    </row>
    <row r="16" spans="1:52">
      <c r="A16" s="35">
        <v>1057005</v>
      </c>
      <c r="B16" s="1">
        <v>32</v>
      </c>
      <c r="C16" s="25" t="str">
        <f t="shared" si="1"/>
        <v>1057005-32</v>
      </c>
      <c r="D16" s="24" t="s">
        <v>87</v>
      </c>
      <c r="E16" s="32"/>
      <c r="F16" s="27">
        <v>42798</v>
      </c>
      <c r="G16" s="33">
        <v>29.4</v>
      </c>
      <c r="H16" s="27">
        <v>42808</v>
      </c>
      <c r="I16" s="111"/>
      <c r="J16" s="71" t="s">
        <v>70</v>
      </c>
      <c r="K16" s="71" t="s">
        <v>70</v>
      </c>
      <c r="L16" s="71" t="s">
        <v>70</v>
      </c>
      <c r="M16" s="71" t="s">
        <v>70</v>
      </c>
      <c r="N16" s="71" t="s">
        <v>70</v>
      </c>
      <c r="O16" s="71" t="s">
        <v>70</v>
      </c>
      <c r="P16" s="71" t="s">
        <v>70</v>
      </c>
      <c r="Q16" s="71" t="s">
        <v>70</v>
      </c>
      <c r="R16" s="71" t="s">
        <v>71</v>
      </c>
      <c r="S16" s="71"/>
      <c r="T16" s="71"/>
      <c r="U16" s="71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3"/>
    </row>
    <row r="17" spans="1:52">
      <c r="A17" s="35">
        <v>1057005</v>
      </c>
      <c r="B17" s="1">
        <v>33</v>
      </c>
      <c r="C17" s="25" t="str">
        <f t="shared" si="1"/>
        <v>1057005-33</v>
      </c>
      <c r="D17" s="24" t="s">
        <v>87</v>
      </c>
      <c r="E17" s="32" t="s">
        <v>93</v>
      </c>
      <c r="F17" s="27">
        <v>42798</v>
      </c>
      <c r="G17" s="33">
        <v>27.2</v>
      </c>
      <c r="H17" s="27">
        <v>42808</v>
      </c>
      <c r="I17" s="111"/>
      <c r="J17" s="71" t="s">
        <v>70</v>
      </c>
      <c r="K17" s="71" t="s">
        <v>70</v>
      </c>
      <c r="L17" s="71" t="s">
        <v>70</v>
      </c>
      <c r="M17" s="71" t="s">
        <v>70</v>
      </c>
      <c r="N17" s="71" t="s">
        <v>70</v>
      </c>
      <c r="O17" s="71" t="s">
        <v>70</v>
      </c>
      <c r="P17" s="71" t="s">
        <v>70</v>
      </c>
      <c r="Q17" s="71" t="s">
        <v>70</v>
      </c>
      <c r="R17" s="71" t="s">
        <v>70</v>
      </c>
      <c r="S17" s="71" t="s">
        <v>70</v>
      </c>
      <c r="T17" s="71" t="s">
        <v>71</v>
      </c>
      <c r="U17" s="71"/>
      <c r="V17" s="71"/>
      <c r="W17" s="71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3"/>
    </row>
    <row r="18" spans="1:52">
      <c r="A18" s="35">
        <v>1057005</v>
      </c>
      <c r="B18" s="1">
        <v>34</v>
      </c>
      <c r="C18" s="25" t="str">
        <f t="shared" si="1"/>
        <v>1057005-34</v>
      </c>
      <c r="D18" s="24" t="s">
        <v>87</v>
      </c>
      <c r="E18" s="32" t="s">
        <v>94</v>
      </c>
      <c r="F18" s="27">
        <v>42798</v>
      </c>
      <c r="G18" s="33">
        <v>25.4</v>
      </c>
      <c r="H18" s="27">
        <v>42808</v>
      </c>
      <c r="I18" s="111"/>
      <c r="J18" s="71" t="s">
        <v>70</v>
      </c>
      <c r="K18" s="71" t="s">
        <v>70</v>
      </c>
      <c r="L18" s="71" t="s">
        <v>70</v>
      </c>
      <c r="M18" s="71" t="s">
        <v>70</v>
      </c>
      <c r="N18" s="71" t="s">
        <v>71</v>
      </c>
      <c r="O18" s="71"/>
      <c r="P18" s="71"/>
      <c r="Q18" s="71"/>
      <c r="R18" s="71"/>
      <c r="S18" s="71"/>
      <c r="T18" s="71"/>
      <c r="U18" s="71"/>
      <c r="V18" s="71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3"/>
    </row>
    <row r="19" spans="1:52">
      <c r="A19" s="35">
        <v>1057005</v>
      </c>
      <c r="B19" s="1">
        <v>35</v>
      </c>
      <c r="C19" s="25" t="str">
        <f t="shared" si="1"/>
        <v>1057005-35</v>
      </c>
      <c r="D19" s="24" t="s">
        <v>87</v>
      </c>
      <c r="E19" s="32" t="s">
        <v>93</v>
      </c>
      <c r="F19" s="27">
        <v>42798</v>
      </c>
      <c r="G19" s="33">
        <v>29</v>
      </c>
      <c r="H19" s="27">
        <v>42808</v>
      </c>
      <c r="I19" s="111"/>
      <c r="J19" s="71" t="s">
        <v>70</v>
      </c>
      <c r="K19" s="71" t="s">
        <v>70</v>
      </c>
      <c r="L19" s="71" t="s">
        <v>70</v>
      </c>
      <c r="M19" s="71" t="s">
        <v>70</v>
      </c>
      <c r="N19" s="71" t="s">
        <v>70</v>
      </c>
      <c r="O19" s="71" t="s">
        <v>70</v>
      </c>
      <c r="P19" s="71" t="s">
        <v>70</v>
      </c>
      <c r="Q19" s="71" t="s">
        <v>70</v>
      </c>
      <c r="R19" s="71" t="s">
        <v>70</v>
      </c>
      <c r="S19" s="71" t="s">
        <v>70</v>
      </c>
      <c r="T19" s="71" t="s">
        <v>71</v>
      </c>
      <c r="U19" s="71"/>
      <c r="V19" s="71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3"/>
    </row>
    <row r="20" spans="1:52">
      <c r="A20" s="35">
        <v>1057004</v>
      </c>
      <c r="B20" s="1">
        <v>41</v>
      </c>
      <c r="C20" s="25" t="str">
        <f t="shared" si="1"/>
        <v>1057004-41</v>
      </c>
      <c r="D20" s="24" t="s">
        <v>87</v>
      </c>
      <c r="E20" s="32" t="s">
        <v>94</v>
      </c>
      <c r="F20" s="27">
        <v>42798</v>
      </c>
      <c r="G20" s="33">
        <v>25.4</v>
      </c>
      <c r="H20" s="27">
        <v>42808</v>
      </c>
      <c r="I20" s="111"/>
      <c r="J20" s="71" t="s">
        <v>70</v>
      </c>
      <c r="K20" s="71" t="s">
        <v>70</v>
      </c>
      <c r="L20" s="71" t="s">
        <v>70</v>
      </c>
      <c r="M20" s="71" t="s">
        <v>70</v>
      </c>
      <c r="N20" s="71" t="s">
        <v>70</v>
      </c>
      <c r="O20" s="71" t="s">
        <v>70</v>
      </c>
      <c r="P20" s="71" t="s">
        <v>70</v>
      </c>
      <c r="Q20" s="71" t="s">
        <v>70</v>
      </c>
      <c r="R20" s="71" t="s">
        <v>70</v>
      </c>
      <c r="S20" s="71" t="s">
        <v>70</v>
      </c>
      <c r="T20" s="71" t="s">
        <v>70</v>
      </c>
      <c r="U20" s="71" t="s">
        <v>70</v>
      </c>
      <c r="V20" s="71" t="s">
        <v>92</v>
      </c>
      <c r="W20" s="71"/>
      <c r="X20" s="71"/>
      <c r="Y20" s="71"/>
      <c r="Z20" s="71"/>
      <c r="AA20" s="71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3"/>
    </row>
    <row r="21" spans="1:52">
      <c r="A21" s="35">
        <v>1057004</v>
      </c>
      <c r="B21" s="1">
        <v>42</v>
      </c>
      <c r="C21" s="25" t="str">
        <f t="shared" si="1"/>
        <v>1057004-42</v>
      </c>
      <c r="D21" s="24" t="s">
        <v>87</v>
      </c>
      <c r="E21" s="32" t="s">
        <v>94</v>
      </c>
      <c r="F21" s="27">
        <v>42798</v>
      </c>
      <c r="G21" s="33">
        <v>25.6</v>
      </c>
      <c r="H21" s="27">
        <v>42808</v>
      </c>
      <c r="I21" s="111"/>
      <c r="J21" s="71" t="s">
        <v>70</v>
      </c>
      <c r="K21" s="71" t="s">
        <v>70</v>
      </c>
      <c r="L21" s="71" t="s">
        <v>70</v>
      </c>
      <c r="M21" s="71" t="s">
        <v>70</v>
      </c>
      <c r="N21" s="71" t="s">
        <v>70</v>
      </c>
      <c r="O21" s="71" t="s">
        <v>70</v>
      </c>
      <c r="P21" s="71" t="s">
        <v>70</v>
      </c>
      <c r="Q21" s="71" t="s">
        <v>70</v>
      </c>
      <c r="R21" s="71" t="s">
        <v>70</v>
      </c>
      <c r="S21" s="71" t="s">
        <v>70</v>
      </c>
      <c r="T21" s="71" t="s">
        <v>70</v>
      </c>
      <c r="U21" s="71" t="s">
        <v>70</v>
      </c>
      <c r="V21" s="71" t="s">
        <v>92</v>
      </c>
      <c r="W21" s="71"/>
      <c r="X21" s="71"/>
      <c r="Y21" s="71"/>
      <c r="Z21" s="71"/>
      <c r="AA21" s="71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3"/>
    </row>
    <row r="22" spans="1:52">
      <c r="A22" s="35">
        <v>1057004</v>
      </c>
      <c r="B22" s="1">
        <v>43</v>
      </c>
      <c r="C22" s="25" t="str">
        <f t="shared" si="1"/>
        <v>1057004-43</v>
      </c>
      <c r="D22" s="24" t="s">
        <v>87</v>
      </c>
      <c r="E22" s="32" t="s">
        <v>93</v>
      </c>
      <c r="F22" s="27">
        <v>42798</v>
      </c>
      <c r="G22" s="33">
        <v>25.8</v>
      </c>
      <c r="H22" s="27">
        <v>42808</v>
      </c>
      <c r="I22" s="111"/>
      <c r="J22" s="71" t="s">
        <v>70</v>
      </c>
      <c r="K22" s="71" t="s">
        <v>70</v>
      </c>
      <c r="L22" s="71" t="s">
        <v>70</v>
      </c>
      <c r="M22" s="71" t="s">
        <v>70</v>
      </c>
      <c r="N22" s="71" t="s">
        <v>70</v>
      </c>
      <c r="O22" s="71" t="s">
        <v>70</v>
      </c>
      <c r="P22" s="71" t="s">
        <v>70</v>
      </c>
      <c r="Q22" s="71" t="s">
        <v>70</v>
      </c>
      <c r="R22" s="71" t="s">
        <v>70</v>
      </c>
      <c r="S22" s="71" t="s">
        <v>70</v>
      </c>
      <c r="T22" s="71" t="s">
        <v>70</v>
      </c>
      <c r="U22" s="71" t="s">
        <v>71</v>
      </c>
      <c r="V22" s="71"/>
      <c r="W22" s="71"/>
      <c r="X22" s="71"/>
      <c r="Y22" s="71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3"/>
    </row>
    <row r="23" spans="1:52">
      <c r="A23" s="35">
        <v>1057004</v>
      </c>
      <c r="B23" s="1">
        <v>44</v>
      </c>
      <c r="C23" s="25" t="str">
        <f t="shared" si="1"/>
        <v>1057004-44</v>
      </c>
      <c r="D23" s="24" t="s">
        <v>87</v>
      </c>
      <c r="E23" s="32" t="s">
        <v>88</v>
      </c>
      <c r="F23" s="27">
        <v>42798</v>
      </c>
      <c r="G23" s="33">
        <v>26.9</v>
      </c>
      <c r="H23" s="27">
        <v>42808</v>
      </c>
      <c r="I23" s="111"/>
      <c r="J23" s="71" t="s">
        <v>70</v>
      </c>
      <c r="K23" s="71" t="s">
        <v>70</v>
      </c>
      <c r="L23" s="71" t="s">
        <v>70</v>
      </c>
      <c r="M23" s="71" t="s">
        <v>70</v>
      </c>
      <c r="N23" s="71" t="s">
        <v>70</v>
      </c>
      <c r="O23" s="71" t="s">
        <v>70</v>
      </c>
      <c r="P23" s="71" t="s">
        <v>70</v>
      </c>
      <c r="Q23" s="71" t="s">
        <v>71</v>
      </c>
      <c r="R23" s="71"/>
      <c r="S23" s="71"/>
      <c r="T23" s="71"/>
      <c r="U23" s="71"/>
      <c r="V23" s="71"/>
      <c r="W23" s="71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3"/>
    </row>
    <row r="24" spans="1:52">
      <c r="A24" s="35">
        <v>1057004</v>
      </c>
      <c r="B24" s="1">
        <v>45</v>
      </c>
      <c r="C24" s="25" t="str">
        <f t="shared" si="1"/>
        <v>1057004-45</v>
      </c>
      <c r="D24" s="24" t="s">
        <v>87</v>
      </c>
      <c r="E24" s="26" t="s">
        <v>88</v>
      </c>
      <c r="F24" s="27">
        <v>42798</v>
      </c>
      <c r="G24" s="33">
        <v>24.4</v>
      </c>
      <c r="H24" s="27">
        <v>42808</v>
      </c>
      <c r="I24" s="111"/>
      <c r="J24" s="71" t="s">
        <v>70</v>
      </c>
      <c r="K24" s="71" t="s">
        <v>70</v>
      </c>
      <c r="L24" s="71" t="s">
        <v>70</v>
      </c>
      <c r="M24" s="71" t="s">
        <v>70</v>
      </c>
      <c r="N24" s="71" t="s">
        <v>70</v>
      </c>
      <c r="O24" s="71" t="s">
        <v>70</v>
      </c>
      <c r="P24" s="71" t="s">
        <v>70</v>
      </c>
      <c r="Q24" s="71" t="s">
        <v>70</v>
      </c>
      <c r="R24" s="71" t="s">
        <v>70</v>
      </c>
      <c r="S24" s="71" t="s">
        <v>71</v>
      </c>
      <c r="T24" s="71"/>
      <c r="U24" s="71"/>
      <c r="V24" s="71"/>
      <c r="W24" s="71"/>
      <c r="X24" s="71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3"/>
    </row>
    <row r="25" spans="1:52">
      <c r="A25" s="35">
        <v>1046865</v>
      </c>
      <c r="B25" s="1">
        <v>51</v>
      </c>
      <c r="C25" s="25" t="str">
        <f t="shared" si="1"/>
        <v>1046865-51</v>
      </c>
      <c r="D25" s="24" t="s">
        <v>87</v>
      </c>
      <c r="E25" s="26" t="s">
        <v>88</v>
      </c>
      <c r="F25" s="27">
        <v>42798</v>
      </c>
      <c r="G25" s="33">
        <v>26.9</v>
      </c>
      <c r="H25" s="27">
        <v>42808</v>
      </c>
      <c r="I25" s="111"/>
      <c r="J25" s="71" t="s">
        <v>70</v>
      </c>
      <c r="K25" s="71" t="s">
        <v>70</v>
      </c>
      <c r="L25" s="71" t="s">
        <v>70</v>
      </c>
      <c r="M25" s="71" t="s">
        <v>70</v>
      </c>
      <c r="N25" s="71" t="s">
        <v>70</v>
      </c>
      <c r="O25" s="71" t="s">
        <v>92</v>
      </c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3"/>
    </row>
    <row r="26" spans="1:52">
      <c r="A26" s="35">
        <v>1046865</v>
      </c>
      <c r="B26" s="1">
        <v>52</v>
      </c>
      <c r="C26" s="25" t="str">
        <f t="shared" si="1"/>
        <v>1046865-52</v>
      </c>
      <c r="D26" s="24" t="s">
        <v>87</v>
      </c>
      <c r="E26" s="32" t="s">
        <v>93</v>
      </c>
      <c r="F26" s="27">
        <v>42798</v>
      </c>
      <c r="G26" s="33">
        <v>24.7</v>
      </c>
      <c r="H26" s="27">
        <v>42808</v>
      </c>
      <c r="I26" s="111"/>
      <c r="J26" s="71" t="s">
        <v>70</v>
      </c>
      <c r="K26" s="71" t="s">
        <v>70</v>
      </c>
      <c r="L26" s="71" t="s">
        <v>70</v>
      </c>
      <c r="M26" s="71" t="s">
        <v>70</v>
      </c>
      <c r="N26" s="71" t="s">
        <v>70</v>
      </c>
      <c r="O26" s="71" t="s">
        <v>70</v>
      </c>
      <c r="P26" s="71" t="s">
        <v>70</v>
      </c>
      <c r="Q26" s="71" t="s">
        <v>70</v>
      </c>
      <c r="R26" s="71" t="s">
        <v>70</v>
      </c>
      <c r="S26" s="71" t="s">
        <v>70</v>
      </c>
      <c r="T26" s="71" t="s">
        <v>70</v>
      </c>
      <c r="U26" s="71" t="s">
        <v>70</v>
      </c>
      <c r="V26" s="71" t="s">
        <v>70</v>
      </c>
      <c r="W26" s="76" t="s">
        <v>70</v>
      </c>
      <c r="X26" s="76" t="s">
        <v>71</v>
      </c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3"/>
    </row>
    <row r="27" spans="1:52">
      <c r="A27" s="35">
        <v>1046865</v>
      </c>
      <c r="B27" s="1">
        <v>53</v>
      </c>
      <c r="C27" s="25" t="str">
        <f t="shared" si="1"/>
        <v>1046865-53</v>
      </c>
      <c r="D27" s="24" t="s">
        <v>87</v>
      </c>
      <c r="E27" s="32" t="s">
        <v>68</v>
      </c>
      <c r="F27" s="27">
        <v>42798</v>
      </c>
      <c r="G27" s="33">
        <v>26.8</v>
      </c>
      <c r="H27" s="27">
        <v>42808</v>
      </c>
      <c r="I27" s="111"/>
      <c r="J27" s="71" t="s">
        <v>70</v>
      </c>
      <c r="K27" s="71" t="s">
        <v>70</v>
      </c>
      <c r="L27" s="71" t="s">
        <v>70</v>
      </c>
      <c r="M27" s="71" t="s">
        <v>70</v>
      </c>
      <c r="N27" s="71" t="s">
        <v>70</v>
      </c>
      <c r="O27" s="71" t="s">
        <v>70</v>
      </c>
      <c r="P27" s="71" t="s">
        <v>70</v>
      </c>
      <c r="Q27" s="71" t="s">
        <v>70</v>
      </c>
      <c r="R27" s="71" t="s">
        <v>71</v>
      </c>
      <c r="S27" s="71"/>
      <c r="T27" s="71"/>
      <c r="U27" s="71"/>
      <c r="V27" s="71"/>
      <c r="W27" s="71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3"/>
    </row>
    <row r="28" spans="1:52">
      <c r="A28" s="35">
        <v>1046865</v>
      </c>
      <c r="B28" s="1">
        <v>54</v>
      </c>
      <c r="C28" s="25" t="str">
        <f t="shared" si="1"/>
        <v>1046865-54</v>
      </c>
      <c r="D28" s="24" t="s">
        <v>87</v>
      </c>
      <c r="E28" s="32" t="s">
        <v>88</v>
      </c>
      <c r="F28" s="27">
        <v>42798</v>
      </c>
      <c r="G28" s="33">
        <v>27.3</v>
      </c>
      <c r="H28" s="27">
        <v>42808</v>
      </c>
      <c r="I28" s="111"/>
      <c r="J28" s="71" t="s">
        <v>70</v>
      </c>
      <c r="K28" s="71" t="s">
        <v>70</v>
      </c>
      <c r="L28" s="71" t="s">
        <v>70</v>
      </c>
      <c r="M28" s="71" t="s">
        <v>70</v>
      </c>
      <c r="N28" s="71" t="s">
        <v>70</v>
      </c>
      <c r="O28" s="71" t="s">
        <v>70</v>
      </c>
      <c r="P28" s="71" t="s">
        <v>70</v>
      </c>
      <c r="Q28" s="71" t="s">
        <v>70</v>
      </c>
      <c r="R28" s="71" t="s">
        <v>71</v>
      </c>
      <c r="S28" s="71"/>
      <c r="T28" s="71"/>
      <c r="U28" s="71"/>
      <c r="V28" s="71"/>
      <c r="W28" s="71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3"/>
    </row>
    <row r="29" spans="1:52">
      <c r="A29" s="35">
        <v>1046865</v>
      </c>
      <c r="B29" s="1">
        <v>55</v>
      </c>
      <c r="C29" s="25" t="str">
        <f t="shared" si="1"/>
        <v>1046865-55</v>
      </c>
      <c r="D29" s="24" t="s">
        <v>87</v>
      </c>
      <c r="E29" s="32" t="s">
        <v>68</v>
      </c>
      <c r="F29" s="27">
        <v>42798</v>
      </c>
      <c r="G29" s="33">
        <v>24.8</v>
      </c>
      <c r="H29" s="27">
        <v>42808</v>
      </c>
      <c r="I29" s="111"/>
      <c r="J29" s="71" t="s">
        <v>70</v>
      </c>
      <c r="K29" s="71" t="s">
        <v>70</v>
      </c>
      <c r="L29" s="71" t="s">
        <v>70</v>
      </c>
      <c r="M29" s="71" t="s">
        <v>70</v>
      </c>
      <c r="N29" s="71" t="s">
        <v>70</v>
      </c>
      <c r="O29" s="71" t="s">
        <v>70</v>
      </c>
      <c r="P29" s="71" t="s">
        <v>70</v>
      </c>
      <c r="Q29" s="71" t="s">
        <v>70</v>
      </c>
      <c r="R29" s="71" t="s">
        <v>70</v>
      </c>
      <c r="S29" s="71" t="s">
        <v>71</v>
      </c>
      <c r="T29" s="71"/>
      <c r="U29" s="71"/>
      <c r="V29" s="71"/>
      <c r="W29" s="71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3"/>
    </row>
    <row r="30" spans="1:52">
      <c r="A30" s="35">
        <v>1057808</v>
      </c>
      <c r="B30" s="1">
        <v>61</v>
      </c>
      <c r="C30" s="25" t="str">
        <f t="shared" si="1"/>
        <v>1057808-61</v>
      </c>
      <c r="D30" s="24" t="s">
        <v>87</v>
      </c>
      <c r="E30" s="32" t="s">
        <v>94</v>
      </c>
      <c r="F30" s="27">
        <v>42798</v>
      </c>
      <c r="G30" s="33">
        <v>23.5</v>
      </c>
      <c r="H30" s="27">
        <v>42808</v>
      </c>
      <c r="I30" s="111"/>
      <c r="J30" s="71" t="s">
        <v>70</v>
      </c>
      <c r="K30" s="71" t="s">
        <v>70</v>
      </c>
      <c r="L30" s="71" t="s">
        <v>70</v>
      </c>
      <c r="M30" s="71" t="s">
        <v>70</v>
      </c>
      <c r="N30" s="71" t="s">
        <v>70</v>
      </c>
      <c r="O30" s="71" t="s">
        <v>70</v>
      </c>
      <c r="P30" s="71" t="s">
        <v>70</v>
      </c>
      <c r="Q30" s="71" t="s">
        <v>70</v>
      </c>
      <c r="R30" s="71" t="s">
        <v>70</v>
      </c>
      <c r="S30" s="71" t="s">
        <v>70</v>
      </c>
      <c r="T30" s="71" t="s">
        <v>70</v>
      </c>
      <c r="U30" s="71" t="s">
        <v>70</v>
      </c>
      <c r="V30" s="71" t="s">
        <v>92</v>
      </c>
      <c r="W30" s="71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3"/>
    </row>
    <row r="31" spans="1:52">
      <c r="A31" s="35">
        <v>1057808</v>
      </c>
      <c r="B31" s="1">
        <v>62</v>
      </c>
      <c r="C31" s="25" t="str">
        <f t="shared" si="1"/>
        <v>1057808-62</v>
      </c>
      <c r="D31" s="24" t="s">
        <v>87</v>
      </c>
      <c r="E31" s="32" t="s">
        <v>94</v>
      </c>
      <c r="F31" s="27">
        <v>42798</v>
      </c>
      <c r="G31" s="33">
        <v>26.7</v>
      </c>
      <c r="H31" s="27">
        <v>42808</v>
      </c>
      <c r="I31" s="111"/>
      <c r="J31" s="71" t="s">
        <v>70</v>
      </c>
      <c r="K31" s="71" t="s">
        <v>70</v>
      </c>
      <c r="L31" s="71" t="s">
        <v>70</v>
      </c>
      <c r="M31" s="71" t="s">
        <v>70</v>
      </c>
      <c r="N31" s="71" t="s">
        <v>70</v>
      </c>
      <c r="O31" s="71" t="s">
        <v>70</v>
      </c>
      <c r="P31" s="71" t="s">
        <v>70</v>
      </c>
      <c r="Q31" s="71" t="s">
        <v>70</v>
      </c>
      <c r="R31" s="71" t="s">
        <v>70</v>
      </c>
      <c r="S31" s="71" t="s">
        <v>70</v>
      </c>
      <c r="T31" s="71" t="s">
        <v>70</v>
      </c>
      <c r="U31" s="71" t="s">
        <v>70</v>
      </c>
      <c r="V31" s="71" t="s">
        <v>70</v>
      </c>
      <c r="W31" s="71" t="s">
        <v>71</v>
      </c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3"/>
    </row>
    <row r="32" spans="1:52">
      <c r="A32" s="35">
        <v>1057808</v>
      </c>
      <c r="B32" s="1">
        <v>63</v>
      </c>
      <c r="C32" s="25" t="str">
        <f t="shared" si="1"/>
        <v>1057808-63</v>
      </c>
      <c r="D32" s="24" t="s">
        <v>87</v>
      </c>
      <c r="E32" s="32" t="s">
        <v>68</v>
      </c>
      <c r="F32" s="27">
        <v>42798</v>
      </c>
      <c r="G32" s="33">
        <v>26.1</v>
      </c>
      <c r="H32" s="27">
        <v>42808</v>
      </c>
      <c r="I32" s="111"/>
      <c r="J32" s="71" t="s">
        <v>70</v>
      </c>
      <c r="K32" s="71" t="s">
        <v>70</v>
      </c>
      <c r="L32" s="71" t="s">
        <v>70</v>
      </c>
      <c r="M32" s="71" t="s">
        <v>70</v>
      </c>
      <c r="N32" s="71" t="s">
        <v>70</v>
      </c>
      <c r="O32" s="71" t="s">
        <v>70</v>
      </c>
      <c r="P32" s="71" t="s">
        <v>70</v>
      </c>
      <c r="Q32" s="71" t="s">
        <v>70</v>
      </c>
      <c r="R32" s="71" t="s">
        <v>71</v>
      </c>
      <c r="S32" s="71"/>
      <c r="T32" s="71"/>
      <c r="U32" s="71"/>
      <c r="V32" s="71"/>
      <c r="W32" s="71"/>
      <c r="X32" s="71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3"/>
    </row>
    <row r="33" spans="1:52">
      <c r="A33" s="35">
        <v>1057808</v>
      </c>
      <c r="B33" s="1">
        <v>64</v>
      </c>
      <c r="C33" s="25" t="str">
        <f t="shared" si="1"/>
        <v>1057808-64</v>
      </c>
      <c r="D33" s="24" t="s">
        <v>87</v>
      </c>
      <c r="E33" s="32" t="s">
        <v>68</v>
      </c>
      <c r="F33" s="27">
        <v>42798</v>
      </c>
      <c r="G33" s="33">
        <v>24.1</v>
      </c>
      <c r="H33" s="27">
        <v>42808</v>
      </c>
      <c r="I33" s="111"/>
      <c r="J33" s="71" t="s">
        <v>70</v>
      </c>
      <c r="K33" s="71" t="s">
        <v>70</v>
      </c>
      <c r="L33" s="71" t="s">
        <v>70</v>
      </c>
      <c r="M33" s="71" t="s">
        <v>70</v>
      </c>
      <c r="N33" s="71" t="s">
        <v>70</v>
      </c>
      <c r="O33" s="71" t="s">
        <v>70</v>
      </c>
      <c r="P33" s="71" t="s">
        <v>70</v>
      </c>
      <c r="Q33" s="71" t="s">
        <v>71</v>
      </c>
      <c r="R33" s="71"/>
      <c r="S33" s="71"/>
      <c r="T33" s="71"/>
      <c r="U33" s="71"/>
      <c r="V33" s="71"/>
      <c r="W33" s="71"/>
      <c r="X33" s="71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3"/>
    </row>
    <row r="34" spans="1:52">
      <c r="A34" s="35">
        <v>1057808</v>
      </c>
      <c r="B34" s="1">
        <v>65</v>
      </c>
      <c r="C34" s="25" t="str">
        <f t="shared" si="1"/>
        <v>1057808-65</v>
      </c>
      <c r="D34" s="24" t="s">
        <v>87</v>
      </c>
      <c r="E34" s="32" t="s">
        <v>94</v>
      </c>
      <c r="F34" s="27">
        <v>42798</v>
      </c>
      <c r="G34" s="33">
        <v>23.7</v>
      </c>
      <c r="H34" s="27">
        <v>42808</v>
      </c>
      <c r="I34" s="111"/>
      <c r="J34" s="71" t="s">
        <v>70</v>
      </c>
      <c r="K34" s="71" t="s">
        <v>70</v>
      </c>
      <c r="L34" s="71" t="s">
        <v>70</v>
      </c>
      <c r="M34" s="71" t="s">
        <v>70</v>
      </c>
      <c r="N34" s="71" t="s">
        <v>70</v>
      </c>
      <c r="O34" s="71" t="s">
        <v>70</v>
      </c>
      <c r="P34" s="71" t="s">
        <v>70</v>
      </c>
      <c r="Q34" s="71" t="s">
        <v>70</v>
      </c>
      <c r="R34" s="71" t="s">
        <v>70</v>
      </c>
      <c r="S34" s="71" t="s">
        <v>70</v>
      </c>
      <c r="T34" s="71" t="s">
        <v>70</v>
      </c>
      <c r="U34" s="71" t="s">
        <v>71</v>
      </c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3"/>
    </row>
    <row r="35" spans="1:52">
      <c r="A35" s="291"/>
      <c r="B35" s="256"/>
      <c r="C35" s="257"/>
      <c r="D35" s="24"/>
      <c r="E35" s="32"/>
      <c r="F35" s="27"/>
      <c r="G35" s="28"/>
      <c r="H35" s="27"/>
      <c r="I35" s="11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6"/>
      <c r="V35" s="76"/>
      <c r="W35" s="76"/>
      <c r="X35" s="76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3"/>
    </row>
    <row r="36" spans="1:52">
      <c r="A36" s="265"/>
      <c r="B36" s="266"/>
      <c r="C36" s="267"/>
      <c r="D36" s="266"/>
      <c r="E36" s="268"/>
      <c r="F36" s="269"/>
      <c r="G36" s="270"/>
      <c r="H36" s="269"/>
      <c r="I36" s="266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</row>
    <row r="37" spans="1:52"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</row>
    <row r="38" spans="1:52" ht="14.25" customHeight="1">
      <c r="A38" s="46"/>
      <c r="B38" s="46"/>
      <c r="C38" s="46"/>
      <c r="E38" s="83" t="s">
        <v>16</v>
      </c>
      <c r="H38" s="364" t="s">
        <v>16</v>
      </c>
      <c r="I38" s="230" t="s">
        <v>50</v>
      </c>
      <c r="J38" s="71">
        <f t="shared" ref="J38:AY38" si="2">COUNTIF(J5:J35,"Alive")</f>
        <v>30</v>
      </c>
      <c r="K38" s="71">
        <f t="shared" si="2"/>
        <v>30</v>
      </c>
      <c r="L38" s="71">
        <f t="shared" si="2"/>
        <v>30</v>
      </c>
      <c r="M38" s="71">
        <f t="shared" si="2"/>
        <v>30</v>
      </c>
      <c r="N38" s="71">
        <f t="shared" si="2"/>
        <v>29</v>
      </c>
      <c r="O38" s="71">
        <f t="shared" si="2"/>
        <v>28</v>
      </c>
      <c r="P38" s="71">
        <f t="shared" si="2"/>
        <v>24</v>
      </c>
      <c r="Q38" s="71">
        <f t="shared" si="2"/>
        <v>18</v>
      </c>
      <c r="R38" s="71">
        <f t="shared" si="2"/>
        <v>14</v>
      </c>
      <c r="S38" s="71">
        <f t="shared" si="2"/>
        <v>11</v>
      </c>
      <c r="T38" s="71">
        <f t="shared" si="2"/>
        <v>9</v>
      </c>
      <c r="U38" s="71">
        <f t="shared" si="2"/>
        <v>6</v>
      </c>
      <c r="V38" s="71">
        <f t="shared" si="2"/>
        <v>2</v>
      </c>
      <c r="W38" s="71">
        <f t="shared" si="2"/>
        <v>1</v>
      </c>
      <c r="X38" s="71">
        <f t="shared" si="2"/>
        <v>0</v>
      </c>
      <c r="Y38" s="71">
        <f t="shared" si="2"/>
        <v>0</v>
      </c>
      <c r="Z38" s="71">
        <f t="shared" si="2"/>
        <v>0</v>
      </c>
      <c r="AA38" s="71">
        <f t="shared" si="2"/>
        <v>0</v>
      </c>
      <c r="AB38" s="71">
        <f t="shared" si="2"/>
        <v>0</v>
      </c>
      <c r="AC38" s="71">
        <f t="shared" si="2"/>
        <v>0</v>
      </c>
      <c r="AD38" s="71">
        <f t="shared" si="2"/>
        <v>0</v>
      </c>
      <c r="AE38" s="71">
        <f t="shared" si="2"/>
        <v>0</v>
      </c>
      <c r="AF38" s="71">
        <f t="shared" si="2"/>
        <v>0</v>
      </c>
      <c r="AG38" s="71">
        <f t="shared" si="2"/>
        <v>0</v>
      </c>
      <c r="AH38" s="71">
        <f t="shared" si="2"/>
        <v>0</v>
      </c>
      <c r="AI38" s="71">
        <f t="shared" si="2"/>
        <v>0</v>
      </c>
      <c r="AJ38" s="71">
        <f t="shared" si="2"/>
        <v>0</v>
      </c>
      <c r="AK38" s="71">
        <f t="shared" si="2"/>
        <v>0</v>
      </c>
      <c r="AL38" s="71">
        <f t="shared" si="2"/>
        <v>0</v>
      </c>
      <c r="AM38" s="71">
        <f t="shared" si="2"/>
        <v>0</v>
      </c>
      <c r="AN38" s="71">
        <f t="shared" si="2"/>
        <v>0</v>
      </c>
      <c r="AO38" s="71">
        <f t="shared" si="2"/>
        <v>0</v>
      </c>
      <c r="AP38" s="71">
        <f t="shared" si="2"/>
        <v>0</v>
      </c>
      <c r="AQ38" s="71">
        <f t="shared" si="2"/>
        <v>0</v>
      </c>
      <c r="AR38" s="71">
        <f t="shared" si="2"/>
        <v>0</v>
      </c>
      <c r="AS38" s="71">
        <f t="shared" si="2"/>
        <v>0</v>
      </c>
      <c r="AT38" s="71">
        <f t="shared" si="2"/>
        <v>0</v>
      </c>
      <c r="AU38" s="71">
        <f t="shared" si="2"/>
        <v>0</v>
      </c>
      <c r="AV38" s="71">
        <f t="shared" si="2"/>
        <v>0</v>
      </c>
      <c r="AW38" s="71">
        <f t="shared" si="2"/>
        <v>0</v>
      </c>
      <c r="AX38" s="71">
        <f t="shared" si="2"/>
        <v>0</v>
      </c>
      <c r="AY38" s="71">
        <f t="shared" si="2"/>
        <v>0</v>
      </c>
      <c r="AZ38" s="3"/>
    </row>
    <row r="39" spans="1:52" ht="14.25" customHeight="1">
      <c r="A39" s="46"/>
      <c r="B39" s="46"/>
      <c r="C39" s="46"/>
      <c r="E39" s="83"/>
      <c r="H39" s="364"/>
      <c r="I39" s="230" t="s">
        <v>51</v>
      </c>
      <c r="J39" s="72">
        <f t="shared" ref="J39:AY39" si="3">COUNTIF(J5:J35,"Censored")</f>
        <v>0</v>
      </c>
      <c r="K39" s="72">
        <f t="shared" si="3"/>
        <v>0</v>
      </c>
      <c r="L39" s="72">
        <f t="shared" si="3"/>
        <v>0</v>
      </c>
      <c r="M39" s="72">
        <f t="shared" si="3"/>
        <v>0</v>
      </c>
      <c r="N39" s="72">
        <f t="shared" si="3"/>
        <v>0</v>
      </c>
      <c r="O39" s="72">
        <f t="shared" si="3"/>
        <v>0</v>
      </c>
      <c r="P39" s="72">
        <f t="shared" si="3"/>
        <v>0</v>
      </c>
      <c r="Q39" s="72">
        <f t="shared" si="3"/>
        <v>0</v>
      </c>
      <c r="R39" s="72">
        <f t="shared" si="3"/>
        <v>0</v>
      </c>
      <c r="S39" s="72">
        <f t="shared" si="3"/>
        <v>0</v>
      </c>
      <c r="T39" s="72">
        <f t="shared" si="3"/>
        <v>0</v>
      </c>
      <c r="U39" s="72">
        <f t="shared" si="3"/>
        <v>0</v>
      </c>
      <c r="V39" s="72">
        <f t="shared" si="3"/>
        <v>0</v>
      </c>
      <c r="W39" s="72">
        <f t="shared" si="3"/>
        <v>0</v>
      </c>
      <c r="X39" s="72">
        <f t="shared" si="3"/>
        <v>0</v>
      </c>
      <c r="Y39" s="72">
        <f t="shared" si="3"/>
        <v>0</v>
      </c>
      <c r="Z39" s="72">
        <f t="shared" si="3"/>
        <v>0</v>
      </c>
      <c r="AA39" s="72">
        <f t="shared" si="3"/>
        <v>0</v>
      </c>
      <c r="AB39" s="72">
        <f t="shared" si="3"/>
        <v>0</v>
      </c>
      <c r="AC39" s="72">
        <f t="shared" si="3"/>
        <v>0</v>
      </c>
      <c r="AD39" s="72">
        <f t="shared" si="3"/>
        <v>0</v>
      </c>
      <c r="AE39" s="72">
        <f t="shared" si="3"/>
        <v>0</v>
      </c>
      <c r="AF39" s="72">
        <f t="shared" si="3"/>
        <v>0</v>
      </c>
      <c r="AG39" s="72">
        <f t="shared" si="3"/>
        <v>0</v>
      </c>
      <c r="AH39" s="72">
        <f t="shared" si="3"/>
        <v>0</v>
      </c>
      <c r="AI39" s="72">
        <f t="shared" si="3"/>
        <v>0</v>
      </c>
      <c r="AJ39" s="72">
        <f t="shared" si="3"/>
        <v>0</v>
      </c>
      <c r="AK39" s="72">
        <f t="shared" si="3"/>
        <v>0</v>
      </c>
      <c r="AL39" s="72">
        <f t="shared" si="3"/>
        <v>0</v>
      </c>
      <c r="AM39" s="72">
        <f t="shared" si="3"/>
        <v>0</v>
      </c>
      <c r="AN39" s="72">
        <f t="shared" si="3"/>
        <v>0</v>
      </c>
      <c r="AO39" s="72">
        <f t="shared" si="3"/>
        <v>0</v>
      </c>
      <c r="AP39" s="72">
        <f t="shared" si="3"/>
        <v>0</v>
      </c>
      <c r="AQ39" s="72">
        <f t="shared" si="3"/>
        <v>0</v>
      </c>
      <c r="AR39" s="72">
        <f t="shared" si="3"/>
        <v>0</v>
      </c>
      <c r="AS39" s="72">
        <f t="shared" si="3"/>
        <v>0</v>
      </c>
      <c r="AT39" s="72">
        <f t="shared" si="3"/>
        <v>0</v>
      </c>
      <c r="AU39" s="72">
        <f t="shared" si="3"/>
        <v>0</v>
      </c>
      <c r="AV39" s="72">
        <f t="shared" si="3"/>
        <v>0</v>
      </c>
      <c r="AW39" s="72">
        <f t="shared" si="3"/>
        <v>0</v>
      </c>
      <c r="AX39" s="72">
        <f t="shared" si="3"/>
        <v>0</v>
      </c>
      <c r="AY39" s="72">
        <f t="shared" si="3"/>
        <v>0</v>
      </c>
      <c r="AZ39" s="3"/>
    </row>
    <row r="40" spans="1:52" ht="14.25" customHeight="1">
      <c r="E40" s="276"/>
      <c r="H40" s="364"/>
      <c r="I40" s="230" t="s">
        <v>53</v>
      </c>
      <c r="J40" s="67">
        <f>J38/(COUNTIF(J5:J35,"Alive")+COUNTIF(J5:J35,"Sacrificed")+COUNTIF(J5:J35,"Died"))</f>
        <v>1</v>
      </c>
      <c r="K40" s="67">
        <f t="shared" ref="K40:AY40" si="4">K38/(COUNTIF(K5:K35,"Alive")+COUNTIF(K5:K35,"Sacrificed")+COUNTIF(K5:K35,"Died")) *J40</f>
        <v>1</v>
      </c>
      <c r="L40" s="67">
        <f t="shared" si="4"/>
        <v>1</v>
      </c>
      <c r="M40" s="67">
        <f t="shared" si="4"/>
        <v>1</v>
      </c>
      <c r="N40" s="67">
        <f t="shared" si="4"/>
        <v>0.96666666666666667</v>
      </c>
      <c r="O40" s="67">
        <f t="shared" si="4"/>
        <v>0.93333333333333335</v>
      </c>
      <c r="P40" s="67">
        <f t="shared" si="4"/>
        <v>0.79999999999999993</v>
      </c>
      <c r="Q40" s="67">
        <f t="shared" si="4"/>
        <v>0.6</v>
      </c>
      <c r="R40" s="67">
        <f t="shared" si="4"/>
        <v>0.46666666666666667</v>
      </c>
      <c r="S40" s="67">
        <f t="shared" si="4"/>
        <v>0.36666666666666664</v>
      </c>
      <c r="T40" s="67">
        <f t="shared" si="4"/>
        <v>0.3</v>
      </c>
      <c r="U40" s="67">
        <f t="shared" si="4"/>
        <v>0.19999999999999998</v>
      </c>
      <c r="V40" s="67">
        <f t="shared" si="4"/>
        <v>6.6666666666666652E-2</v>
      </c>
      <c r="W40" s="67">
        <f t="shared" si="4"/>
        <v>3.3333333333333326E-2</v>
      </c>
      <c r="X40" s="67">
        <f t="shared" si="4"/>
        <v>0</v>
      </c>
      <c r="Y40" s="67" t="e">
        <f t="shared" si="4"/>
        <v>#DIV/0!</v>
      </c>
      <c r="Z40" s="67" t="e">
        <f t="shared" si="4"/>
        <v>#DIV/0!</v>
      </c>
      <c r="AA40" s="67" t="e">
        <f t="shared" si="4"/>
        <v>#DIV/0!</v>
      </c>
      <c r="AB40" s="67" t="e">
        <f t="shared" si="4"/>
        <v>#DIV/0!</v>
      </c>
      <c r="AC40" s="67" t="e">
        <f t="shared" si="4"/>
        <v>#DIV/0!</v>
      </c>
      <c r="AD40" s="67" t="e">
        <f t="shared" si="4"/>
        <v>#DIV/0!</v>
      </c>
      <c r="AE40" s="67" t="e">
        <f t="shared" si="4"/>
        <v>#DIV/0!</v>
      </c>
      <c r="AF40" s="67" t="e">
        <f t="shared" si="4"/>
        <v>#DIV/0!</v>
      </c>
      <c r="AG40" s="67" t="e">
        <f t="shared" si="4"/>
        <v>#DIV/0!</v>
      </c>
      <c r="AH40" s="67" t="e">
        <f t="shared" si="4"/>
        <v>#DIV/0!</v>
      </c>
      <c r="AI40" s="67" t="e">
        <f t="shared" si="4"/>
        <v>#DIV/0!</v>
      </c>
      <c r="AJ40" s="67" t="e">
        <f t="shared" si="4"/>
        <v>#DIV/0!</v>
      </c>
      <c r="AK40" s="67" t="e">
        <f t="shared" si="4"/>
        <v>#DIV/0!</v>
      </c>
      <c r="AL40" s="67" t="e">
        <f t="shared" si="4"/>
        <v>#DIV/0!</v>
      </c>
      <c r="AM40" s="67" t="e">
        <f t="shared" si="4"/>
        <v>#DIV/0!</v>
      </c>
      <c r="AN40" s="67" t="e">
        <f t="shared" si="4"/>
        <v>#DIV/0!</v>
      </c>
      <c r="AO40" s="67" t="e">
        <f t="shared" si="4"/>
        <v>#DIV/0!</v>
      </c>
      <c r="AP40" s="67" t="e">
        <f t="shared" si="4"/>
        <v>#DIV/0!</v>
      </c>
      <c r="AQ40" s="67" t="e">
        <f t="shared" si="4"/>
        <v>#DIV/0!</v>
      </c>
      <c r="AR40" s="67" t="e">
        <f t="shared" si="4"/>
        <v>#DIV/0!</v>
      </c>
      <c r="AS40" s="67" t="e">
        <f t="shared" si="4"/>
        <v>#DIV/0!</v>
      </c>
      <c r="AT40" s="67" t="e">
        <f t="shared" si="4"/>
        <v>#DIV/0!</v>
      </c>
      <c r="AU40" s="67" t="e">
        <f t="shared" si="4"/>
        <v>#DIV/0!</v>
      </c>
      <c r="AV40" s="67" t="e">
        <f t="shared" si="4"/>
        <v>#DIV/0!</v>
      </c>
      <c r="AW40" s="67" t="e">
        <f t="shared" si="4"/>
        <v>#DIV/0!</v>
      </c>
      <c r="AX40" s="67" t="e">
        <f t="shared" si="4"/>
        <v>#DIV/0!</v>
      </c>
      <c r="AY40" s="67" t="e">
        <f t="shared" si="4"/>
        <v>#DIV/0!</v>
      </c>
      <c r="AZ40" s="3"/>
    </row>
    <row r="41" spans="1:52" ht="12.75" customHeight="1">
      <c r="A41" s="103"/>
      <c r="E41" s="83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</row>
    <row r="42" spans="1:52" ht="14.25" customHeight="1">
      <c r="A42" s="103"/>
      <c r="E42" s="108" t="str">
        <f>'5GY EBRT Groups'!C6</f>
        <v>Untreated Control</v>
      </c>
      <c r="H42" s="108" t="str">
        <f>E42</f>
        <v>Untreated Control</v>
      </c>
      <c r="I42" s="230" t="s">
        <v>52</v>
      </c>
      <c r="J42" s="71">
        <f t="shared" ref="J42:AY42" si="5">COUNTIFS($E$5:$E$35,$E42,J$5:J$35,"Alive")</f>
        <v>6</v>
      </c>
      <c r="K42" s="71">
        <f t="shared" si="5"/>
        <v>6</v>
      </c>
      <c r="L42" s="71">
        <f t="shared" si="5"/>
        <v>6</v>
      </c>
      <c r="M42" s="71">
        <f t="shared" si="5"/>
        <v>6</v>
      </c>
      <c r="N42" s="71">
        <f t="shared" si="5"/>
        <v>6</v>
      </c>
      <c r="O42" s="71">
        <f t="shared" si="5"/>
        <v>5</v>
      </c>
      <c r="P42" s="71">
        <f t="shared" si="5"/>
        <v>3</v>
      </c>
      <c r="Q42" s="71">
        <f t="shared" si="5"/>
        <v>2</v>
      </c>
      <c r="R42" s="71">
        <f t="shared" si="5"/>
        <v>1</v>
      </c>
      <c r="S42" s="71">
        <f t="shared" si="5"/>
        <v>0</v>
      </c>
      <c r="T42" s="71">
        <f t="shared" si="5"/>
        <v>0</v>
      </c>
      <c r="U42" s="71">
        <f t="shared" si="5"/>
        <v>0</v>
      </c>
      <c r="V42" s="71">
        <f t="shared" si="5"/>
        <v>0</v>
      </c>
      <c r="W42" s="71">
        <f t="shared" si="5"/>
        <v>0</v>
      </c>
      <c r="X42" s="71">
        <f t="shared" si="5"/>
        <v>0</v>
      </c>
      <c r="Y42" s="71">
        <f t="shared" si="5"/>
        <v>0</v>
      </c>
      <c r="Z42" s="71">
        <f t="shared" si="5"/>
        <v>0</v>
      </c>
      <c r="AA42" s="71">
        <f t="shared" si="5"/>
        <v>0</v>
      </c>
      <c r="AB42" s="71">
        <f t="shared" si="5"/>
        <v>0</v>
      </c>
      <c r="AC42" s="71">
        <f t="shared" si="5"/>
        <v>0</v>
      </c>
      <c r="AD42" s="71">
        <f t="shared" si="5"/>
        <v>0</v>
      </c>
      <c r="AE42" s="71">
        <f t="shared" si="5"/>
        <v>0</v>
      </c>
      <c r="AF42" s="71">
        <f t="shared" si="5"/>
        <v>0</v>
      </c>
      <c r="AG42" s="71">
        <f t="shared" si="5"/>
        <v>0</v>
      </c>
      <c r="AH42" s="71">
        <f t="shared" si="5"/>
        <v>0</v>
      </c>
      <c r="AI42" s="71">
        <f t="shared" si="5"/>
        <v>0</v>
      </c>
      <c r="AJ42" s="71">
        <f t="shared" si="5"/>
        <v>0</v>
      </c>
      <c r="AK42" s="71">
        <f t="shared" si="5"/>
        <v>0</v>
      </c>
      <c r="AL42" s="71">
        <f t="shared" si="5"/>
        <v>0</v>
      </c>
      <c r="AM42" s="71">
        <f t="shared" si="5"/>
        <v>0</v>
      </c>
      <c r="AN42" s="71">
        <f t="shared" si="5"/>
        <v>0</v>
      </c>
      <c r="AO42" s="71">
        <f t="shared" si="5"/>
        <v>0</v>
      </c>
      <c r="AP42" s="71">
        <f t="shared" si="5"/>
        <v>0</v>
      </c>
      <c r="AQ42" s="71">
        <f t="shared" si="5"/>
        <v>0</v>
      </c>
      <c r="AR42" s="71">
        <f t="shared" si="5"/>
        <v>0</v>
      </c>
      <c r="AS42" s="71">
        <f t="shared" si="5"/>
        <v>0</v>
      </c>
      <c r="AT42" s="71">
        <f t="shared" si="5"/>
        <v>0</v>
      </c>
      <c r="AU42" s="71">
        <f t="shared" si="5"/>
        <v>0</v>
      </c>
      <c r="AV42" s="71">
        <f t="shared" si="5"/>
        <v>0</v>
      </c>
      <c r="AW42" s="71">
        <f t="shared" si="5"/>
        <v>0</v>
      </c>
      <c r="AX42" s="71">
        <f t="shared" si="5"/>
        <v>0</v>
      </c>
      <c r="AY42" s="71">
        <f t="shared" si="5"/>
        <v>0</v>
      </c>
      <c r="AZ42" s="69"/>
    </row>
    <row r="43" spans="1:52" ht="14.25" customHeight="1">
      <c r="A43" s="103"/>
      <c r="E43" s="83"/>
      <c r="H43" s="83"/>
      <c r="I43" s="230" t="s">
        <v>51</v>
      </c>
      <c r="J43" s="74">
        <f t="shared" ref="J43:AY43" si="6">COUNTIFS($E$5:$E$35,$E42,J$5:J$35,"Censored")</f>
        <v>0</v>
      </c>
      <c r="K43" s="74">
        <f t="shared" si="6"/>
        <v>0</v>
      </c>
      <c r="L43" s="74">
        <f t="shared" si="6"/>
        <v>0</v>
      </c>
      <c r="M43" s="74">
        <f t="shared" si="6"/>
        <v>0</v>
      </c>
      <c r="N43" s="74">
        <f t="shared" si="6"/>
        <v>0</v>
      </c>
      <c r="O43" s="74">
        <f t="shared" si="6"/>
        <v>0</v>
      </c>
      <c r="P43" s="74">
        <f t="shared" si="6"/>
        <v>0</v>
      </c>
      <c r="Q43" s="74">
        <f t="shared" si="6"/>
        <v>0</v>
      </c>
      <c r="R43" s="74">
        <f t="shared" si="6"/>
        <v>0</v>
      </c>
      <c r="S43" s="74">
        <f t="shared" si="6"/>
        <v>0</v>
      </c>
      <c r="T43" s="74">
        <f t="shared" si="6"/>
        <v>0</v>
      </c>
      <c r="U43" s="74">
        <f t="shared" si="6"/>
        <v>0</v>
      </c>
      <c r="V43" s="74">
        <f t="shared" si="6"/>
        <v>0</v>
      </c>
      <c r="W43" s="74">
        <f t="shared" si="6"/>
        <v>0</v>
      </c>
      <c r="X43" s="74">
        <f t="shared" si="6"/>
        <v>0</v>
      </c>
      <c r="Y43" s="74">
        <f t="shared" si="6"/>
        <v>0</v>
      </c>
      <c r="Z43" s="74">
        <f t="shared" si="6"/>
        <v>0</v>
      </c>
      <c r="AA43" s="74">
        <f t="shared" si="6"/>
        <v>0</v>
      </c>
      <c r="AB43" s="74">
        <f t="shared" si="6"/>
        <v>0</v>
      </c>
      <c r="AC43" s="74">
        <f t="shared" si="6"/>
        <v>0</v>
      </c>
      <c r="AD43" s="74">
        <f t="shared" si="6"/>
        <v>0</v>
      </c>
      <c r="AE43" s="74">
        <f t="shared" si="6"/>
        <v>0</v>
      </c>
      <c r="AF43" s="74">
        <f t="shared" si="6"/>
        <v>0</v>
      </c>
      <c r="AG43" s="74">
        <f t="shared" si="6"/>
        <v>0</v>
      </c>
      <c r="AH43" s="74">
        <f t="shared" si="6"/>
        <v>0</v>
      </c>
      <c r="AI43" s="74">
        <f t="shared" si="6"/>
        <v>0</v>
      </c>
      <c r="AJ43" s="74">
        <f t="shared" si="6"/>
        <v>0</v>
      </c>
      <c r="AK43" s="74">
        <f t="shared" si="6"/>
        <v>0</v>
      </c>
      <c r="AL43" s="74">
        <f t="shared" si="6"/>
        <v>0</v>
      </c>
      <c r="AM43" s="74">
        <f t="shared" si="6"/>
        <v>0</v>
      </c>
      <c r="AN43" s="74">
        <f t="shared" si="6"/>
        <v>0</v>
      </c>
      <c r="AO43" s="74">
        <f t="shared" si="6"/>
        <v>0</v>
      </c>
      <c r="AP43" s="74">
        <f t="shared" si="6"/>
        <v>0</v>
      </c>
      <c r="AQ43" s="74">
        <f t="shared" si="6"/>
        <v>0</v>
      </c>
      <c r="AR43" s="74">
        <f t="shared" si="6"/>
        <v>0</v>
      </c>
      <c r="AS43" s="74">
        <f t="shared" si="6"/>
        <v>0</v>
      </c>
      <c r="AT43" s="74">
        <f t="shared" si="6"/>
        <v>0</v>
      </c>
      <c r="AU43" s="74">
        <f t="shared" si="6"/>
        <v>0</v>
      </c>
      <c r="AV43" s="74">
        <f t="shared" si="6"/>
        <v>0</v>
      </c>
      <c r="AW43" s="74">
        <f t="shared" si="6"/>
        <v>0</v>
      </c>
      <c r="AX43" s="74">
        <f t="shared" si="6"/>
        <v>0</v>
      </c>
      <c r="AY43" s="74">
        <f t="shared" si="6"/>
        <v>0</v>
      </c>
      <c r="AZ43" s="69"/>
    </row>
    <row r="44" spans="1:52" ht="14.25" customHeight="1">
      <c r="E44" s="276"/>
      <c r="H44" s="83"/>
      <c r="I44" s="230" t="s">
        <v>53</v>
      </c>
      <c r="J44" s="67">
        <f>J42/(COUNTIFS($E$5:$E$35,$E42,J$5:J$35,"Alive")+COUNTIFS($E$5:$E$35,$E42,J$5:J$35,"Sacrificed")+COUNTIFS($E$5:$E$35,$E42,J$5:J$35,"Died"))</f>
        <v>1</v>
      </c>
      <c r="K44" s="67">
        <f t="shared" ref="K44:AY44" si="7">K42/(COUNTIFS($E$5:$E$35,$E42,K$5:K$35,"Alive")+COUNTIFS($E$5:$E$35,$E42,K$5:K$35,"Sacrificed")+COUNTIFS($E$5:$E$35,$E42,K$5:K$35,"Died"))*J44</f>
        <v>1</v>
      </c>
      <c r="L44" s="67">
        <f t="shared" si="7"/>
        <v>1</v>
      </c>
      <c r="M44" s="67">
        <f t="shared" si="7"/>
        <v>1</v>
      </c>
      <c r="N44" s="67">
        <f t="shared" si="7"/>
        <v>1</v>
      </c>
      <c r="O44" s="67">
        <f t="shared" si="7"/>
        <v>0.83333333333333337</v>
      </c>
      <c r="P44" s="67">
        <f t="shared" si="7"/>
        <v>0.5</v>
      </c>
      <c r="Q44" s="67">
        <f t="shared" si="7"/>
        <v>0.33333333333333331</v>
      </c>
      <c r="R44" s="67">
        <f t="shared" si="7"/>
        <v>0.16666666666666666</v>
      </c>
      <c r="S44" s="67">
        <f t="shared" si="7"/>
        <v>0</v>
      </c>
      <c r="T44" s="67" t="e">
        <f t="shared" si="7"/>
        <v>#DIV/0!</v>
      </c>
      <c r="U44" s="67" t="e">
        <f t="shared" si="7"/>
        <v>#DIV/0!</v>
      </c>
      <c r="V44" s="67" t="e">
        <f t="shared" si="7"/>
        <v>#DIV/0!</v>
      </c>
      <c r="W44" s="67" t="e">
        <f t="shared" si="7"/>
        <v>#DIV/0!</v>
      </c>
      <c r="X44" s="67" t="e">
        <f t="shared" si="7"/>
        <v>#DIV/0!</v>
      </c>
      <c r="Y44" s="67" t="e">
        <f t="shared" si="7"/>
        <v>#DIV/0!</v>
      </c>
      <c r="Z44" s="67" t="e">
        <f t="shared" si="7"/>
        <v>#DIV/0!</v>
      </c>
      <c r="AA44" s="67" t="e">
        <f t="shared" si="7"/>
        <v>#DIV/0!</v>
      </c>
      <c r="AB44" s="67" t="e">
        <f t="shared" si="7"/>
        <v>#DIV/0!</v>
      </c>
      <c r="AC44" s="67" t="e">
        <f t="shared" si="7"/>
        <v>#DIV/0!</v>
      </c>
      <c r="AD44" s="67" t="e">
        <f t="shared" si="7"/>
        <v>#DIV/0!</v>
      </c>
      <c r="AE44" s="67" t="e">
        <f t="shared" si="7"/>
        <v>#DIV/0!</v>
      </c>
      <c r="AF44" s="67" t="e">
        <f t="shared" si="7"/>
        <v>#DIV/0!</v>
      </c>
      <c r="AG44" s="67" t="e">
        <f t="shared" si="7"/>
        <v>#DIV/0!</v>
      </c>
      <c r="AH44" s="67" t="e">
        <f t="shared" si="7"/>
        <v>#DIV/0!</v>
      </c>
      <c r="AI44" s="67" t="e">
        <f t="shared" si="7"/>
        <v>#DIV/0!</v>
      </c>
      <c r="AJ44" s="67" t="e">
        <f t="shared" si="7"/>
        <v>#DIV/0!</v>
      </c>
      <c r="AK44" s="67" t="e">
        <f t="shared" si="7"/>
        <v>#DIV/0!</v>
      </c>
      <c r="AL44" s="67" t="e">
        <f t="shared" si="7"/>
        <v>#DIV/0!</v>
      </c>
      <c r="AM44" s="67" t="e">
        <f t="shared" si="7"/>
        <v>#DIV/0!</v>
      </c>
      <c r="AN44" s="67" t="e">
        <f t="shared" si="7"/>
        <v>#DIV/0!</v>
      </c>
      <c r="AO44" s="67" t="e">
        <f t="shared" si="7"/>
        <v>#DIV/0!</v>
      </c>
      <c r="AP44" s="67" t="e">
        <f t="shared" si="7"/>
        <v>#DIV/0!</v>
      </c>
      <c r="AQ44" s="67" t="e">
        <f t="shared" si="7"/>
        <v>#DIV/0!</v>
      </c>
      <c r="AR44" s="67" t="e">
        <f t="shared" si="7"/>
        <v>#DIV/0!</v>
      </c>
      <c r="AS44" s="67" t="e">
        <f t="shared" si="7"/>
        <v>#DIV/0!</v>
      </c>
      <c r="AT44" s="67" t="e">
        <f t="shared" si="7"/>
        <v>#DIV/0!</v>
      </c>
      <c r="AU44" s="67" t="e">
        <f t="shared" si="7"/>
        <v>#DIV/0!</v>
      </c>
      <c r="AV44" s="67" t="e">
        <f t="shared" si="7"/>
        <v>#DIV/0!</v>
      </c>
      <c r="AW44" s="67" t="e">
        <f t="shared" si="7"/>
        <v>#DIV/0!</v>
      </c>
      <c r="AX44" s="67" t="e">
        <f t="shared" si="7"/>
        <v>#DIV/0!</v>
      </c>
      <c r="AY44" s="67" t="e">
        <f t="shared" si="7"/>
        <v>#DIV/0!</v>
      </c>
      <c r="AZ44" s="3"/>
    </row>
    <row r="45" spans="1:52" ht="15">
      <c r="A45" s="103"/>
      <c r="E45" s="45"/>
      <c r="H45" s="45"/>
    </row>
    <row r="46" spans="1:52" ht="14.25" customHeight="1">
      <c r="A46" s="103"/>
      <c r="E46" s="108" t="str">
        <f>'5GY EBRT Groups'!C7</f>
        <v>CP-PTX</v>
      </c>
      <c r="H46" s="108" t="str">
        <f>E46</f>
        <v>CP-PTX</v>
      </c>
      <c r="I46" s="230" t="s">
        <v>52</v>
      </c>
      <c r="J46" s="71">
        <f t="shared" ref="J46:AY46" si="8">COUNTIFS($E$5:$E$35,$E46,J$5:J$35,"Alive")</f>
        <v>6</v>
      </c>
      <c r="K46" s="71">
        <f t="shared" si="8"/>
        <v>6</v>
      </c>
      <c r="L46" s="71">
        <f t="shared" si="8"/>
        <v>6</v>
      </c>
      <c r="M46" s="71">
        <f t="shared" si="8"/>
        <v>6</v>
      </c>
      <c r="N46" s="71">
        <f t="shared" si="8"/>
        <v>6</v>
      </c>
      <c r="O46" s="71">
        <f t="shared" si="8"/>
        <v>6</v>
      </c>
      <c r="P46" s="71">
        <f t="shared" si="8"/>
        <v>5</v>
      </c>
      <c r="Q46" s="71">
        <f t="shared" si="8"/>
        <v>3</v>
      </c>
      <c r="R46" s="71">
        <f t="shared" si="8"/>
        <v>1</v>
      </c>
      <c r="S46" s="71">
        <f t="shared" si="8"/>
        <v>0</v>
      </c>
      <c r="T46" s="71">
        <f t="shared" si="8"/>
        <v>0</v>
      </c>
      <c r="U46" s="71">
        <f t="shared" si="8"/>
        <v>0</v>
      </c>
      <c r="V46" s="71">
        <f t="shared" si="8"/>
        <v>0</v>
      </c>
      <c r="W46" s="71">
        <f t="shared" si="8"/>
        <v>0</v>
      </c>
      <c r="X46" s="71">
        <f t="shared" si="8"/>
        <v>0</v>
      </c>
      <c r="Y46" s="71">
        <f t="shared" si="8"/>
        <v>0</v>
      </c>
      <c r="Z46" s="71">
        <f t="shared" si="8"/>
        <v>0</v>
      </c>
      <c r="AA46" s="71">
        <f t="shared" si="8"/>
        <v>0</v>
      </c>
      <c r="AB46" s="71">
        <f t="shared" si="8"/>
        <v>0</v>
      </c>
      <c r="AC46" s="71">
        <f t="shared" si="8"/>
        <v>0</v>
      </c>
      <c r="AD46" s="71">
        <f t="shared" si="8"/>
        <v>0</v>
      </c>
      <c r="AE46" s="71">
        <f t="shared" si="8"/>
        <v>0</v>
      </c>
      <c r="AF46" s="71">
        <f t="shared" si="8"/>
        <v>0</v>
      </c>
      <c r="AG46" s="71">
        <f t="shared" si="8"/>
        <v>0</v>
      </c>
      <c r="AH46" s="71">
        <f t="shared" si="8"/>
        <v>0</v>
      </c>
      <c r="AI46" s="71">
        <f t="shared" si="8"/>
        <v>0</v>
      </c>
      <c r="AJ46" s="71">
        <f t="shared" si="8"/>
        <v>0</v>
      </c>
      <c r="AK46" s="71">
        <f t="shared" si="8"/>
        <v>0</v>
      </c>
      <c r="AL46" s="71">
        <f t="shared" si="8"/>
        <v>0</v>
      </c>
      <c r="AM46" s="71">
        <f t="shared" si="8"/>
        <v>0</v>
      </c>
      <c r="AN46" s="71">
        <f t="shared" si="8"/>
        <v>0</v>
      </c>
      <c r="AO46" s="71">
        <f t="shared" si="8"/>
        <v>0</v>
      </c>
      <c r="AP46" s="71">
        <f t="shared" si="8"/>
        <v>0</v>
      </c>
      <c r="AQ46" s="71">
        <f t="shared" si="8"/>
        <v>0</v>
      </c>
      <c r="AR46" s="71">
        <f t="shared" si="8"/>
        <v>0</v>
      </c>
      <c r="AS46" s="71">
        <f t="shared" si="8"/>
        <v>0</v>
      </c>
      <c r="AT46" s="71">
        <f t="shared" si="8"/>
        <v>0</v>
      </c>
      <c r="AU46" s="71">
        <f t="shared" si="8"/>
        <v>0</v>
      </c>
      <c r="AV46" s="71">
        <f t="shared" si="8"/>
        <v>0</v>
      </c>
      <c r="AW46" s="71">
        <f t="shared" si="8"/>
        <v>0</v>
      </c>
      <c r="AX46" s="71">
        <f t="shared" si="8"/>
        <v>0</v>
      </c>
      <c r="AY46" s="71">
        <f t="shared" si="8"/>
        <v>0</v>
      </c>
      <c r="AZ46" s="69"/>
    </row>
    <row r="47" spans="1:52" ht="14.25" customHeight="1">
      <c r="A47" s="103"/>
      <c r="E47" s="83"/>
      <c r="H47" s="83"/>
      <c r="I47" s="230" t="s">
        <v>51</v>
      </c>
      <c r="J47" s="74">
        <f t="shared" ref="J47:AY47" si="9">COUNTIFS($E$5:$E$35,$E46,J$5:J$35,"Censored")</f>
        <v>0</v>
      </c>
      <c r="K47" s="74">
        <f t="shared" si="9"/>
        <v>0</v>
      </c>
      <c r="L47" s="74">
        <f t="shared" si="9"/>
        <v>0</v>
      </c>
      <c r="M47" s="74">
        <f t="shared" si="9"/>
        <v>0</v>
      </c>
      <c r="N47" s="74">
        <f t="shared" si="9"/>
        <v>0</v>
      </c>
      <c r="O47" s="74">
        <f t="shared" si="9"/>
        <v>0</v>
      </c>
      <c r="P47" s="74">
        <f t="shared" si="9"/>
        <v>0</v>
      </c>
      <c r="Q47" s="74">
        <f t="shared" si="9"/>
        <v>0</v>
      </c>
      <c r="R47" s="74">
        <f t="shared" si="9"/>
        <v>0</v>
      </c>
      <c r="S47" s="74">
        <f t="shared" si="9"/>
        <v>0</v>
      </c>
      <c r="T47" s="74">
        <f t="shared" si="9"/>
        <v>0</v>
      </c>
      <c r="U47" s="74">
        <f t="shared" si="9"/>
        <v>0</v>
      </c>
      <c r="V47" s="74">
        <f t="shared" si="9"/>
        <v>0</v>
      </c>
      <c r="W47" s="74">
        <f t="shared" si="9"/>
        <v>0</v>
      </c>
      <c r="X47" s="74">
        <f t="shared" si="9"/>
        <v>0</v>
      </c>
      <c r="Y47" s="74">
        <f t="shared" si="9"/>
        <v>0</v>
      </c>
      <c r="Z47" s="74">
        <f t="shared" si="9"/>
        <v>0</v>
      </c>
      <c r="AA47" s="74">
        <f t="shared" si="9"/>
        <v>0</v>
      </c>
      <c r="AB47" s="74">
        <f t="shared" si="9"/>
        <v>0</v>
      </c>
      <c r="AC47" s="74">
        <f t="shared" si="9"/>
        <v>0</v>
      </c>
      <c r="AD47" s="74">
        <f t="shared" si="9"/>
        <v>0</v>
      </c>
      <c r="AE47" s="74">
        <f t="shared" si="9"/>
        <v>0</v>
      </c>
      <c r="AF47" s="74">
        <f t="shared" si="9"/>
        <v>0</v>
      </c>
      <c r="AG47" s="74">
        <f t="shared" si="9"/>
        <v>0</v>
      </c>
      <c r="AH47" s="74">
        <f t="shared" si="9"/>
        <v>0</v>
      </c>
      <c r="AI47" s="74">
        <f t="shared" si="9"/>
        <v>0</v>
      </c>
      <c r="AJ47" s="74">
        <f t="shared" si="9"/>
        <v>0</v>
      </c>
      <c r="AK47" s="74">
        <f t="shared" si="9"/>
        <v>0</v>
      </c>
      <c r="AL47" s="74">
        <f t="shared" si="9"/>
        <v>0</v>
      </c>
      <c r="AM47" s="74">
        <f t="shared" si="9"/>
        <v>0</v>
      </c>
      <c r="AN47" s="74">
        <f t="shared" si="9"/>
        <v>0</v>
      </c>
      <c r="AO47" s="74">
        <f t="shared" si="9"/>
        <v>0</v>
      </c>
      <c r="AP47" s="74">
        <f t="shared" si="9"/>
        <v>0</v>
      </c>
      <c r="AQ47" s="74">
        <f t="shared" si="9"/>
        <v>0</v>
      </c>
      <c r="AR47" s="74">
        <f t="shared" si="9"/>
        <v>0</v>
      </c>
      <c r="AS47" s="74">
        <f t="shared" si="9"/>
        <v>0</v>
      </c>
      <c r="AT47" s="74">
        <f t="shared" si="9"/>
        <v>0</v>
      </c>
      <c r="AU47" s="74">
        <f t="shared" si="9"/>
        <v>0</v>
      </c>
      <c r="AV47" s="74">
        <f t="shared" si="9"/>
        <v>0</v>
      </c>
      <c r="AW47" s="74">
        <f t="shared" si="9"/>
        <v>0</v>
      </c>
      <c r="AX47" s="74">
        <f t="shared" si="9"/>
        <v>0</v>
      </c>
      <c r="AY47" s="74">
        <f t="shared" si="9"/>
        <v>0</v>
      </c>
      <c r="AZ47" s="69"/>
    </row>
    <row r="48" spans="1:52" ht="14.25" customHeight="1">
      <c r="E48" s="276"/>
      <c r="H48" s="83"/>
      <c r="I48" s="230" t="s">
        <v>53</v>
      </c>
      <c r="J48" s="67">
        <f>J46/(COUNTIFS($E$5:$E$35,$E46,J$5:J$35,"Alive")+COUNTIFS($E$5:$E$35,$E46,J$5:J$35,"Sacrificed")+COUNTIFS($E$5:$E$35,$E46,J$5:J$35,"Died"))</f>
        <v>1</v>
      </c>
      <c r="K48" s="67">
        <f t="shared" ref="K48:AY48" si="10">K46/(COUNTIFS($E$5:$E$35,$E46,K$5:K$35,"Alive")+COUNTIFS($E$5:$E$35,$E46,K$5:K$35,"Sacrificed")+COUNTIFS($E$5:$E$35,$E46,K$5:K$35,"Died"))*J48</f>
        <v>1</v>
      </c>
      <c r="L48" s="67">
        <f t="shared" si="10"/>
        <v>1</v>
      </c>
      <c r="M48" s="67">
        <f t="shared" si="10"/>
        <v>1</v>
      </c>
      <c r="N48" s="67">
        <f t="shared" si="10"/>
        <v>1</v>
      </c>
      <c r="O48" s="67">
        <f t="shared" si="10"/>
        <v>1</v>
      </c>
      <c r="P48" s="67">
        <f t="shared" si="10"/>
        <v>0.83333333333333337</v>
      </c>
      <c r="Q48" s="67">
        <f t="shared" si="10"/>
        <v>0.5</v>
      </c>
      <c r="R48" s="67">
        <f t="shared" si="10"/>
        <v>0.16666666666666666</v>
      </c>
      <c r="S48" s="67">
        <f t="shared" si="10"/>
        <v>0</v>
      </c>
      <c r="T48" s="67" t="e">
        <f t="shared" si="10"/>
        <v>#DIV/0!</v>
      </c>
      <c r="U48" s="67" t="e">
        <f t="shared" si="10"/>
        <v>#DIV/0!</v>
      </c>
      <c r="V48" s="67" t="e">
        <f t="shared" si="10"/>
        <v>#DIV/0!</v>
      </c>
      <c r="W48" s="67" t="e">
        <f t="shared" si="10"/>
        <v>#DIV/0!</v>
      </c>
      <c r="X48" s="67" t="e">
        <f t="shared" si="10"/>
        <v>#DIV/0!</v>
      </c>
      <c r="Y48" s="67" t="e">
        <f t="shared" si="10"/>
        <v>#DIV/0!</v>
      </c>
      <c r="Z48" s="67" t="e">
        <f t="shared" si="10"/>
        <v>#DIV/0!</v>
      </c>
      <c r="AA48" s="67" t="e">
        <f t="shared" si="10"/>
        <v>#DIV/0!</v>
      </c>
      <c r="AB48" s="67" t="e">
        <f t="shared" si="10"/>
        <v>#DIV/0!</v>
      </c>
      <c r="AC48" s="67" t="e">
        <f t="shared" si="10"/>
        <v>#DIV/0!</v>
      </c>
      <c r="AD48" s="67" t="e">
        <f t="shared" si="10"/>
        <v>#DIV/0!</v>
      </c>
      <c r="AE48" s="67" t="e">
        <f t="shared" si="10"/>
        <v>#DIV/0!</v>
      </c>
      <c r="AF48" s="67" t="e">
        <f t="shared" si="10"/>
        <v>#DIV/0!</v>
      </c>
      <c r="AG48" s="67" t="e">
        <f t="shared" si="10"/>
        <v>#DIV/0!</v>
      </c>
      <c r="AH48" s="67" t="e">
        <f t="shared" si="10"/>
        <v>#DIV/0!</v>
      </c>
      <c r="AI48" s="67" t="e">
        <f t="shared" si="10"/>
        <v>#DIV/0!</v>
      </c>
      <c r="AJ48" s="67" t="e">
        <f t="shared" si="10"/>
        <v>#DIV/0!</v>
      </c>
      <c r="AK48" s="67" t="e">
        <f t="shared" si="10"/>
        <v>#DIV/0!</v>
      </c>
      <c r="AL48" s="67" t="e">
        <f t="shared" si="10"/>
        <v>#DIV/0!</v>
      </c>
      <c r="AM48" s="67" t="e">
        <f t="shared" si="10"/>
        <v>#DIV/0!</v>
      </c>
      <c r="AN48" s="67" t="e">
        <f t="shared" si="10"/>
        <v>#DIV/0!</v>
      </c>
      <c r="AO48" s="67" t="e">
        <f t="shared" si="10"/>
        <v>#DIV/0!</v>
      </c>
      <c r="AP48" s="67" t="e">
        <f t="shared" si="10"/>
        <v>#DIV/0!</v>
      </c>
      <c r="AQ48" s="67" t="e">
        <f t="shared" si="10"/>
        <v>#DIV/0!</v>
      </c>
      <c r="AR48" s="67" t="e">
        <f t="shared" si="10"/>
        <v>#DIV/0!</v>
      </c>
      <c r="AS48" s="67" t="e">
        <f t="shared" si="10"/>
        <v>#DIV/0!</v>
      </c>
      <c r="AT48" s="67" t="e">
        <f t="shared" si="10"/>
        <v>#DIV/0!</v>
      </c>
      <c r="AU48" s="67" t="e">
        <f t="shared" si="10"/>
        <v>#DIV/0!</v>
      </c>
      <c r="AV48" s="67" t="e">
        <f t="shared" si="10"/>
        <v>#DIV/0!</v>
      </c>
      <c r="AW48" s="67" t="e">
        <f t="shared" si="10"/>
        <v>#DIV/0!</v>
      </c>
      <c r="AX48" s="67" t="e">
        <f t="shared" si="10"/>
        <v>#DIV/0!</v>
      </c>
      <c r="AY48" s="67" t="e">
        <f t="shared" si="10"/>
        <v>#DIV/0!</v>
      </c>
      <c r="AZ48" s="3"/>
    </row>
    <row r="50" spans="1:52" ht="14.25" customHeight="1">
      <c r="A50" s="103"/>
      <c r="E50" s="108" t="str">
        <f>'5GY EBRT Groups'!C8</f>
        <v>5x 5Gy EBRT</v>
      </c>
      <c r="H50" s="108" t="str">
        <f>E50</f>
        <v>5x 5Gy EBRT</v>
      </c>
      <c r="I50" s="230" t="s">
        <v>52</v>
      </c>
      <c r="J50" s="71">
        <f t="shared" ref="J50:AY50" si="11">COUNTIFS($E$5:$E$35,$E50,J$5:J$35,"Alive")</f>
        <v>8</v>
      </c>
      <c r="K50" s="71">
        <f t="shared" si="11"/>
        <v>8</v>
      </c>
      <c r="L50" s="71">
        <f t="shared" si="11"/>
        <v>8</v>
      </c>
      <c r="M50" s="71">
        <f t="shared" si="11"/>
        <v>8</v>
      </c>
      <c r="N50" s="71">
        <f t="shared" si="11"/>
        <v>8</v>
      </c>
      <c r="O50" s="71">
        <f t="shared" si="11"/>
        <v>8</v>
      </c>
      <c r="P50" s="71">
        <f t="shared" si="11"/>
        <v>7</v>
      </c>
      <c r="Q50" s="71">
        <f t="shared" si="11"/>
        <v>6</v>
      </c>
      <c r="R50" s="71">
        <f t="shared" si="11"/>
        <v>6</v>
      </c>
      <c r="S50" s="71">
        <f t="shared" si="11"/>
        <v>5</v>
      </c>
      <c r="T50" s="71">
        <f t="shared" si="11"/>
        <v>3</v>
      </c>
      <c r="U50" s="71">
        <f t="shared" si="11"/>
        <v>2</v>
      </c>
      <c r="V50" s="71">
        <f t="shared" si="11"/>
        <v>1</v>
      </c>
      <c r="W50" s="71">
        <f t="shared" si="11"/>
        <v>1</v>
      </c>
      <c r="X50" s="71">
        <f t="shared" si="11"/>
        <v>0</v>
      </c>
      <c r="Y50" s="71">
        <f t="shared" si="11"/>
        <v>0</v>
      </c>
      <c r="Z50" s="71">
        <f t="shared" si="11"/>
        <v>0</v>
      </c>
      <c r="AA50" s="71">
        <f t="shared" si="11"/>
        <v>0</v>
      </c>
      <c r="AB50" s="71">
        <f t="shared" si="11"/>
        <v>0</v>
      </c>
      <c r="AC50" s="71">
        <f t="shared" si="11"/>
        <v>0</v>
      </c>
      <c r="AD50" s="71">
        <f t="shared" si="11"/>
        <v>0</v>
      </c>
      <c r="AE50" s="71">
        <f t="shared" si="11"/>
        <v>0</v>
      </c>
      <c r="AF50" s="71">
        <f t="shared" si="11"/>
        <v>0</v>
      </c>
      <c r="AG50" s="71">
        <f t="shared" si="11"/>
        <v>0</v>
      </c>
      <c r="AH50" s="71">
        <f t="shared" si="11"/>
        <v>0</v>
      </c>
      <c r="AI50" s="71">
        <f t="shared" si="11"/>
        <v>0</v>
      </c>
      <c r="AJ50" s="71">
        <f t="shared" si="11"/>
        <v>0</v>
      </c>
      <c r="AK50" s="71">
        <f t="shared" si="11"/>
        <v>0</v>
      </c>
      <c r="AL50" s="71">
        <f t="shared" si="11"/>
        <v>0</v>
      </c>
      <c r="AM50" s="71">
        <f t="shared" si="11"/>
        <v>0</v>
      </c>
      <c r="AN50" s="71">
        <f t="shared" si="11"/>
        <v>0</v>
      </c>
      <c r="AO50" s="71">
        <f t="shared" si="11"/>
        <v>0</v>
      </c>
      <c r="AP50" s="71">
        <f t="shared" si="11"/>
        <v>0</v>
      </c>
      <c r="AQ50" s="71">
        <f t="shared" si="11"/>
        <v>0</v>
      </c>
      <c r="AR50" s="71">
        <f t="shared" si="11"/>
        <v>0</v>
      </c>
      <c r="AS50" s="71">
        <f t="shared" si="11"/>
        <v>0</v>
      </c>
      <c r="AT50" s="71">
        <f t="shared" si="11"/>
        <v>0</v>
      </c>
      <c r="AU50" s="71">
        <f t="shared" si="11"/>
        <v>0</v>
      </c>
      <c r="AV50" s="71">
        <f t="shared" si="11"/>
        <v>0</v>
      </c>
      <c r="AW50" s="71">
        <f t="shared" si="11"/>
        <v>0</v>
      </c>
      <c r="AX50" s="71">
        <f t="shared" si="11"/>
        <v>0</v>
      </c>
      <c r="AY50" s="71">
        <f t="shared" si="11"/>
        <v>0</v>
      </c>
      <c r="AZ50" s="69"/>
    </row>
    <row r="51" spans="1:52" ht="14.25" customHeight="1">
      <c r="A51" s="103"/>
      <c r="E51" s="83"/>
      <c r="H51" s="83"/>
      <c r="I51" s="230" t="s">
        <v>51</v>
      </c>
      <c r="J51" s="74">
        <f t="shared" ref="J51:AY51" si="12">COUNTIFS($E$5:$E$35,$E50,J$5:J$35,"Censored")</f>
        <v>0</v>
      </c>
      <c r="K51" s="74">
        <f t="shared" si="12"/>
        <v>0</v>
      </c>
      <c r="L51" s="74">
        <f t="shared" si="12"/>
        <v>0</v>
      </c>
      <c r="M51" s="74">
        <f t="shared" si="12"/>
        <v>0</v>
      </c>
      <c r="N51" s="74">
        <f t="shared" si="12"/>
        <v>0</v>
      </c>
      <c r="O51" s="74">
        <f t="shared" si="12"/>
        <v>0</v>
      </c>
      <c r="P51" s="74">
        <f t="shared" si="12"/>
        <v>0</v>
      </c>
      <c r="Q51" s="74">
        <f t="shared" si="12"/>
        <v>0</v>
      </c>
      <c r="R51" s="74">
        <f t="shared" si="12"/>
        <v>0</v>
      </c>
      <c r="S51" s="74">
        <f t="shared" si="12"/>
        <v>0</v>
      </c>
      <c r="T51" s="74">
        <f t="shared" si="12"/>
        <v>0</v>
      </c>
      <c r="U51" s="74">
        <f t="shared" si="12"/>
        <v>0</v>
      </c>
      <c r="V51" s="74">
        <f t="shared" si="12"/>
        <v>0</v>
      </c>
      <c r="W51" s="74">
        <f t="shared" si="12"/>
        <v>0</v>
      </c>
      <c r="X51" s="74">
        <f t="shared" si="12"/>
        <v>0</v>
      </c>
      <c r="Y51" s="74">
        <f t="shared" si="12"/>
        <v>0</v>
      </c>
      <c r="Z51" s="74">
        <f t="shared" si="12"/>
        <v>0</v>
      </c>
      <c r="AA51" s="74">
        <f t="shared" si="12"/>
        <v>0</v>
      </c>
      <c r="AB51" s="74">
        <f t="shared" si="12"/>
        <v>0</v>
      </c>
      <c r="AC51" s="74">
        <f t="shared" si="12"/>
        <v>0</v>
      </c>
      <c r="AD51" s="74">
        <f t="shared" si="12"/>
        <v>0</v>
      </c>
      <c r="AE51" s="74">
        <f t="shared" si="12"/>
        <v>0</v>
      </c>
      <c r="AF51" s="74">
        <f t="shared" si="12"/>
        <v>0</v>
      </c>
      <c r="AG51" s="74">
        <f t="shared" si="12"/>
        <v>0</v>
      </c>
      <c r="AH51" s="74">
        <f t="shared" si="12"/>
        <v>0</v>
      </c>
      <c r="AI51" s="74">
        <f t="shared" si="12"/>
        <v>0</v>
      </c>
      <c r="AJ51" s="74">
        <f t="shared" si="12"/>
        <v>0</v>
      </c>
      <c r="AK51" s="74">
        <f t="shared" si="12"/>
        <v>0</v>
      </c>
      <c r="AL51" s="74">
        <f t="shared" si="12"/>
        <v>0</v>
      </c>
      <c r="AM51" s="74">
        <f t="shared" si="12"/>
        <v>0</v>
      </c>
      <c r="AN51" s="74">
        <f t="shared" si="12"/>
        <v>0</v>
      </c>
      <c r="AO51" s="74">
        <f t="shared" si="12"/>
        <v>0</v>
      </c>
      <c r="AP51" s="74">
        <f t="shared" si="12"/>
        <v>0</v>
      </c>
      <c r="AQ51" s="74">
        <f t="shared" si="12"/>
        <v>0</v>
      </c>
      <c r="AR51" s="74">
        <f t="shared" si="12"/>
        <v>0</v>
      </c>
      <c r="AS51" s="74">
        <f t="shared" si="12"/>
        <v>0</v>
      </c>
      <c r="AT51" s="74">
        <f t="shared" si="12"/>
        <v>0</v>
      </c>
      <c r="AU51" s="74">
        <f t="shared" si="12"/>
        <v>0</v>
      </c>
      <c r="AV51" s="74">
        <f t="shared" si="12"/>
        <v>0</v>
      </c>
      <c r="AW51" s="74">
        <f t="shared" si="12"/>
        <v>0</v>
      </c>
      <c r="AX51" s="74">
        <f t="shared" si="12"/>
        <v>0</v>
      </c>
      <c r="AY51" s="74">
        <f t="shared" si="12"/>
        <v>0</v>
      </c>
      <c r="AZ51" s="69"/>
    </row>
    <row r="52" spans="1:52" ht="14.25" customHeight="1">
      <c r="E52" s="276"/>
      <c r="H52" s="83"/>
      <c r="I52" s="230" t="s">
        <v>53</v>
      </c>
      <c r="J52" s="67">
        <f>J50/(COUNTIFS($E$5:$E$35,$E50,J$5:J$35,"Alive")+COUNTIFS($E$5:$E$35,$E50,J$5:J$35,"Sacrificed")+COUNTIFS($E$5:$E$35,$E50,J$5:J$35,"Died"))</f>
        <v>1</v>
      </c>
      <c r="K52" s="67">
        <f t="shared" ref="K52:AY52" si="13">K50/(COUNTIFS($E$5:$E$35,$E50,K$5:K$35,"Alive")+COUNTIFS($E$5:$E$35,$E50,K$5:K$35,"Sacrificed")+COUNTIFS($E$5:$E$35,$E50,K$5:K$35,"Died"))*J52</f>
        <v>1</v>
      </c>
      <c r="L52" s="67">
        <f t="shared" si="13"/>
        <v>1</v>
      </c>
      <c r="M52" s="67">
        <f t="shared" si="13"/>
        <v>1</v>
      </c>
      <c r="N52" s="67">
        <f t="shared" si="13"/>
        <v>1</v>
      </c>
      <c r="O52" s="67">
        <f t="shared" si="13"/>
        <v>1</v>
      </c>
      <c r="P52" s="67">
        <f t="shared" si="13"/>
        <v>0.875</v>
      </c>
      <c r="Q52" s="67">
        <f t="shared" si="13"/>
        <v>0.75</v>
      </c>
      <c r="R52" s="67">
        <f t="shared" si="13"/>
        <v>0.75</v>
      </c>
      <c r="S52" s="67">
        <f t="shared" si="13"/>
        <v>0.625</v>
      </c>
      <c r="T52" s="67">
        <f t="shared" si="13"/>
        <v>0.375</v>
      </c>
      <c r="U52" s="67">
        <f t="shared" si="13"/>
        <v>0.25</v>
      </c>
      <c r="V52" s="67">
        <f t="shared" si="13"/>
        <v>0.125</v>
      </c>
      <c r="W52" s="67">
        <f t="shared" si="13"/>
        <v>0.125</v>
      </c>
      <c r="X52" s="67">
        <f t="shared" si="13"/>
        <v>0</v>
      </c>
      <c r="Y52" s="67" t="e">
        <f t="shared" si="13"/>
        <v>#DIV/0!</v>
      </c>
      <c r="Z52" s="67" t="e">
        <f t="shared" si="13"/>
        <v>#DIV/0!</v>
      </c>
      <c r="AA52" s="67" t="e">
        <f t="shared" si="13"/>
        <v>#DIV/0!</v>
      </c>
      <c r="AB52" s="67" t="e">
        <f t="shared" si="13"/>
        <v>#DIV/0!</v>
      </c>
      <c r="AC52" s="67" t="e">
        <f t="shared" si="13"/>
        <v>#DIV/0!</v>
      </c>
      <c r="AD52" s="67" t="e">
        <f t="shared" si="13"/>
        <v>#DIV/0!</v>
      </c>
      <c r="AE52" s="67" t="e">
        <f t="shared" si="13"/>
        <v>#DIV/0!</v>
      </c>
      <c r="AF52" s="67" t="e">
        <f t="shared" si="13"/>
        <v>#DIV/0!</v>
      </c>
      <c r="AG52" s="67" t="e">
        <f t="shared" si="13"/>
        <v>#DIV/0!</v>
      </c>
      <c r="AH52" s="67" t="e">
        <f t="shared" si="13"/>
        <v>#DIV/0!</v>
      </c>
      <c r="AI52" s="67" t="e">
        <f t="shared" si="13"/>
        <v>#DIV/0!</v>
      </c>
      <c r="AJ52" s="67" t="e">
        <f t="shared" si="13"/>
        <v>#DIV/0!</v>
      </c>
      <c r="AK52" s="67" t="e">
        <f t="shared" si="13"/>
        <v>#DIV/0!</v>
      </c>
      <c r="AL52" s="67" t="e">
        <f t="shared" si="13"/>
        <v>#DIV/0!</v>
      </c>
      <c r="AM52" s="67" t="e">
        <f t="shared" si="13"/>
        <v>#DIV/0!</v>
      </c>
      <c r="AN52" s="67" t="e">
        <f t="shared" si="13"/>
        <v>#DIV/0!</v>
      </c>
      <c r="AO52" s="67" t="e">
        <f t="shared" si="13"/>
        <v>#DIV/0!</v>
      </c>
      <c r="AP52" s="67" t="e">
        <f t="shared" si="13"/>
        <v>#DIV/0!</v>
      </c>
      <c r="AQ52" s="67" t="e">
        <f t="shared" si="13"/>
        <v>#DIV/0!</v>
      </c>
      <c r="AR52" s="67" t="e">
        <f t="shared" si="13"/>
        <v>#DIV/0!</v>
      </c>
      <c r="AS52" s="67" t="e">
        <f t="shared" si="13"/>
        <v>#DIV/0!</v>
      </c>
      <c r="AT52" s="67" t="e">
        <f t="shared" si="13"/>
        <v>#DIV/0!</v>
      </c>
      <c r="AU52" s="67" t="e">
        <f t="shared" si="13"/>
        <v>#DIV/0!</v>
      </c>
      <c r="AV52" s="67" t="e">
        <f t="shared" si="13"/>
        <v>#DIV/0!</v>
      </c>
      <c r="AW52" s="67" t="e">
        <f t="shared" si="13"/>
        <v>#DIV/0!</v>
      </c>
      <c r="AX52" s="67" t="e">
        <f t="shared" si="13"/>
        <v>#DIV/0!</v>
      </c>
      <c r="AY52" s="67" t="e">
        <f t="shared" si="13"/>
        <v>#DIV/0!</v>
      </c>
      <c r="AZ52" s="3"/>
    </row>
    <row r="54" spans="1:52" ht="14.25" customHeight="1">
      <c r="A54" s="103"/>
      <c r="E54" s="108" t="str">
        <f>'5GY EBRT Groups'!C9</f>
        <v>5x 5Gy EBRT Combo</v>
      </c>
      <c r="H54" s="108" t="str">
        <f>E54</f>
        <v>5x 5Gy EBRT Combo</v>
      </c>
      <c r="I54" s="230" t="s">
        <v>52</v>
      </c>
      <c r="J54" s="71">
        <f t="shared" ref="J54:AY54" si="14">COUNTIFS($E$5:$E$35,$E54,J$5:J$35,"Alive")</f>
        <v>8</v>
      </c>
      <c r="K54" s="71">
        <f t="shared" si="14"/>
        <v>8</v>
      </c>
      <c r="L54" s="71">
        <f t="shared" si="14"/>
        <v>8</v>
      </c>
      <c r="M54" s="71">
        <f t="shared" si="14"/>
        <v>8</v>
      </c>
      <c r="N54" s="71">
        <f t="shared" si="14"/>
        <v>7</v>
      </c>
      <c r="O54" s="71">
        <f t="shared" si="14"/>
        <v>7</v>
      </c>
      <c r="P54" s="71">
        <f t="shared" si="14"/>
        <v>7</v>
      </c>
      <c r="Q54" s="71">
        <f t="shared" si="14"/>
        <v>6</v>
      </c>
      <c r="R54" s="71">
        <f t="shared" si="14"/>
        <v>6</v>
      </c>
      <c r="S54" s="71">
        <f t="shared" si="14"/>
        <v>6</v>
      </c>
      <c r="T54" s="71">
        <f t="shared" si="14"/>
        <v>6</v>
      </c>
      <c r="U54" s="71">
        <f t="shared" si="14"/>
        <v>4</v>
      </c>
      <c r="V54" s="71">
        <f t="shared" si="14"/>
        <v>1</v>
      </c>
      <c r="W54" s="71">
        <f t="shared" si="14"/>
        <v>0</v>
      </c>
      <c r="X54" s="71">
        <f t="shared" si="14"/>
        <v>0</v>
      </c>
      <c r="Y54" s="71">
        <f t="shared" si="14"/>
        <v>0</v>
      </c>
      <c r="Z54" s="71">
        <f t="shared" si="14"/>
        <v>0</v>
      </c>
      <c r="AA54" s="71">
        <f t="shared" si="14"/>
        <v>0</v>
      </c>
      <c r="AB54" s="71">
        <f t="shared" si="14"/>
        <v>0</v>
      </c>
      <c r="AC54" s="71">
        <f t="shared" si="14"/>
        <v>0</v>
      </c>
      <c r="AD54" s="71">
        <f t="shared" si="14"/>
        <v>0</v>
      </c>
      <c r="AE54" s="71">
        <f t="shared" si="14"/>
        <v>0</v>
      </c>
      <c r="AF54" s="71">
        <f t="shared" si="14"/>
        <v>0</v>
      </c>
      <c r="AG54" s="71">
        <f t="shared" si="14"/>
        <v>0</v>
      </c>
      <c r="AH54" s="71">
        <f t="shared" si="14"/>
        <v>0</v>
      </c>
      <c r="AI54" s="71">
        <f t="shared" si="14"/>
        <v>0</v>
      </c>
      <c r="AJ54" s="71">
        <f t="shared" si="14"/>
        <v>0</v>
      </c>
      <c r="AK54" s="71">
        <f t="shared" si="14"/>
        <v>0</v>
      </c>
      <c r="AL54" s="71">
        <f t="shared" si="14"/>
        <v>0</v>
      </c>
      <c r="AM54" s="71">
        <f t="shared" si="14"/>
        <v>0</v>
      </c>
      <c r="AN54" s="71">
        <f t="shared" si="14"/>
        <v>0</v>
      </c>
      <c r="AO54" s="71">
        <f t="shared" si="14"/>
        <v>0</v>
      </c>
      <c r="AP54" s="71">
        <f t="shared" si="14"/>
        <v>0</v>
      </c>
      <c r="AQ54" s="71">
        <f t="shared" si="14"/>
        <v>0</v>
      </c>
      <c r="AR54" s="71">
        <f t="shared" si="14"/>
        <v>0</v>
      </c>
      <c r="AS54" s="71">
        <f t="shared" si="14"/>
        <v>0</v>
      </c>
      <c r="AT54" s="71">
        <f t="shared" si="14"/>
        <v>0</v>
      </c>
      <c r="AU54" s="71">
        <f t="shared" si="14"/>
        <v>0</v>
      </c>
      <c r="AV54" s="71">
        <f t="shared" si="14"/>
        <v>0</v>
      </c>
      <c r="AW54" s="71">
        <f t="shared" si="14"/>
        <v>0</v>
      </c>
      <c r="AX54" s="71">
        <f t="shared" si="14"/>
        <v>0</v>
      </c>
      <c r="AY54" s="71">
        <f t="shared" si="14"/>
        <v>0</v>
      </c>
      <c r="AZ54" s="69"/>
    </row>
    <row r="55" spans="1:52" ht="14.25" customHeight="1">
      <c r="A55" s="103"/>
      <c r="E55" s="83"/>
      <c r="H55" s="83"/>
      <c r="I55" s="230" t="s">
        <v>51</v>
      </c>
      <c r="J55" s="74">
        <f t="shared" ref="J55:AY55" si="15">COUNTIFS($E$5:$E$35,$E54,J$5:J$35,"Censored")</f>
        <v>0</v>
      </c>
      <c r="K55" s="74">
        <f t="shared" si="15"/>
        <v>0</v>
      </c>
      <c r="L55" s="74">
        <f t="shared" si="15"/>
        <v>0</v>
      </c>
      <c r="M55" s="74">
        <f t="shared" si="15"/>
        <v>0</v>
      </c>
      <c r="N55" s="74">
        <f t="shared" si="15"/>
        <v>0</v>
      </c>
      <c r="O55" s="74">
        <f t="shared" si="15"/>
        <v>0</v>
      </c>
      <c r="P55" s="74">
        <f t="shared" si="15"/>
        <v>0</v>
      </c>
      <c r="Q55" s="74">
        <f t="shared" si="15"/>
        <v>0</v>
      </c>
      <c r="R55" s="74">
        <f t="shared" si="15"/>
        <v>0</v>
      </c>
      <c r="S55" s="74">
        <f t="shared" si="15"/>
        <v>0</v>
      </c>
      <c r="T55" s="74">
        <f t="shared" si="15"/>
        <v>0</v>
      </c>
      <c r="U55" s="74">
        <f t="shared" si="15"/>
        <v>0</v>
      </c>
      <c r="V55" s="74">
        <f t="shared" si="15"/>
        <v>0</v>
      </c>
      <c r="W55" s="74">
        <f t="shared" si="15"/>
        <v>0</v>
      </c>
      <c r="X55" s="74">
        <f t="shared" si="15"/>
        <v>0</v>
      </c>
      <c r="Y55" s="74">
        <f t="shared" si="15"/>
        <v>0</v>
      </c>
      <c r="Z55" s="74">
        <f t="shared" si="15"/>
        <v>0</v>
      </c>
      <c r="AA55" s="74">
        <f t="shared" si="15"/>
        <v>0</v>
      </c>
      <c r="AB55" s="74">
        <f t="shared" si="15"/>
        <v>0</v>
      </c>
      <c r="AC55" s="74">
        <f t="shared" si="15"/>
        <v>0</v>
      </c>
      <c r="AD55" s="74">
        <f t="shared" si="15"/>
        <v>0</v>
      </c>
      <c r="AE55" s="74">
        <f t="shared" si="15"/>
        <v>0</v>
      </c>
      <c r="AF55" s="74">
        <f t="shared" si="15"/>
        <v>0</v>
      </c>
      <c r="AG55" s="74">
        <f t="shared" si="15"/>
        <v>0</v>
      </c>
      <c r="AH55" s="74">
        <f t="shared" si="15"/>
        <v>0</v>
      </c>
      <c r="AI55" s="74">
        <f t="shared" si="15"/>
        <v>0</v>
      </c>
      <c r="AJ55" s="74">
        <f t="shared" si="15"/>
        <v>0</v>
      </c>
      <c r="AK55" s="74">
        <f t="shared" si="15"/>
        <v>0</v>
      </c>
      <c r="AL55" s="74">
        <f t="shared" si="15"/>
        <v>0</v>
      </c>
      <c r="AM55" s="74">
        <f t="shared" si="15"/>
        <v>0</v>
      </c>
      <c r="AN55" s="74">
        <f t="shared" si="15"/>
        <v>0</v>
      </c>
      <c r="AO55" s="74">
        <f t="shared" si="15"/>
        <v>0</v>
      </c>
      <c r="AP55" s="74">
        <f t="shared" si="15"/>
        <v>0</v>
      </c>
      <c r="AQ55" s="74">
        <f t="shared" si="15"/>
        <v>0</v>
      </c>
      <c r="AR55" s="74">
        <f t="shared" si="15"/>
        <v>0</v>
      </c>
      <c r="AS55" s="74">
        <f t="shared" si="15"/>
        <v>0</v>
      </c>
      <c r="AT55" s="74">
        <f t="shared" si="15"/>
        <v>0</v>
      </c>
      <c r="AU55" s="74">
        <f t="shared" si="15"/>
        <v>0</v>
      </c>
      <c r="AV55" s="74">
        <f t="shared" si="15"/>
        <v>0</v>
      </c>
      <c r="AW55" s="74">
        <f t="shared" si="15"/>
        <v>0</v>
      </c>
      <c r="AX55" s="74">
        <f t="shared" si="15"/>
        <v>0</v>
      </c>
      <c r="AY55" s="74">
        <f t="shared" si="15"/>
        <v>0</v>
      </c>
      <c r="AZ55" s="69"/>
    </row>
    <row r="56" spans="1:52" ht="14.25" customHeight="1">
      <c r="E56" s="276"/>
      <c r="H56" s="83"/>
      <c r="I56" s="230" t="s">
        <v>53</v>
      </c>
      <c r="J56" s="67">
        <f>J54/(COUNTIFS($E$5:$E$35,$E54,J$5:J$35,"Alive")+COUNTIFS($E$5:$E$35,$E54,J$5:J$35,"Sacrificed")+COUNTIFS($E$5:$E$35,$E54,J$5:J$35,"Died"))</f>
        <v>1</v>
      </c>
      <c r="K56" s="67">
        <f t="shared" ref="K56:AY56" si="16">K54/(COUNTIFS($E$5:$E$35,$E54,K$5:K$35,"Alive")+COUNTIFS($E$5:$E$35,$E54,K$5:K$35,"Sacrificed")+COUNTIFS($E$5:$E$35,$E54,K$5:K$35,"Died"))*J56</f>
        <v>1</v>
      </c>
      <c r="L56" s="67">
        <f t="shared" si="16"/>
        <v>1</v>
      </c>
      <c r="M56" s="67">
        <f t="shared" si="16"/>
        <v>1</v>
      </c>
      <c r="N56" s="67">
        <f t="shared" si="16"/>
        <v>0.875</v>
      </c>
      <c r="O56" s="67">
        <f t="shared" si="16"/>
        <v>0.875</v>
      </c>
      <c r="P56" s="67">
        <f t="shared" si="16"/>
        <v>0.875</v>
      </c>
      <c r="Q56" s="67">
        <f t="shared" si="16"/>
        <v>0.75</v>
      </c>
      <c r="R56" s="67">
        <f t="shared" si="16"/>
        <v>0.75</v>
      </c>
      <c r="S56" s="67">
        <f t="shared" si="16"/>
        <v>0.75</v>
      </c>
      <c r="T56" s="67">
        <f t="shared" si="16"/>
        <v>0.75</v>
      </c>
      <c r="U56" s="67">
        <f t="shared" si="16"/>
        <v>0.5</v>
      </c>
      <c r="V56" s="67">
        <f t="shared" si="16"/>
        <v>0.125</v>
      </c>
      <c r="W56" s="67">
        <f t="shared" si="16"/>
        <v>0</v>
      </c>
      <c r="X56" s="67" t="e">
        <f t="shared" si="16"/>
        <v>#DIV/0!</v>
      </c>
      <c r="Y56" s="67" t="e">
        <f t="shared" si="16"/>
        <v>#DIV/0!</v>
      </c>
      <c r="Z56" s="67" t="e">
        <f t="shared" si="16"/>
        <v>#DIV/0!</v>
      </c>
      <c r="AA56" s="67" t="e">
        <f t="shared" si="16"/>
        <v>#DIV/0!</v>
      </c>
      <c r="AB56" s="67" t="e">
        <f t="shared" si="16"/>
        <v>#DIV/0!</v>
      </c>
      <c r="AC56" s="67" t="e">
        <f t="shared" si="16"/>
        <v>#DIV/0!</v>
      </c>
      <c r="AD56" s="67" t="e">
        <f t="shared" si="16"/>
        <v>#DIV/0!</v>
      </c>
      <c r="AE56" s="67" t="e">
        <f t="shared" si="16"/>
        <v>#DIV/0!</v>
      </c>
      <c r="AF56" s="67" t="e">
        <f t="shared" si="16"/>
        <v>#DIV/0!</v>
      </c>
      <c r="AG56" s="67" t="e">
        <f t="shared" si="16"/>
        <v>#DIV/0!</v>
      </c>
      <c r="AH56" s="67" t="e">
        <f t="shared" si="16"/>
        <v>#DIV/0!</v>
      </c>
      <c r="AI56" s="67" t="e">
        <f t="shared" si="16"/>
        <v>#DIV/0!</v>
      </c>
      <c r="AJ56" s="67" t="e">
        <f t="shared" si="16"/>
        <v>#DIV/0!</v>
      </c>
      <c r="AK56" s="67" t="e">
        <f t="shared" si="16"/>
        <v>#DIV/0!</v>
      </c>
      <c r="AL56" s="67" t="e">
        <f t="shared" si="16"/>
        <v>#DIV/0!</v>
      </c>
      <c r="AM56" s="67" t="e">
        <f t="shared" si="16"/>
        <v>#DIV/0!</v>
      </c>
      <c r="AN56" s="67" t="e">
        <f t="shared" si="16"/>
        <v>#DIV/0!</v>
      </c>
      <c r="AO56" s="67" t="e">
        <f t="shared" si="16"/>
        <v>#DIV/0!</v>
      </c>
      <c r="AP56" s="67" t="e">
        <f t="shared" si="16"/>
        <v>#DIV/0!</v>
      </c>
      <c r="AQ56" s="67" t="e">
        <f t="shared" si="16"/>
        <v>#DIV/0!</v>
      </c>
      <c r="AR56" s="67" t="e">
        <f t="shared" si="16"/>
        <v>#DIV/0!</v>
      </c>
      <c r="AS56" s="67" t="e">
        <f t="shared" si="16"/>
        <v>#DIV/0!</v>
      </c>
      <c r="AT56" s="67" t="e">
        <f t="shared" si="16"/>
        <v>#DIV/0!</v>
      </c>
      <c r="AU56" s="67" t="e">
        <f t="shared" si="16"/>
        <v>#DIV/0!</v>
      </c>
      <c r="AV56" s="67" t="e">
        <f t="shared" si="16"/>
        <v>#DIV/0!</v>
      </c>
      <c r="AW56" s="67" t="e">
        <f t="shared" si="16"/>
        <v>#DIV/0!</v>
      </c>
      <c r="AX56" s="67" t="e">
        <f t="shared" si="16"/>
        <v>#DIV/0!</v>
      </c>
      <c r="AY56" s="67" t="e">
        <f t="shared" si="16"/>
        <v>#DIV/0!</v>
      </c>
      <c r="AZ56" s="3"/>
    </row>
    <row r="58" spans="1:52" ht="14.25" customHeight="1">
      <c r="A58" s="103"/>
      <c r="E58" s="108" t="str">
        <f>'5GY EBRT Groups'!C10</f>
        <v>Group 5</v>
      </c>
      <c r="H58" s="108" t="str">
        <f>E58</f>
        <v>Group 5</v>
      </c>
      <c r="I58" s="230" t="s">
        <v>52</v>
      </c>
      <c r="J58" s="71">
        <f t="shared" ref="J58:AY58" si="17">COUNTIFS($E$5:$E$35,$E58,J$5:J$35,"Alive")</f>
        <v>0</v>
      </c>
      <c r="K58" s="71">
        <f t="shared" si="17"/>
        <v>0</v>
      </c>
      <c r="L58" s="71">
        <f t="shared" si="17"/>
        <v>0</v>
      </c>
      <c r="M58" s="71">
        <f t="shared" si="17"/>
        <v>0</v>
      </c>
      <c r="N58" s="71">
        <f t="shared" si="17"/>
        <v>0</v>
      </c>
      <c r="O58" s="71">
        <f t="shared" si="17"/>
        <v>0</v>
      </c>
      <c r="P58" s="71">
        <f t="shared" si="17"/>
        <v>0</v>
      </c>
      <c r="Q58" s="71">
        <f t="shared" si="17"/>
        <v>0</v>
      </c>
      <c r="R58" s="71">
        <f t="shared" si="17"/>
        <v>0</v>
      </c>
      <c r="S58" s="71">
        <f t="shared" si="17"/>
        <v>0</v>
      </c>
      <c r="T58" s="71">
        <f t="shared" si="17"/>
        <v>0</v>
      </c>
      <c r="U58" s="71">
        <f t="shared" si="17"/>
        <v>0</v>
      </c>
      <c r="V58" s="71">
        <f t="shared" si="17"/>
        <v>0</v>
      </c>
      <c r="W58" s="71">
        <f t="shared" si="17"/>
        <v>0</v>
      </c>
      <c r="X58" s="71">
        <f t="shared" si="17"/>
        <v>0</v>
      </c>
      <c r="Y58" s="71">
        <f t="shared" si="17"/>
        <v>0</v>
      </c>
      <c r="Z58" s="71">
        <f t="shared" si="17"/>
        <v>0</v>
      </c>
      <c r="AA58" s="71">
        <f t="shared" si="17"/>
        <v>0</v>
      </c>
      <c r="AB58" s="71">
        <f t="shared" si="17"/>
        <v>0</v>
      </c>
      <c r="AC58" s="71">
        <f t="shared" si="17"/>
        <v>0</v>
      </c>
      <c r="AD58" s="71">
        <f t="shared" si="17"/>
        <v>0</v>
      </c>
      <c r="AE58" s="71">
        <f t="shared" si="17"/>
        <v>0</v>
      </c>
      <c r="AF58" s="71">
        <f t="shared" si="17"/>
        <v>0</v>
      </c>
      <c r="AG58" s="71">
        <f t="shared" si="17"/>
        <v>0</v>
      </c>
      <c r="AH58" s="71">
        <f t="shared" si="17"/>
        <v>0</v>
      </c>
      <c r="AI58" s="71">
        <f t="shared" si="17"/>
        <v>0</v>
      </c>
      <c r="AJ58" s="71">
        <f t="shared" si="17"/>
        <v>0</v>
      </c>
      <c r="AK58" s="71">
        <f t="shared" si="17"/>
        <v>0</v>
      </c>
      <c r="AL58" s="71">
        <f t="shared" si="17"/>
        <v>0</v>
      </c>
      <c r="AM58" s="71">
        <f t="shared" si="17"/>
        <v>0</v>
      </c>
      <c r="AN58" s="71">
        <f t="shared" si="17"/>
        <v>0</v>
      </c>
      <c r="AO58" s="71">
        <f t="shared" si="17"/>
        <v>0</v>
      </c>
      <c r="AP58" s="71">
        <f t="shared" si="17"/>
        <v>0</v>
      </c>
      <c r="AQ58" s="71">
        <f t="shared" si="17"/>
        <v>0</v>
      </c>
      <c r="AR58" s="71">
        <f t="shared" si="17"/>
        <v>0</v>
      </c>
      <c r="AS58" s="71">
        <f t="shared" si="17"/>
        <v>0</v>
      </c>
      <c r="AT58" s="71">
        <f t="shared" si="17"/>
        <v>0</v>
      </c>
      <c r="AU58" s="71">
        <f t="shared" si="17"/>
        <v>0</v>
      </c>
      <c r="AV58" s="71">
        <f t="shared" si="17"/>
        <v>0</v>
      </c>
      <c r="AW58" s="71">
        <f t="shared" si="17"/>
        <v>0</v>
      </c>
      <c r="AX58" s="71">
        <f t="shared" si="17"/>
        <v>0</v>
      </c>
      <c r="AY58" s="71">
        <f t="shared" si="17"/>
        <v>0</v>
      </c>
      <c r="AZ58" s="69"/>
    </row>
    <row r="59" spans="1:52" ht="14.25" customHeight="1">
      <c r="A59" s="103"/>
      <c r="E59" s="83"/>
      <c r="H59" s="83"/>
      <c r="I59" s="230" t="s">
        <v>51</v>
      </c>
      <c r="J59" s="74">
        <f t="shared" ref="J59:AY59" si="18">COUNTIFS($E$5:$E$35,$E58,J$5:J$35,"Censored")</f>
        <v>0</v>
      </c>
      <c r="K59" s="74">
        <f t="shared" si="18"/>
        <v>0</v>
      </c>
      <c r="L59" s="74">
        <f t="shared" si="18"/>
        <v>0</v>
      </c>
      <c r="M59" s="74">
        <f t="shared" si="18"/>
        <v>0</v>
      </c>
      <c r="N59" s="74">
        <f t="shared" si="18"/>
        <v>0</v>
      </c>
      <c r="O59" s="74">
        <f t="shared" si="18"/>
        <v>0</v>
      </c>
      <c r="P59" s="74">
        <f t="shared" si="18"/>
        <v>0</v>
      </c>
      <c r="Q59" s="74">
        <f t="shared" si="18"/>
        <v>0</v>
      </c>
      <c r="R59" s="74">
        <f t="shared" si="18"/>
        <v>0</v>
      </c>
      <c r="S59" s="74">
        <f t="shared" si="18"/>
        <v>0</v>
      </c>
      <c r="T59" s="74">
        <f t="shared" si="18"/>
        <v>0</v>
      </c>
      <c r="U59" s="74">
        <f t="shared" si="18"/>
        <v>0</v>
      </c>
      <c r="V59" s="74">
        <f t="shared" si="18"/>
        <v>0</v>
      </c>
      <c r="W59" s="74">
        <f t="shared" si="18"/>
        <v>0</v>
      </c>
      <c r="X59" s="74">
        <f t="shared" si="18"/>
        <v>0</v>
      </c>
      <c r="Y59" s="74">
        <f t="shared" si="18"/>
        <v>0</v>
      </c>
      <c r="Z59" s="74">
        <f t="shared" si="18"/>
        <v>0</v>
      </c>
      <c r="AA59" s="74">
        <f t="shared" si="18"/>
        <v>0</v>
      </c>
      <c r="AB59" s="74">
        <f t="shared" si="18"/>
        <v>0</v>
      </c>
      <c r="AC59" s="74">
        <f t="shared" si="18"/>
        <v>0</v>
      </c>
      <c r="AD59" s="74">
        <f t="shared" si="18"/>
        <v>0</v>
      </c>
      <c r="AE59" s="74">
        <f t="shared" si="18"/>
        <v>0</v>
      </c>
      <c r="AF59" s="74">
        <f t="shared" si="18"/>
        <v>0</v>
      </c>
      <c r="AG59" s="74">
        <f t="shared" si="18"/>
        <v>0</v>
      </c>
      <c r="AH59" s="74">
        <f t="shared" si="18"/>
        <v>0</v>
      </c>
      <c r="AI59" s="74">
        <f t="shared" si="18"/>
        <v>0</v>
      </c>
      <c r="AJ59" s="74">
        <f t="shared" si="18"/>
        <v>0</v>
      </c>
      <c r="AK59" s="74">
        <f t="shared" si="18"/>
        <v>0</v>
      </c>
      <c r="AL59" s="74">
        <f t="shared" si="18"/>
        <v>0</v>
      </c>
      <c r="AM59" s="74">
        <f t="shared" si="18"/>
        <v>0</v>
      </c>
      <c r="AN59" s="74">
        <f t="shared" si="18"/>
        <v>0</v>
      </c>
      <c r="AO59" s="74">
        <f t="shared" si="18"/>
        <v>0</v>
      </c>
      <c r="AP59" s="74">
        <f t="shared" si="18"/>
        <v>0</v>
      </c>
      <c r="AQ59" s="74">
        <f t="shared" si="18"/>
        <v>0</v>
      </c>
      <c r="AR59" s="74">
        <f t="shared" si="18"/>
        <v>0</v>
      </c>
      <c r="AS59" s="74">
        <f t="shared" si="18"/>
        <v>0</v>
      </c>
      <c r="AT59" s="74">
        <f t="shared" si="18"/>
        <v>0</v>
      </c>
      <c r="AU59" s="74">
        <f t="shared" si="18"/>
        <v>0</v>
      </c>
      <c r="AV59" s="74">
        <f t="shared" si="18"/>
        <v>0</v>
      </c>
      <c r="AW59" s="74">
        <f t="shared" si="18"/>
        <v>0</v>
      </c>
      <c r="AX59" s="74">
        <f t="shared" si="18"/>
        <v>0</v>
      </c>
      <c r="AY59" s="74">
        <f t="shared" si="18"/>
        <v>0</v>
      </c>
      <c r="AZ59" s="69"/>
    </row>
    <row r="60" spans="1:52" ht="14.25" customHeight="1">
      <c r="E60" s="276"/>
      <c r="H60" s="83"/>
      <c r="I60" s="230" t="s">
        <v>53</v>
      </c>
      <c r="J60" s="67" t="e">
        <f>J58/(COUNTIFS($E$5:$E$35,$E58,J$5:J$35,"Alive")+COUNTIFS($E$5:$E$35,$E58,J$5:J$35,"Sacrificed")+COUNTIFS($E$5:$E$35,$E58,J$5:J$35,"Died"))</f>
        <v>#DIV/0!</v>
      </c>
      <c r="K60" s="67" t="e">
        <f t="shared" ref="K60:AY60" si="19">K58/(COUNTIFS($E$5:$E$35,$E58,K$5:K$35,"Alive")+COUNTIFS($E$5:$E$35,$E58,K$5:K$35,"Sacrificed")+COUNTIFS($E$5:$E$35,$E58,K$5:K$35,"Died"))*J60</f>
        <v>#DIV/0!</v>
      </c>
      <c r="L60" s="67" t="e">
        <f t="shared" si="19"/>
        <v>#DIV/0!</v>
      </c>
      <c r="M60" s="67" t="e">
        <f t="shared" si="19"/>
        <v>#DIV/0!</v>
      </c>
      <c r="N60" s="67" t="e">
        <f t="shared" si="19"/>
        <v>#DIV/0!</v>
      </c>
      <c r="O60" s="67" t="e">
        <f t="shared" si="19"/>
        <v>#DIV/0!</v>
      </c>
      <c r="P60" s="67" t="e">
        <f t="shared" si="19"/>
        <v>#DIV/0!</v>
      </c>
      <c r="Q60" s="67" t="e">
        <f t="shared" si="19"/>
        <v>#DIV/0!</v>
      </c>
      <c r="R60" s="67" t="e">
        <f t="shared" si="19"/>
        <v>#DIV/0!</v>
      </c>
      <c r="S60" s="67" t="e">
        <f t="shared" si="19"/>
        <v>#DIV/0!</v>
      </c>
      <c r="T60" s="67" t="e">
        <f t="shared" si="19"/>
        <v>#DIV/0!</v>
      </c>
      <c r="U60" s="67" t="e">
        <f t="shared" si="19"/>
        <v>#DIV/0!</v>
      </c>
      <c r="V60" s="67" t="e">
        <f t="shared" si="19"/>
        <v>#DIV/0!</v>
      </c>
      <c r="W60" s="67" t="e">
        <f t="shared" si="19"/>
        <v>#DIV/0!</v>
      </c>
      <c r="X60" s="67" t="e">
        <f t="shared" si="19"/>
        <v>#DIV/0!</v>
      </c>
      <c r="Y60" s="67" t="e">
        <f t="shared" si="19"/>
        <v>#DIV/0!</v>
      </c>
      <c r="Z60" s="67" t="e">
        <f t="shared" si="19"/>
        <v>#DIV/0!</v>
      </c>
      <c r="AA60" s="67" t="e">
        <f t="shared" si="19"/>
        <v>#DIV/0!</v>
      </c>
      <c r="AB60" s="67" t="e">
        <f t="shared" si="19"/>
        <v>#DIV/0!</v>
      </c>
      <c r="AC60" s="67" t="e">
        <f t="shared" si="19"/>
        <v>#DIV/0!</v>
      </c>
      <c r="AD60" s="67" t="e">
        <f t="shared" si="19"/>
        <v>#DIV/0!</v>
      </c>
      <c r="AE60" s="67" t="e">
        <f t="shared" si="19"/>
        <v>#DIV/0!</v>
      </c>
      <c r="AF60" s="67" t="e">
        <f t="shared" si="19"/>
        <v>#DIV/0!</v>
      </c>
      <c r="AG60" s="67" t="e">
        <f t="shared" si="19"/>
        <v>#DIV/0!</v>
      </c>
      <c r="AH60" s="67" t="e">
        <f t="shared" si="19"/>
        <v>#DIV/0!</v>
      </c>
      <c r="AI60" s="67" t="e">
        <f t="shared" si="19"/>
        <v>#DIV/0!</v>
      </c>
      <c r="AJ60" s="67" t="e">
        <f t="shared" si="19"/>
        <v>#DIV/0!</v>
      </c>
      <c r="AK60" s="67" t="e">
        <f t="shared" si="19"/>
        <v>#DIV/0!</v>
      </c>
      <c r="AL60" s="67" t="e">
        <f t="shared" si="19"/>
        <v>#DIV/0!</v>
      </c>
      <c r="AM60" s="67" t="e">
        <f t="shared" si="19"/>
        <v>#DIV/0!</v>
      </c>
      <c r="AN60" s="67" t="e">
        <f t="shared" si="19"/>
        <v>#DIV/0!</v>
      </c>
      <c r="AO60" s="67" t="e">
        <f t="shared" si="19"/>
        <v>#DIV/0!</v>
      </c>
      <c r="AP60" s="67" t="e">
        <f t="shared" si="19"/>
        <v>#DIV/0!</v>
      </c>
      <c r="AQ60" s="67" t="e">
        <f t="shared" si="19"/>
        <v>#DIV/0!</v>
      </c>
      <c r="AR60" s="67" t="e">
        <f t="shared" si="19"/>
        <v>#DIV/0!</v>
      </c>
      <c r="AS60" s="67" t="e">
        <f t="shared" si="19"/>
        <v>#DIV/0!</v>
      </c>
      <c r="AT60" s="67" t="e">
        <f t="shared" si="19"/>
        <v>#DIV/0!</v>
      </c>
      <c r="AU60" s="67" t="e">
        <f t="shared" si="19"/>
        <v>#DIV/0!</v>
      </c>
      <c r="AV60" s="67" t="e">
        <f t="shared" si="19"/>
        <v>#DIV/0!</v>
      </c>
      <c r="AW60" s="67" t="e">
        <f t="shared" si="19"/>
        <v>#DIV/0!</v>
      </c>
      <c r="AX60" s="67" t="e">
        <f t="shared" si="19"/>
        <v>#DIV/0!</v>
      </c>
      <c r="AY60" s="67" t="e">
        <f t="shared" si="19"/>
        <v>#DIV/0!</v>
      </c>
      <c r="AZ60" s="3"/>
    </row>
    <row r="62" spans="1:52" ht="14.25" customHeight="1">
      <c r="A62" s="103"/>
      <c r="E62" s="108" t="str">
        <f>'5GY EBRT Groups'!C11</f>
        <v>Group 6</v>
      </c>
      <c r="H62" s="108" t="str">
        <f>E62</f>
        <v>Group 6</v>
      </c>
      <c r="I62" s="230" t="s">
        <v>52</v>
      </c>
      <c r="J62" s="71">
        <f t="shared" ref="J62:AY62" si="20">COUNTIFS($E$5:$E$35,$E62,J$5:J$35,"Alive")</f>
        <v>0</v>
      </c>
      <c r="K62" s="71">
        <f t="shared" si="20"/>
        <v>0</v>
      </c>
      <c r="L62" s="71">
        <f t="shared" si="20"/>
        <v>0</v>
      </c>
      <c r="M62" s="71">
        <f t="shared" si="20"/>
        <v>0</v>
      </c>
      <c r="N62" s="71">
        <f t="shared" si="20"/>
        <v>0</v>
      </c>
      <c r="O62" s="71">
        <f t="shared" si="20"/>
        <v>0</v>
      </c>
      <c r="P62" s="71">
        <f t="shared" si="20"/>
        <v>0</v>
      </c>
      <c r="Q62" s="71">
        <f t="shared" si="20"/>
        <v>0</v>
      </c>
      <c r="R62" s="71">
        <f t="shared" si="20"/>
        <v>0</v>
      </c>
      <c r="S62" s="71">
        <f t="shared" si="20"/>
        <v>0</v>
      </c>
      <c r="T62" s="71">
        <f t="shared" si="20"/>
        <v>0</v>
      </c>
      <c r="U62" s="71">
        <f t="shared" si="20"/>
        <v>0</v>
      </c>
      <c r="V62" s="71">
        <f t="shared" si="20"/>
        <v>0</v>
      </c>
      <c r="W62" s="71">
        <f t="shared" si="20"/>
        <v>0</v>
      </c>
      <c r="X62" s="71">
        <f t="shared" si="20"/>
        <v>0</v>
      </c>
      <c r="Y62" s="71">
        <f t="shared" si="20"/>
        <v>0</v>
      </c>
      <c r="Z62" s="71">
        <f t="shared" si="20"/>
        <v>0</v>
      </c>
      <c r="AA62" s="71">
        <f t="shared" si="20"/>
        <v>0</v>
      </c>
      <c r="AB62" s="71">
        <f t="shared" si="20"/>
        <v>0</v>
      </c>
      <c r="AC62" s="71">
        <f t="shared" si="20"/>
        <v>0</v>
      </c>
      <c r="AD62" s="71">
        <f t="shared" si="20"/>
        <v>0</v>
      </c>
      <c r="AE62" s="71">
        <f t="shared" si="20"/>
        <v>0</v>
      </c>
      <c r="AF62" s="71">
        <f t="shared" si="20"/>
        <v>0</v>
      </c>
      <c r="AG62" s="71">
        <f t="shared" si="20"/>
        <v>0</v>
      </c>
      <c r="AH62" s="71">
        <f t="shared" si="20"/>
        <v>0</v>
      </c>
      <c r="AI62" s="71">
        <f t="shared" si="20"/>
        <v>0</v>
      </c>
      <c r="AJ62" s="71">
        <f t="shared" si="20"/>
        <v>0</v>
      </c>
      <c r="AK62" s="71">
        <f t="shared" si="20"/>
        <v>0</v>
      </c>
      <c r="AL62" s="71">
        <f t="shared" si="20"/>
        <v>0</v>
      </c>
      <c r="AM62" s="71">
        <f t="shared" si="20"/>
        <v>0</v>
      </c>
      <c r="AN62" s="71">
        <f t="shared" si="20"/>
        <v>0</v>
      </c>
      <c r="AO62" s="71">
        <f t="shared" si="20"/>
        <v>0</v>
      </c>
      <c r="AP62" s="71">
        <f t="shared" si="20"/>
        <v>0</v>
      </c>
      <c r="AQ62" s="71">
        <f t="shared" si="20"/>
        <v>0</v>
      </c>
      <c r="AR62" s="71">
        <f t="shared" si="20"/>
        <v>0</v>
      </c>
      <c r="AS62" s="71">
        <f t="shared" si="20"/>
        <v>0</v>
      </c>
      <c r="AT62" s="71">
        <f t="shared" si="20"/>
        <v>0</v>
      </c>
      <c r="AU62" s="71">
        <f t="shared" si="20"/>
        <v>0</v>
      </c>
      <c r="AV62" s="71">
        <f t="shared" si="20"/>
        <v>0</v>
      </c>
      <c r="AW62" s="71">
        <f t="shared" si="20"/>
        <v>0</v>
      </c>
      <c r="AX62" s="71">
        <f t="shared" si="20"/>
        <v>0</v>
      </c>
      <c r="AY62" s="71">
        <f t="shared" si="20"/>
        <v>0</v>
      </c>
      <c r="AZ62" s="69"/>
    </row>
    <row r="63" spans="1:52" ht="14.25" customHeight="1">
      <c r="A63" s="103"/>
      <c r="E63" s="83"/>
      <c r="H63" s="83"/>
      <c r="I63" s="230" t="s">
        <v>51</v>
      </c>
      <c r="J63" s="74">
        <f t="shared" ref="J63:AY63" si="21">COUNTIFS($E$5:$E$35,$E62,J$5:J$35,"Censored")</f>
        <v>0</v>
      </c>
      <c r="K63" s="74">
        <f t="shared" si="21"/>
        <v>0</v>
      </c>
      <c r="L63" s="74">
        <f t="shared" si="21"/>
        <v>0</v>
      </c>
      <c r="M63" s="74">
        <f t="shared" si="21"/>
        <v>0</v>
      </c>
      <c r="N63" s="74">
        <f t="shared" si="21"/>
        <v>0</v>
      </c>
      <c r="O63" s="74">
        <f t="shared" si="21"/>
        <v>0</v>
      </c>
      <c r="P63" s="74">
        <f t="shared" si="21"/>
        <v>0</v>
      </c>
      <c r="Q63" s="74">
        <f t="shared" si="21"/>
        <v>0</v>
      </c>
      <c r="R63" s="74">
        <f t="shared" si="21"/>
        <v>0</v>
      </c>
      <c r="S63" s="74">
        <f t="shared" si="21"/>
        <v>0</v>
      </c>
      <c r="T63" s="74">
        <f t="shared" si="21"/>
        <v>0</v>
      </c>
      <c r="U63" s="74">
        <f t="shared" si="21"/>
        <v>0</v>
      </c>
      <c r="V63" s="74">
        <f t="shared" si="21"/>
        <v>0</v>
      </c>
      <c r="W63" s="74">
        <f t="shared" si="21"/>
        <v>0</v>
      </c>
      <c r="X63" s="74">
        <f t="shared" si="21"/>
        <v>0</v>
      </c>
      <c r="Y63" s="74">
        <f t="shared" si="21"/>
        <v>0</v>
      </c>
      <c r="Z63" s="74">
        <f t="shared" si="21"/>
        <v>0</v>
      </c>
      <c r="AA63" s="74">
        <f t="shared" si="21"/>
        <v>0</v>
      </c>
      <c r="AB63" s="74">
        <f t="shared" si="21"/>
        <v>0</v>
      </c>
      <c r="AC63" s="74">
        <f t="shared" si="21"/>
        <v>0</v>
      </c>
      <c r="AD63" s="74">
        <f t="shared" si="21"/>
        <v>0</v>
      </c>
      <c r="AE63" s="74">
        <f t="shared" si="21"/>
        <v>0</v>
      </c>
      <c r="AF63" s="74">
        <f t="shared" si="21"/>
        <v>0</v>
      </c>
      <c r="AG63" s="74">
        <f t="shared" si="21"/>
        <v>0</v>
      </c>
      <c r="AH63" s="74">
        <f t="shared" si="21"/>
        <v>0</v>
      </c>
      <c r="AI63" s="74">
        <f t="shared" si="21"/>
        <v>0</v>
      </c>
      <c r="AJ63" s="74">
        <f t="shared" si="21"/>
        <v>0</v>
      </c>
      <c r="AK63" s="74">
        <f t="shared" si="21"/>
        <v>0</v>
      </c>
      <c r="AL63" s="74">
        <f t="shared" si="21"/>
        <v>0</v>
      </c>
      <c r="AM63" s="74">
        <f t="shared" si="21"/>
        <v>0</v>
      </c>
      <c r="AN63" s="74">
        <f t="shared" si="21"/>
        <v>0</v>
      </c>
      <c r="AO63" s="74">
        <f t="shared" si="21"/>
        <v>0</v>
      </c>
      <c r="AP63" s="74">
        <f t="shared" si="21"/>
        <v>0</v>
      </c>
      <c r="AQ63" s="74">
        <f t="shared" si="21"/>
        <v>0</v>
      </c>
      <c r="AR63" s="74">
        <f t="shared" si="21"/>
        <v>0</v>
      </c>
      <c r="AS63" s="74">
        <f t="shared" si="21"/>
        <v>0</v>
      </c>
      <c r="AT63" s="74">
        <f t="shared" si="21"/>
        <v>0</v>
      </c>
      <c r="AU63" s="74">
        <f t="shared" si="21"/>
        <v>0</v>
      </c>
      <c r="AV63" s="74">
        <f t="shared" si="21"/>
        <v>0</v>
      </c>
      <c r="AW63" s="74">
        <f t="shared" si="21"/>
        <v>0</v>
      </c>
      <c r="AX63" s="74">
        <f t="shared" si="21"/>
        <v>0</v>
      </c>
      <c r="AY63" s="74">
        <f t="shared" si="21"/>
        <v>0</v>
      </c>
      <c r="AZ63" s="69"/>
    </row>
    <row r="64" spans="1:52" ht="14.25" customHeight="1">
      <c r="E64" s="276"/>
      <c r="H64" s="83"/>
      <c r="I64" s="230" t="s">
        <v>53</v>
      </c>
      <c r="J64" s="67" t="e">
        <f>J62/(COUNTIFS($E$5:$E$35,$E62,J$5:J$35,"Alive")+COUNTIFS($E$5:$E$35,$E62,J$5:J$35,"Sacrificed")+COUNTIFS($E$5:$E$35,$E62,J$5:J$35,"Died"))</f>
        <v>#DIV/0!</v>
      </c>
      <c r="K64" s="67" t="e">
        <f t="shared" ref="K64:AY64" si="22">K62/(COUNTIFS($E$5:$E$35,$E62,K$5:K$35,"Alive")+COUNTIFS($E$5:$E$35,$E62,K$5:K$35,"Sacrificed")+COUNTIFS($E$5:$E$35,$E62,K$5:K$35,"Died"))*J64</f>
        <v>#DIV/0!</v>
      </c>
      <c r="L64" s="67" t="e">
        <f t="shared" si="22"/>
        <v>#DIV/0!</v>
      </c>
      <c r="M64" s="67" t="e">
        <f t="shared" si="22"/>
        <v>#DIV/0!</v>
      </c>
      <c r="N64" s="67" t="e">
        <f t="shared" si="22"/>
        <v>#DIV/0!</v>
      </c>
      <c r="O64" s="67" t="e">
        <f t="shared" si="22"/>
        <v>#DIV/0!</v>
      </c>
      <c r="P64" s="67" t="e">
        <f t="shared" si="22"/>
        <v>#DIV/0!</v>
      </c>
      <c r="Q64" s="67" t="e">
        <f t="shared" si="22"/>
        <v>#DIV/0!</v>
      </c>
      <c r="R64" s="67" t="e">
        <f t="shared" si="22"/>
        <v>#DIV/0!</v>
      </c>
      <c r="S64" s="67" t="e">
        <f t="shared" si="22"/>
        <v>#DIV/0!</v>
      </c>
      <c r="T64" s="67" t="e">
        <f t="shared" si="22"/>
        <v>#DIV/0!</v>
      </c>
      <c r="U64" s="67" t="e">
        <f t="shared" si="22"/>
        <v>#DIV/0!</v>
      </c>
      <c r="V64" s="67" t="e">
        <f t="shared" si="22"/>
        <v>#DIV/0!</v>
      </c>
      <c r="W64" s="67" t="e">
        <f t="shared" si="22"/>
        <v>#DIV/0!</v>
      </c>
      <c r="X64" s="67" t="e">
        <f t="shared" si="22"/>
        <v>#DIV/0!</v>
      </c>
      <c r="Y64" s="67" t="e">
        <f t="shared" si="22"/>
        <v>#DIV/0!</v>
      </c>
      <c r="Z64" s="67" t="e">
        <f t="shared" si="22"/>
        <v>#DIV/0!</v>
      </c>
      <c r="AA64" s="67" t="e">
        <f t="shared" si="22"/>
        <v>#DIV/0!</v>
      </c>
      <c r="AB64" s="67" t="e">
        <f t="shared" si="22"/>
        <v>#DIV/0!</v>
      </c>
      <c r="AC64" s="67" t="e">
        <f t="shared" si="22"/>
        <v>#DIV/0!</v>
      </c>
      <c r="AD64" s="67" t="e">
        <f t="shared" si="22"/>
        <v>#DIV/0!</v>
      </c>
      <c r="AE64" s="67" t="e">
        <f t="shared" si="22"/>
        <v>#DIV/0!</v>
      </c>
      <c r="AF64" s="67" t="e">
        <f t="shared" si="22"/>
        <v>#DIV/0!</v>
      </c>
      <c r="AG64" s="67" t="e">
        <f t="shared" si="22"/>
        <v>#DIV/0!</v>
      </c>
      <c r="AH64" s="67" t="e">
        <f t="shared" si="22"/>
        <v>#DIV/0!</v>
      </c>
      <c r="AI64" s="67" t="e">
        <f t="shared" si="22"/>
        <v>#DIV/0!</v>
      </c>
      <c r="AJ64" s="67" t="e">
        <f t="shared" si="22"/>
        <v>#DIV/0!</v>
      </c>
      <c r="AK64" s="67" t="e">
        <f t="shared" si="22"/>
        <v>#DIV/0!</v>
      </c>
      <c r="AL64" s="67" t="e">
        <f t="shared" si="22"/>
        <v>#DIV/0!</v>
      </c>
      <c r="AM64" s="67" t="e">
        <f t="shared" si="22"/>
        <v>#DIV/0!</v>
      </c>
      <c r="AN64" s="67" t="e">
        <f t="shared" si="22"/>
        <v>#DIV/0!</v>
      </c>
      <c r="AO64" s="67" t="e">
        <f t="shared" si="22"/>
        <v>#DIV/0!</v>
      </c>
      <c r="AP64" s="67" t="e">
        <f t="shared" si="22"/>
        <v>#DIV/0!</v>
      </c>
      <c r="AQ64" s="67" t="e">
        <f t="shared" si="22"/>
        <v>#DIV/0!</v>
      </c>
      <c r="AR64" s="67" t="e">
        <f t="shared" si="22"/>
        <v>#DIV/0!</v>
      </c>
      <c r="AS64" s="67" t="e">
        <f t="shared" si="22"/>
        <v>#DIV/0!</v>
      </c>
      <c r="AT64" s="67" t="e">
        <f t="shared" si="22"/>
        <v>#DIV/0!</v>
      </c>
      <c r="AU64" s="67" t="e">
        <f t="shared" si="22"/>
        <v>#DIV/0!</v>
      </c>
      <c r="AV64" s="67" t="e">
        <f t="shared" si="22"/>
        <v>#DIV/0!</v>
      </c>
      <c r="AW64" s="67" t="e">
        <f t="shared" si="22"/>
        <v>#DIV/0!</v>
      </c>
      <c r="AX64" s="67" t="e">
        <f t="shared" si="22"/>
        <v>#DIV/0!</v>
      </c>
      <c r="AY64" s="67" t="e">
        <f t="shared" si="22"/>
        <v>#DIV/0!</v>
      </c>
      <c r="AZ64" s="3"/>
    </row>
    <row r="66" spans="1:52" ht="14.25" customHeight="1">
      <c r="A66" s="103"/>
      <c r="E66" s="108" t="str">
        <f>'5GY EBRT Groups'!C12</f>
        <v>Group 7</v>
      </c>
      <c r="H66" s="108" t="str">
        <f>E66</f>
        <v>Group 7</v>
      </c>
      <c r="I66" s="230" t="s">
        <v>52</v>
      </c>
      <c r="J66" s="71">
        <f t="shared" ref="J66:AY66" si="23">COUNTIFS($E$5:$E$35,$E66,J$5:J$35,"Alive")</f>
        <v>0</v>
      </c>
      <c r="K66" s="71">
        <f t="shared" si="23"/>
        <v>0</v>
      </c>
      <c r="L66" s="71">
        <f t="shared" si="23"/>
        <v>0</v>
      </c>
      <c r="M66" s="71">
        <f t="shared" si="23"/>
        <v>0</v>
      </c>
      <c r="N66" s="71">
        <f t="shared" si="23"/>
        <v>0</v>
      </c>
      <c r="O66" s="71">
        <f t="shared" si="23"/>
        <v>0</v>
      </c>
      <c r="P66" s="71">
        <f t="shared" si="23"/>
        <v>0</v>
      </c>
      <c r="Q66" s="71">
        <f t="shared" si="23"/>
        <v>0</v>
      </c>
      <c r="R66" s="71">
        <f t="shared" si="23"/>
        <v>0</v>
      </c>
      <c r="S66" s="71">
        <f t="shared" si="23"/>
        <v>0</v>
      </c>
      <c r="T66" s="71">
        <f t="shared" si="23"/>
        <v>0</v>
      </c>
      <c r="U66" s="71">
        <f t="shared" si="23"/>
        <v>0</v>
      </c>
      <c r="V66" s="71">
        <f t="shared" si="23"/>
        <v>0</v>
      </c>
      <c r="W66" s="71">
        <f t="shared" si="23"/>
        <v>0</v>
      </c>
      <c r="X66" s="71">
        <f t="shared" si="23"/>
        <v>0</v>
      </c>
      <c r="Y66" s="71">
        <f t="shared" si="23"/>
        <v>0</v>
      </c>
      <c r="Z66" s="71">
        <f t="shared" si="23"/>
        <v>0</v>
      </c>
      <c r="AA66" s="71">
        <f t="shared" si="23"/>
        <v>0</v>
      </c>
      <c r="AB66" s="71">
        <f t="shared" si="23"/>
        <v>0</v>
      </c>
      <c r="AC66" s="71">
        <f t="shared" si="23"/>
        <v>0</v>
      </c>
      <c r="AD66" s="71">
        <f t="shared" si="23"/>
        <v>0</v>
      </c>
      <c r="AE66" s="71">
        <f t="shared" si="23"/>
        <v>0</v>
      </c>
      <c r="AF66" s="71">
        <f t="shared" si="23"/>
        <v>0</v>
      </c>
      <c r="AG66" s="71">
        <f t="shared" si="23"/>
        <v>0</v>
      </c>
      <c r="AH66" s="71">
        <f t="shared" si="23"/>
        <v>0</v>
      </c>
      <c r="AI66" s="71">
        <f t="shared" si="23"/>
        <v>0</v>
      </c>
      <c r="AJ66" s="71">
        <f t="shared" si="23"/>
        <v>0</v>
      </c>
      <c r="AK66" s="71">
        <f t="shared" si="23"/>
        <v>0</v>
      </c>
      <c r="AL66" s="71">
        <f t="shared" si="23"/>
        <v>0</v>
      </c>
      <c r="AM66" s="71">
        <f t="shared" si="23"/>
        <v>0</v>
      </c>
      <c r="AN66" s="71">
        <f t="shared" si="23"/>
        <v>0</v>
      </c>
      <c r="AO66" s="71">
        <f t="shared" si="23"/>
        <v>0</v>
      </c>
      <c r="AP66" s="71">
        <f t="shared" si="23"/>
        <v>0</v>
      </c>
      <c r="AQ66" s="71">
        <f t="shared" si="23"/>
        <v>0</v>
      </c>
      <c r="AR66" s="71">
        <f t="shared" si="23"/>
        <v>0</v>
      </c>
      <c r="AS66" s="71">
        <f t="shared" si="23"/>
        <v>0</v>
      </c>
      <c r="AT66" s="71">
        <f t="shared" si="23"/>
        <v>0</v>
      </c>
      <c r="AU66" s="71">
        <f t="shared" si="23"/>
        <v>0</v>
      </c>
      <c r="AV66" s="71">
        <f t="shared" si="23"/>
        <v>0</v>
      </c>
      <c r="AW66" s="71">
        <f t="shared" si="23"/>
        <v>0</v>
      </c>
      <c r="AX66" s="71">
        <f t="shared" si="23"/>
        <v>0</v>
      </c>
      <c r="AY66" s="71">
        <f t="shared" si="23"/>
        <v>0</v>
      </c>
      <c r="AZ66" s="69"/>
    </row>
    <row r="67" spans="1:52" ht="14.25" customHeight="1">
      <c r="A67" s="103"/>
      <c r="E67" s="83"/>
      <c r="H67" s="83"/>
      <c r="I67" s="230" t="s">
        <v>51</v>
      </c>
      <c r="J67" s="74">
        <f t="shared" ref="J67:AY67" si="24">COUNTIFS($E$5:$E$35,$E66,J$5:J$35,"Censored")</f>
        <v>0</v>
      </c>
      <c r="K67" s="74">
        <f t="shared" si="24"/>
        <v>0</v>
      </c>
      <c r="L67" s="74">
        <f t="shared" si="24"/>
        <v>0</v>
      </c>
      <c r="M67" s="74">
        <f t="shared" si="24"/>
        <v>0</v>
      </c>
      <c r="N67" s="74">
        <f t="shared" si="24"/>
        <v>0</v>
      </c>
      <c r="O67" s="74">
        <f t="shared" si="24"/>
        <v>0</v>
      </c>
      <c r="P67" s="74">
        <f t="shared" si="24"/>
        <v>0</v>
      </c>
      <c r="Q67" s="74">
        <f t="shared" si="24"/>
        <v>0</v>
      </c>
      <c r="R67" s="74">
        <f t="shared" si="24"/>
        <v>0</v>
      </c>
      <c r="S67" s="74">
        <f t="shared" si="24"/>
        <v>0</v>
      </c>
      <c r="T67" s="74">
        <f t="shared" si="24"/>
        <v>0</v>
      </c>
      <c r="U67" s="74">
        <f t="shared" si="24"/>
        <v>0</v>
      </c>
      <c r="V67" s="74">
        <f t="shared" si="24"/>
        <v>0</v>
      </c>
      <c r="W67" s="74">
        <f t="shared" si="24"/>
        <v>0</v>
      </c>
      <c r="X67" s="74">
        <f t="shared" si="24"/>
        <v>0</v>
      </c>
      <c r="Y67" s="74">
        <f t="shared" si="24"/>
        <v>0</v>
      </c>
      <c r="Z67" s="74">
        <f t="shared" si="24"/>
        <v>0</v>
      </c>
      <c r="AA67" s="74">
        <f t="shared" si="24"/>
        <v>0</v>
      </c>
      <c r="AB67" s="74">
        <f t="shared" si="24"/>
        <v>0</v>
      </c>
      <c r="AC67" s="74">
        <f t="shared" si="24"/>
        <v>0</v>
      </c>
      <c r="AD67" s="74">
        <f t="shared" si="24"/>
        <v>0</v>
      </c>
      <c r="AE67" s="74">
        <f t="shared" si="24"/>
        <v>0</v>
      </c>
      <c r="AF67" s="74">
        <f t="shared" si="24"/>
        <v>0</v>
      </c>
      <c r="AG67" s="74">
        <f t="shared" si="24"/>
        <v>0</v>
      </c>
      <c r="AH67" s="74">
        <f t="shared" si="24"/>
        <v>0</v>
      </c>
      <c r="AI67" s="74">
        <f t="shared" si="24"/>
        <v>0</v>
      </c>
      <c r="AJ67" s="74">
        <f t="shared" si="24"/>
        <v>0</v>
      </c>
      <c r="AK67" s="74">
        <f t="shared" si="24"/>
        <v>0</v>
      </c>
      <c r="AL67" s="74">
        <f t="shared" si="24"/>
        <v>0</v>
      </c>
      <c r="AM67" s="74">
        <f t="shared" si="24"/>
        <v>0</v>
      </c>
      <c r="AN67" s="74">
        <f t="shared" si="24"/>
        <v>0</v>
      </c>
      <c r="AO67" s="74">
        <f t="shared" si="24"/>
        <v>0</v>
      </c>
      <c r="AP67" s="74">
        <f t="shared" si="24"/>
        <v>0</v>
      </c>
      <c r="AQ67" s="74">
        <f t="shared" si="24"/>
        <v>0</v>
      </c>
      <c r="AR67" s="74">
        <f t="shared" si="24"/>
        <v>0</v>
      </c>
      <c r="AS67" s="74">
        <f t="shared" si="24"/>
        <v>0</v>
      </c>
      <c r="AT67" s="74">
        <f t="shared" si="24"/>
        <v>0</v>
      </c>
      <c r="AU67" s="74">
        <f t="shared" si="24"/>
        <v>0</v>
      </c>
      <c r="AV67" s="74">
        <f t="shared" si="24"/>
        <v>0</v>
      </c>
      <c r="AW67" s="74">
        <f t="shared" si="24"/>
        <v>0</v>
      </c>
      <c r="AX67" s="74">
        <f t="shared" si="24"/>
        <v>0</v>
      </c>
      <c r="AY67" s="74">
        <f t="shared" si="24"/>
        <v>0</v>
      </c>
      <c r="AZ67" s="69"/>
    </row>
    <row r="68" spans="1:52" ht="14.25" customHeight="1">
      <c r="E68" s="276"/>
      <c r="H68" s="83"/>
      <c r="I68" s="230" t="s">
        <v>53</v>
      </c>
      <c r="J68" s="67" t="e">
        <f>J66/(COUNTIFS($E$5:$E$35,$E66,J$5:J$35,"Alive")+COUNTIFS($E$5:$E$35,$E66,J$5:J$35,"Sacrificed")+COUNTIFS($E$5:$E$35,$E66,J$5:J$35,"Died"))</f>
        <v>#DIV/0!</v>
      </c>
      <c r="K68" s="67" t="e">
        <f t="shared" ref="K68:AY68" si="25">K66/(COUNTIFS($E$5:$E$35,$E66,K$5:K$35,"Alive")+COUNTIFS($E$5:$E$35,$E66,K$5:K$35,"Sacrificed")+COUNTIFS($E$5:$E$35,$E66,K$5:K$35,"Died"))*J68</f>
        <v>#DIV/0!</v>
      </c>
      <c r="L68" s="67" t="e">
        <f t="shared" si="25"/>
        <v>#DIV/0!</v>
      </c>
      <c r="M68" s="67" t="e">
        <f t="shared" si="25"/>
        <v>#DIV/0!</v>
      </c>
      <c r="N68" s="67" t="e">
        <f t="shared" si="25"/>
        <v>#DIV/0!</v>
      </c>
      <c r="O68" s="67" t="e">
        <f t="shared" si="25"/>
        <v>#DIV/0!</v>
      </c>
      <c r="P68" s="67" t="e">
        <f t="shared" si="25"/>
        <v>#DIV/0!</v>
      </c>
      <c r="Q68" s="67" t="e">
        <f t="shared" si="25"/>
        <v>#DIV/0!</v>
      </c>
      <c r="R68" s="67" t="e">
        <f t="shared" si="25"/>
        <v>#DIV/0!</v>
      </c>
      <c r="S68" s="67" t="e">
        <f t="shared" si="25"/>
        <v>#DIV/0!</v>
      </c>
      <c r="T68" s="67" t="e">
        <f t="shared" si="25"/>
        <v>#DIV/0!</v>
      </c>
      <c r="U68" s="67" t="e">
        <f t="shared" si="25"/>
        <v>#DIV/0!</v>
      </c>
      <c r="V68" s="67" t="e">
        <f t="shared" si="25"/>
        <v>#DIV/0!</v>
      </c>
      <c r="W68" s="67" t="e">
        <f t="shared" si="25"/>
        <v>#DIV/0!</v>
      </c>
      <c r="X68" s="67" t="e">
        <f t="shared" si="25"/>
        <v>#DIV/0!</v>
      </c>
      <c r="Y68" s="67" t="e">
        <f t="shared" si="25"/>
        <v>#DIV/0!</v>
      </c>
      <c r="Z68" s="67" t="e">
        <f t="shared" si="25"/>
        <v>#DIV/0!</v>
      </c>
      <c r="AA68" s="67" t="e">
        <f t="shared" si="25"/>
        <v>#DIV/0!</v>
      </c>
      <c r="AB68" s="67" t="e">
        <f t="shared" si="25"/>
        <v>#DIV/0!</v>
      </c>
      <c r="AC68" s="67" t="e">
        <f t="shared" si="25"/>
        <v>#DIV/0!</v>
      </c>
      <c r="AD68" s="67" t="e">
        <f t="shared" si="25"/>
        <v>#DIV/0!</v>
      </c>
      <c r="AE68" s="67" t="e">
        <f t="shared" si="25"/>
        <v>#DIV/0!</v>
      </c>
      <c r="AF68" s="67" t="e">
        <f t="shared" si="25"/>
        <v>#DIV/0!</v>
      </c>
      <c r="AG68" s="67" t="e">
        <f t="shared" si="25"/>
        <v>#DIV/0!</v>
      </c>
      <c r="AH68" s="67" t="e">
        <f t="shared" si="25"/>
        <v>#DIV/0!</v>
      </c>
      <c r="AI68" s="67" t="e">
        <f t="shared" si="25"/>
        <v>#DIV/0!</v>
      </c>
      <c r="AJ68" s="67" t="e">
        <f t="shared" si="25"/>
        <v>#DIV/0!</v>
      </c>
      <c r="AK68" s="67" t="e">
        <f t="shared" si="25"/>
        <v>#DIV/0!</v>
      </c>
      <c r="AL68" s="67" t="e">
        <f t="shared" si="25"/>
        <v>#DIV/0!</v>
      </c>
      <c r="AM68" s="67" t="e">
        <f t="shared" si="25"/>
        <v>#DIV/0!</v>
      </c>
      <c r="AN68" s="67" t="e">
        <f t="shared" si="25"/>
        <v>#DIV/0!</v>
      </c>
      <c r="AO68" s="67" t="e">
        <f t="shared" si="25"/>
        <v>#DIV/0!</v>
      </c>
      <c r="AP68" s="67" t="e">
        <f t="shared" si="25"/>
        <v>#DIV/0!</v>
      </c>
      <c r="AQ68" s="67" t="e">
        <f t="shared" si="25"/>
        <v>#DIV/0!</v>
      </c>
      <c r="AR68" s="67" t="e">
        <f t="shared" si="25"/>
        <v>#DIV/0!</v>
      </c>
      <c r="AS68" s="67" t="e">
        <f t="shared" si="25"/>
        <v>#DIV/0!</v>
      </c>
      <c r="AT68" s="67" t="e">
        <f t="shared" si="25"/>
        <v>#DIV/0!</v>
      </c>
      <c r="AU68" s="67" t="e">
        <f t="shared" si="25"/>
        <v>#DIV/0!</v>
      </c>
      <c r="AV68" s="67" t="e">
        <f t="shared" si="25"/>
        <v>#DIV/0!</v>
      </c>
      <c r="AW68" s="67" t="e">
        <f t="shared" si="25"/>
        <v>#DIV/0!</v>
      </c>
      <c r="AX68" s="67" t="e">
        <f t="shared" si="25"/>
        <v>#DIV/0!</v>
      </c>
      <c r="AY68" s="67" t="e">
        <f t="shared" si="25"/>
        <v>#DIV/0!</v>
      </c>
      <c r="AZ68" s="3"/>
    </row>
    <row r="70" spans="1:52" ht="14.25" customHeight="1">
      <c r="A70" s="103"/>
      <c r="E70" s="108" t="str">
        <f>'5GY EBRT Groups'!C13</f>
        <v>Group 8</v>
      </c>
      <c r="H70" s="108" t="str">
        <f>E70</f>
        <v>Group 8</v>
      </c>
      <c r="I70" s="230" t="s">
        <v>52</v>
      </c>
      <c r="J70" s="71">
        <f t="shared" ref="J70:AY70" si="26">COUNTIFS($E$5:$E$35,$E70,J$5:J$35,"Alive")</f>
        <v>0</v>
      </c>
      <c r="K70" s="71">
        <f t="shared" si="26"/>
        <v>0</v>
      </c>
      <c r="L70" s="71">
        <f t="shared" si="26"/>
        <v>0</v>
      </c>
      <c r="M70" s="71">
        <f t="shared" si="26"/>
        <v>0</v>
      </c>
      <c r="N70" s="71">
        <f t="shared" si="26"/>
        <v>0</v>
      </c>
      <c r="O70" s="71">
        <f t="shared" si="26"/>
        <v>0</v>
      </c>
      <c r="P70" s="71">
        <f t="shared" si="26"/>
        <v>0</v>
      </c>
      <c r="Q70" s="71">
        <f t="shared" si="26"/>
        <v>0</v>
      </c>
      <c r="R70" s="71">
        <f t="shared" si="26"/>
        <v>0</v>
      </c>
      <c r="S70" s="71">
        <f t="shared" si="26"/>
        <v>0</v>
      </c>
      <c r="T70" s="71">
        <f t="shared" si="26"/>
        <v>0</v>
      </c>
      <c r="U70" s="71">
        <f t="shared" si="26"/>
        <v>0</v>
      </c>
      <c r="V70" s="71">
        <f t="shared" si="26"/>
        <v>0</v>
      </c>
      <c r="W70" s="71">
        <f t="shared" si="26"/>
        <v>0</v>
      </c>
      <c r="X70" s="71">
        <f t="shared" si="26"/>
        <v>0</v>
      </c>
      <c r="Y70" s="71">
        <f t="shared" si="26"/>
        <v>0</v>
      </c>
      <c r="Z70" s="71">
        <f t="shared" si="26"/>
        <v>0</v>
      </c>
      <c r="AA70" s="71">
        <f t="shared" si="26"/>
        <v>0</v>
      </c>
      <c r="AB70" s="71">
        <f t="shared" si="26"/>
        <v>0</v>
      </c>
      <c r="AC70" s="71">
        <f t="shared" si="26"/>
        <v>0</v>
      </c>
      <c r="AD70" s="71">
        <f t="shared" si="26"/>
        <v>0</v>
      </c>
      <c r="AE70" s="71">
        <f t="shared" si="26"/>
        <v>0</v>
      </c>
      <c r="AF70" s="71">
        <f t="shared" si="26"/>
        <v>0</v>
      </c>
      <c r="AG70" s="71">
        <f t="shared" si="26"/>
        <v>0</v>
      </c>
      <c r="AH70" s="71">
        <f t="shared" si="26"/>
        <v>0</v>
      </c>
      <c r="AI70" s="71">
        <f t="shared" si="26"/>
        <v>0</v>
      </c>
      <c r="AJ70" s="71">
        <f t="shared" si="26"/>
        <v>0</v>
      </c>
      <c r="AK70" s="71">
        <f t="shared" si="26"/>
        <v>0</v>
      </c>
      <c r="AL70" s="71">
        <f t="shared" si="26"/>
        <v>0</v>
      </c>
      <c r="AM70" s="71">
        <f t="shared" si="26"/>
        <v>0</v>
      </c>
      <c r="AN70" s="71">
        <f t="shared" si="26"/>
        <v>0</v>
      </c>
      <c r="AO70" s="71">
        <f t="shared" si="26"/>
        <v>0</v>
      </c>
      <c r="AP70" s="71">
        <f t="shared" si="26"/>
        <v>0</v>
      </c>
      <c r="AQ70" s="71">
        <f t="shared" si="26"/>
        <v>0</v>
      </c>
      <c r="AR70" s="71">
        <f t="shared" si="26"/>
        <v>0</v>
      </c>
      <c r="AS70" s="71">
        <f t="shared" si="26"/>
        <v>0</v>
      </c>
      <c r="AT70" s="71">
        <f t="shared" si="26"/>
        <v>0</v>
      </c>
      <c r="AU70" s="71">
        <f t="shared" si="26"/>
        <v>0</v>
      </c>
      <c r="AV70" s="71">
        <f t="shared" si="26"/>
        <v>0</v>
      </c>
      <c r="AW70" s="71">
        <f t="shared" si="26"/>
        <v>0</v>
      </c>
      <c r="AX70" s="71">
        <f t="shared" si="26"/>
        <v>0</v>
      </c>
      <c r="AY70" s="71">
        <f t="shared" si="26"/>
        <v>0</v>
      </c>
      <c r="AZ70" s="69"/>
    </row>
    <row r="71" spans="1:52" ht="14.25" customHeight="1">
      <c r="A71" s="103"/>
      <c r="E71" s="83"/>
      <c r="H71" s="83"/>
      <c r="I71" s="230" t="s">
        <v>51</v>
      </c>
      <c r="J71" s="74">
        <f t="shared" ref="J71:AY71" si="27">COUNTIFS($E$5:$E$35,$E70,J$5:J$35,"Censored")</f>
        <v>0</v>
      </c>
      <c r="K71" s="74">
        <f t="shared" si="27"/>
        <v>0</v>
      </c>
      <c r="L71" s="74">
        <f t="shared" si="27"/>
        <v>0</v>
      </c>
      <c r="M71" s="74">
        <f t="shared" si="27"/>
        <v>0</v>
      </c>
      <c r="N71" s="74">
        <f t="shared" si="27"/>
        <v>0</v>
      </c>
      <c r="O71" s="74">
        <f t="shared" si="27"/>
        <v>0</v>
      </c>
      <c r="P71" s="74">
        <f t="shared" si="27"/>
        <v>0</v>
      </c>
      <c r="Q71" s="74">
        <f t="shared" si="27"/>
        <v>0</v>
      </c>
      <c r="R71" s="74">
        <f t="shared" si="27"/>
        <v>0</v>
      </c>
      <c r="S71" s="74">
        <f t="shared" si="27"/>
        <v>0</v>
      </c>
      <c r="T71" s="74">
        <f t="shared" si="27"/>
        <v>0</v>
      </c>
      <c r="U71" s="74">
        <f t="shared" si="27"/>
        <v>0</v>
      </c>
      <c r="V71" s="74">
        <f t="shared" si="27"/>
        <v>0</v>
      </c>
      <c r="W71" s="74">
        <f t="shared" si="27"/>
        <v>0</v>
      </c>
      <c r="X71" s="74">
        <f t="shared" si="27"/>
        <v>0</v>
      </c>
      <c r="Y71" s="74">
        <f t="shared" si="27"/>
        <v>0</v>
      </c>
      <c r="Z71" s="74">
        <f t="shared" si="27"/>
        <v>0</v>
      </c>
      <c r="AA71" s="74">
        <f t="shared" si="27"/>
        <v>0</v>
      </c>
      <c r="AB71" s="74">
        <f t="shared" si="27"/>
        <v>0</v>
      </c>
      <c r="AC71" s="74">
        <f t="shared" si="27"/>
        <v>0</v>
      </c>
      <c r="AD71" s="74">
        <f t="shared" si="27"/>
        <v>0</v>
      </c>
      <c r="AE71" s="74">
        <f t="shared" si="27"/>
        <v>0</v>
      </c>
      <c r="AF71" s="74">
        <f t="shared" si="27"/>
        <v>0</v>
      </c>
      <c r="AG71" s="74">
        <f t="shared" si="27"/>
        <v>0</v>
      </c>
      <c r="AH71" s="74">
        <f t="shared" si="27"/>
        <v>0</v>
      </c>
      <c r="AI71" s="74">
        <f t="shared" si="27"/>
        <v>0</v>
      </c>
      <c r="AJ71" s="74">
        <f t="shared" si="27"/>
        <v>0</v>
      </c>
      <c r="AK71" s="74">
        <f t="shared" si="27"/>
        <v>0</v>
      </c>
      <c r="AL71" s="74">
        <f t="shared" si="27"/>
        <v>0</v>
      </c>
      <c r="AM71" s="74">
        <f t="shared" si="27"/>
        <v>0</v>
      </c>
      <c r="AN71" s="74">
        <f t="shared" si="27"/>
        <v>0</v>
      </c>
      <c r="AO71" s="74">
        <f t="shared" si="27"/>
        <v>0</v>
      </c>
      <c r="AP71" s="74">
        <f t="shared" si="27"/>
        <v>0</v>
      </c>
      <c r="AQ71" s="74">
        <f t="shared" si="27"/>
        <v>0</v>
      </c>
      <c r="AR71" s="74">
        <f t="shared" si="27"/>
        <v>0</v>
      </c>
      <c r="AS71" s="74">
        <f t="shared" si="27"/>
        <v>0</v>
      </c>
      <c r="AT71" s="74">
        <f t="shared" si="27"/>
        <v>0</v>
      </c>
      <c r="AU71" s="74">
        <f t="shared" si="27"/>
        <v>0</v>
      </c>
      <c r="AV71" s="74">
        <f t="shared" si="27"/>
        <v>0</v>
      </c>
      <c r="AW71" s="74">
        <f t="shared" si="27"/>
        <v>0</v>
      </c>
      <c r="AX71" s="74">
        <f t="shared" si="27"/>
        <v>0</v>
      </c>
      <c r="AY71" s="74">
        <f t="shared" si="27"/>
        <v>0</v>
      </c>
      <c r="AZ71" s="69"/>
    </row>
    <row r="72" spans="1:52" ht="14.25" customHeight="1">
      <c r="E72" s="276"/>
      <c r="H72" s="83"/>
      <c r="I72" s="230" t="s">
        <v>53</v>
      </c>
      <c r="J72" s="67" t="e">
        <f>J70/(COUNTIFS($E$5:$E$35,$E70,J$5:J$35,"Alive")+COUNTIFS($E$5:$E$35,$E70,J$5:J$35,"Sacrificed")+COUNTIFS($E$5:$E$35,$E70,J$5:J$35,"Died"))</f>
        <v>#DIV/0!</v>
      </c>
      <c r="K72" s="67" t="e">
        <f t="shared" ref="K72:AY72" si="28">K70/(COUNTIFS($E$5:$E$35,$E70,K$5:K$35,"Alive")+COUNTIFS($E$5:$E$35,$E70,K$5:K$35,"Sacrificed")+COUNTIFS($E$5:$E$35,$E70,K$5:K$35,"Died"))*J72</f>
        <v>#DIV/0!</v>
      </c>
      <c r="L72" s="67" t="e">
        <f t="shared" si="28"/>
        <v>#DIV/0!</v>
      </c>
      <c r="M72" s="67" t="e">
        <f t="shared" si="28"/>
        <v>#DIV/0!</v>
      </c>
      <c r="N72" s="67" t="e">
        <f t="shared" si="28"/>
        <v>#DIV/0!</v>
      </c>
      <c r="O72" s="67" t="e">
        <f t="shared" si="28"/>
        <v>#DIV/0!</v>
      </c>
      <c r="P72" s="67" t="e">
        <f t="shared" si="28"/>
        <v>#DIV/0!</v>
      </c>
      <c r="Q72" s="67" t="e">
        <f t="shared" si="28"/>
        <v>#DIV/0!</v>
      </c>
      <c r="R72" s="67" t="e">
        <f t="shared" si="28"/>
        <v>#DIV/0!</v>
      </c>
      <c r="S72" s="67" t="e">
        <f t="shared" si="28"/>
        <v>#DIV/0!</v>
      </c>
      <c r="T72" s="67" t="e">
        <f t="shared" si="28"/>
        <v>#DIV/0!</v>
      </c>
      <c r="U72" s="67" t="e">
        <f t="shared" si="28"/>
        <v>#DIV/0!</v>
      </c>
      <c r="V72" s="67" t="e">
        <f t="shared" si="28"/>
        <v>#DIV/0!</v>
      </c>
      <c r="W72" s="67" t="e">
        <f t="shared" si="28"/>
        <v>#DIV/0!</v>
      </c>
      <c r="X72" s="67" t="e">
        <f t="shared" si="28"/>
        <v>#DIV/0!</v>
      </c>
      <c r="Y72" s="67" t="e">
        <f t="shared" si="28"/>
        <v>#DIV/0!</v>
      </c>
      <c r="Z72" s="67" t="e">
        <f t="shared" si="28"/>
        <v>#DIV/0!</v>
      </c>
      <c r="AA72" s="67" t="e">
        <f t="shared" si="28"/>
        <v>#DIV/0!</v>
      </c>
      <c r="AB72" s="67" t="e">
        <f t="shared" si="28"/>
        <v>#DIV/0!</v>
      </c>
      <c r="AC72" s="67" t="e">
        <f t="shared" si="28"/>
        <v>#DIV/0!</v>
      </c>
      <c r="AD72" s="67" t="e">
        <f t="shared" si="28"/>
        <v>#DIV/0!</v>
      </c>
      <c r="AE72" s="67" t="e">
        <f t="shared" si="28"/>
        <v>#DIV/0!</v>
      </c>
      <c r="AF72" s="67" t="e">
        <f t="shared" si="28"/>
        <v>#DIV/0!</v>
      </c>
      <c r="AG72" s="67" t="e">
        <f t="shared" si="28"/>
        <v>#DIV/0!</v>
      </c>
      <c r="AH72" s="67" t="e">
        <f t="shared" si="28"/>
        <v>#DIV/0!</v>
      </c>
      <c r="AI72" s="67" t="e">
        <f t="shared" si="28"/>
        <v>#DIV/0!</v>
      </c>
      <c r="AJ72" s="67" t="e">
        <f t="shared" si="28"/>
        <v>#DIV/0!</v>
      </c>
      <c r="AK72" s="67" t="e">
        <f t="shared" si="28"/>
        <v>#DIV/0!</v>
      </c>
      <c r="AL72" s="67" t="e">
        <f t="shared" si="28"/>
        <v>#DIV/0!</v>
      </c>
      <c r="AM72" s="67" t="e">
        <f t="shared" si="28"/>
        <v>#DIV/0!</v>
      </c>
      <c r="AN72" s="67" t="e">
        <f t="shared" si="28"/>
        <v>#DIV/0!</v>
      </c>
      <c r="AO72" s="67" t="e">
        <f t="shared" si="28"/>
        <v>#DIV/0!</v>
      </c>
      <c r="AP72" s="67" t="e">
        <f t="shared" si="28"/>
        <v>#DIV/0!</v>
      </c>
      <c r="AQ72" s="67" t="e">
        <f t="shared" si="28"/>
        <v>#DIV/0!</v>
      </c>
      <c r="AR72" s="67" t="e">
        <f t="shared" si="28"/>
        <v>#DIV/0!</v>
      </c>
      <c r="AS72" s="67" t="e">
        <f t="shared" si="28"/>
        <v>#DIV/0!</v>
      </c>
      <c r="AT72" s="67" t="e">
        <f t="shared" si="28"/>
        <v>#DIV/0!</v>
      </c>
      <c r="AU72" s="67" t="e">
        <f t="shared" si="28"/>
        <v>#DIV/0!</v>
      </c>
      <c r="AV72" s="67" t="e">
        <f t="shared" si="28"/>
        <v>#DIV/0!</v>
      </c>
      <c r="AW72" s="67" t="e">
        <f t="shared" si="28"/>
        <v>#DIV/0!</v>
      </c>
      <c r="AX72" s="67" t="e">
        <f t="shared" si="28"/>
        <v>#DIV/0!</v>
      </c>
      <c r="AY72" s="67" t="e">
        <f t="shared" si="28"/>
        <v>#DIV/0!</v>
      </c>
      <c r="AZ72" s="3"/>
    </row>
    <row r="74" spans="1:52" ht="14.25" customHeight="1">
      <c r="A74" s="103"/>
      <c r="E74" s="108" t="str">
        <f>'5GY EBRT Groups'!C14</f>
        <v>Group 9</v>
      </c>
      <c r="H74" s="108" t="str">
        <f>E74</f>
        <v>Group 9</v>
      </c>
      <c r="I74" s="230" t="s">
        <v>52</v>
      </c>
      <c r="J74" s="71">
        <f t="shared" ref="J74:AY74" si="29">COUNTIFS($E$5:$E$35,$E74,J$5:J$35,"Alive")</f>
        <v>0</v>
      </c>
      <c r="K74" s="71">
        <f t="shared" si="29"/>
        <v>0</v>
      </c>
      <c r="L74" s="71">
        <f t="shared" si="29"/>
        <v>0</v>
      </c>
      <c r="M74" s="71">
        <f t="shared" si="29"/>
        <v>0</v>
      </c>
      <c r="N74" s="71">
        <f t="shared" si="29"/>
        <v>0</v>
      </c>
      <c r="O74" s="71">
        <f t="shared" si="29"/>
        <v>0</v>
      </c>
      <c r="P74" s="71">
        <f t="shared" si="29"/>
        <v>0</v>
      </c>
      <c r="Q74" s="71">
        <f t="shared" si="29"/>
        <v>0</v>
      </c>
      <c r="R74" s="71">
        <f t="shared" si="29"/>
        <v>0</v>
      </c>
      <c r="S74" s="71">
        <f t="shared" si="29"/>
        <v>0</v>
      </c>
      <c r="T74" s="71">
        <f t="shared" si="29"/>
        <v>0</v>
      </c>
      <c r="U74" s="71">
        <f t="shared" si="29"/>
        <v>0</v>
      </c>
      <c r="V74" s="71">
        <f t="shared" si="29"/>
        <v>0</v>
      </c>
      <c r="W74" s="71">
        <f t="shared" si="29"/>
        <v>0</v>
      </c>
      <c r="X74" s="71">
        <f t="shared" si="29"/>
        <v>0</v>
      </c>
      <c r="Y74" s="71">
        <f t="shared" si="29"/>
        <v>0</v>
      </c>
      <c r="Z74" s="71">
        <f t="shared" si="29"/>
        <v>0</v>
      </c>
      <c r="AA74" s="71">
        <f t="shared" si="29"/>
        <v>0</v>
      </c>
      <c r="AB74" s="71">
        <f t="shared" si="29"/>
        <v>0</v>
      </c>
      <c r="AC74" s="71">
        <f t="shared" si="29"/>
        <v>0</v>
      </c>
      <c r="AD74" s="71">
        <f t="shared" si="29"/>
        <v>0</v>
      </c>
      <c r="AE74" s="71">
        <f t="shared" si="29"/>
        <v>0</v>
      </c>
      <c r="AF74" s="71">
        <f t="shared" si="29"/>
        <v>0</v>
      </c>
      <c r="AG74" s="71">
        <f t="shared" si="29"/>
        <v>0</v>
      </c>
      <c r="AH74" s="71">
        <f t="shared" si="29"/>
        <v>0</v>
      </c>
      <c r="AI74" s="71">
        <f t="shared" si="29"/>
        <v>0</v>
      </c>
      <c r="AJ74" s="71">
        <f t="shared" si="29"/>
        <v>0</v>
      </c>
      <c r="AK74" s="71">
        <f t="shared" si="29"/>
        <v>0</v>
      </c>
      <c r="AL74" s="71">
        <f t="shared" si="29"/>
        <v>0</v>
      </c>
      <c r="AM74" s="71">
        <f t="shared" si="29"/>
        <v>0</v>
      </c>
      <c r="AN74" s="71">
        <f t="shared" si="29"/>
        <v>0</v>
      </c>
      <c r="AO74" s="71">
        <f t="shared" si="29"/>
        <v>0</v>
      </c>
      <c r="AP74" s="71">
        <f t="shared" si="29"/>
        <v>0</v>
      </c>
      <c r="AQ74" s="71">
        <f t="shared" si="29"/>
        <v>0</v>
      </c>
      <c r="AR74" s="71">
        <f t="shared" si="29"/>
        <v>0</v>
      </c>
      <c r="AS74" s="71">
        <f t="shared" si="29"/>
        <v>0</v>
      </c>
      <c r="AT74" s="71">
        <f t="shared" si="29"/>
        <v>0</v>
      </c>
      <c r="AU74" s="71">
        <f t="shared" si="29"/>
        <v>0</v>
      </c>
      <c r="AV74" s="71">
        <f t="shared" si="29"/>
        <v>0</v>
      </c>
      <c r="AW74" s="71">
        <f t="shared" si="29"/>
        <v>0</v>
      </c>
      <c r="AX74" s="71">
        <f t="shared" si="29"/>
        <v>0</v>
      </c>
      <c r="AY74" s="71">
        <f t="shared" si="29"/>
        <v>0</v>
      </c>
      <c r="AZ74" s="69"/>
    </row>
    <row r="75" spans="1:52" ht="14.25" customHeight="1">
      <c r="A75" s="103"/>
      <c r="E75" s="83"/>
      <c r="H75" s="83"/>
      <c r="I75" s="230" t="s">
        <v>51</v>
      </c>
      <c r="J75" s="74">
        <f t="shared" ref="J75:AY75" si="30">COUNTIFS($E$5:$E$35,$E74,J$5:J$35,"Censored")</f>
        <v>0</v>
      </c>
      <c r="K75" s="74">
        <f t="shared" si="30"/>
        <v>0</v>
      </c>
      <c r="L75" s="74">
        <f t="shared" si="30"/>
        <v>0</v>
      </c>
      <c r="M75" s="74">
        <f t="shared" si="30"/>
        <v>0</v>
      </c>
      <c r="N75" s="74">
        <f t="shared" si="30"/>
        <v>0</v>
      </c>
      <c r="O75" s="74">
        <f t="shared" si="30"/>
        <v>0</v>
      </c>
      <c r="P75" s="74">
        <f t="shared" si="30"/>
        <v>0</v>
      </c>
      <c r="Q75" s="74">
        <f t="shared" si="30"/>
        <v>0</v>
      </c>
      <c r="R75" s="74">
        <f t="shared" si="30"/>
        <v>0</v>
      </c>
      <c r="S75" s="74">
        <f t="shared" si="30"/>
        <v>0</v>
      </c>
      <c r="T75" s="74">
        <f t="shared" si="30"/>
        <v>0</v>
      </c>
      <c r="U75" s="74">
        <f t="shared" si="30"/>
        <v>0</v>
      </c>
      <c r="V75" s="74">
        <f t="shared" si="30"/>
        <v>0</v>
      </c>
      <c r="W75" s="74">
        <f t="shared" si="30"/>
        <v>0</v>
      </c>
      <c r="X75" s="74">
        <f t="shared" si="30"/>
        <v>0</v>
      </c>
      <c r="Y75" s="74">
        <f t="shared" si="30"/>
        <v>0</v>
      </c>
      <c r="Z75" s="74">
        <f t="shared" si="30"/>
        <v>0</v>
      </c>
      <c r="AA75" s="74">
        <f t="shared" si="30"/>
        <v>0</v>
      </c>
      <c r="AB75" s="74">
        <f t="shared" si="30"/>
        <v>0</v>
      </c>
      <c r="AC75" s="74">
        <f t="shared" si="30"/>
        <v>0</v>
      </c>
      <c r="AD75" s="74">
        <f t="shared" si="30"/>
        <v>0</v>
      </c>
      <c r="AE75" s="74">
        <f t="shared" si="30"/>
        <v>0</v>
      </c>
      <c r="AF75" s="74">
        <f t="shared" si="30"/>
        <v>0</v>
      </c>
      <c r="AG75" s="74">
        <f t="shared" si="30"/>
        <v>0</v>
      </c>
      <c r="AH75" s="74">
        <f t="shared" si="30"/>
        <v>0</v>
      </c>
      <c r="AI75" s="74">
        <f t="shared" si="30"/>
        <v>0</v>
      </c>
      <c r="AJ75" s="74">
        <f t="shared" si="30"/>
        <v>0</v>
      </c>
      <c r="AK75" s="74">
        <f t="shared" si="30"/>
        <v>0</v>
      </c>
      <c r="AL75" s="74">
        <f t="shared" si="30"/>
        <v>0</v>
      </c>
      <c r="AM75" s="74">
        <f t="shared" si="30"/>
        <v>0</v>
      </c>
      <c r="AN75" s="74">
        <f t="shared" si="30"/>
        <v>0</v>
      </c>
      <c r="AO75" s="74">
        <f t="shared" si="30"/>
        <v>0</v>
      </c>
      <c r="AP75" s="74">
        <f t="shared" si="30"/>
        <v>0</v>
      </c>
      <c r="AQ75" s="74">
        <f t="shared" si="30"/>
        <v>0</v>
      </c>
      <c r="AR75" s="74">
        <f t="shared" si="30"/>
        <v>0</v>
      </c>
      <c r="AS75" s="74">
        <f t="shared" si="30"/>
        <v>0</v>
      </c>
      <c r="AT75" s="74">
        <f t="shared" si="30"/>
        <v>0</v>
      </c>
      <c r="AU75" s="74">
        <f t="shared" si="30"/>
        <v>0</v>
      </c>
      <c r="AV75" s="74">
        <f t="shared" si="30"/>
        <v>0</v>
      </c>
      <c r="AW75" s="74">
        <f t="shared" si="30"/>
        <v>0</v>
      </c>
      <c r="AX75" s="74">
        <f t="shared" si="30"/>
        <v>0</v>
      </c>
      <c r="AY75" s="74">
        <f t="shared" si="30"/>
        <v>0</v>
      </c>
      <c r="AZ75" s="69"/>
    </row>
    <row r="76" spans="1:52" ht="14.25" customHeight="1">
      <c r="E76" s="276"/>
      <c r="H76" s="83"/>
      <c r="I76" s="230" t="s">
        <v>53</v>
      </c>
      <c r="J76" s="67" t="e">
        <f>J74/(COUNTIFS($E$5:$E$35,$E74,J$5:J$35,"Alive")+COUNTIFS($E$5:$E$35,$E74,J$5:J$35,"Sacrificed")+COUNTIFS($E$5:$E$35,$E74,J$5:J$35,"Died"))</f>
        <v>#DIV/0!</v>
      </c>
      <c r="K76" s="67" t="e">
        <f t="shared" ref="K76:AY76" si="31">K74/(COUNTIFS($E$5:$E$35,$E74,K$5:K$35,"Alive")+COUNTIFS($E$5:$E$35,$E74,K$5:K$35,"Sacrificed")+COUNTIFS($E$5:$E$35,$E74,K$5:K$35,"Died"))*J76</f>
        <v>#DIV/0!</v>
      </c>
      <c r="L76" s="67" t="e">
        <f t="shared" si="31"/>
        <v>#DIV/0!</v>
      </c>
      <c r="M76" s="67" t="e">
        <f t="shared" si="31"/>
        <v>#DIV/0!</v>
      </c>
      <c r="N76" s="67" t="e">
        <f t="shared" si="31"/>
        <v>#DIV/0!</v>
      </c>
      <c r="O76" s="67" t="e">
        <f t="shared" si="31"/>
        <v>#DIV/0!</v>
      </c>
      <c r="P76" s="67" t="e">
        <f t="shared" si="31"/>
        <v>#DIV/0!</v>
      </c>
      <c r="Q76" s="67" t="e">
        <f t="shared" si="31"/>
        <v>#DIV/0!</v>
      </c>
      <c r="R76" s="67" t="e">
        <f t="shared" si="31"/>
        <v>#DIV/0!</v>
      </c>
      <c r="S76" s="67" t="e">
        <f t="shared" si="31"/>
        <v>#DIV/0!</v>
      </c>
      <c r="T76" s="67" t="e">
        <f t="shared" si="31"/>
        <v>#DIV/0!</v>
      </c>
      <c r="U76" s="67" t="e">
        <f t="shared" si="31"/>
        <v>#DIV/0!</v>
      </c>
      <c r="V76" s="67" t="e">
        <f t="shared" si="31"/>
        <v>#DIV/0!</v>
      </c>
      <c r="W76" s="67" t="e">
        <f t="shared" si="31"/>
        <v>#DIV/0!</v>
      </c>
      <c r="X76" s="67" t="e">
        <f t="shared" si="31"/>
        <v>#DIV/0!</v>
      </c>
      <c r="Y76" s="67" t="e">
        <f t="shared" si="31"/>
        <v>#DIV/0!</v>
      </c>
      <c r="Z76" s="67" t="e">
        <f t="shared" si="31"/>
        <v>#DIV/0!</v>
      </c>
      <c r="AA76" s="67" t="e">
        <f t="shared" si="31"/>
        <v>#DIV/0!</v>
      </c>
      <c r="AB76" s="67" t="e">
        <f t="shared" si="31"/>
        <v>#DIV/0!</v>
      </c>
      <c r="AC76" s="67" t="e">
        <f t="shared" si="31"/>
        <v>#DIV/0!</v>
      </c>
      <c r="AD76" s="67" t="e">
        <f t="shared" si="31"/>
        <v>#DIV/0!</v>
      </c>
      <c r="AE76" s="67" t="e">
        <f t="shared" si="31"/>
        <v>#DIV/0!</v>
      </c>
      <c r="AF76" s="67" t="e">
        <f t="shared" si="31"/>
        <v>#DIV/0!</v>
      </c>
      <c r="AG76" s="67" t="e">
        <f t="shared" si="31"/>
        <v>#DIV/0!</v>
      </c>
      <c r="AH76" s="67" t="e">
        <f t="shared" si="31"/>
        <v>#DIV/0!</v>
      </c>
      <c r="AI76" s="67" t="e">
        <f t="shared" si="31"/>
        <v>#DIV/0!</v>
      </c>
      <c r="AJ76" s="67" t="e">
        <f t="shared" si="31"/>
        <v>#DIV/0!</v>
      </c>
      <c r="AK76" s="67" t="e">
        <f t="shared" si="31"/>
        <v>#DIV/0!</v>
      </c>
      <c r="AL76" s="67" t="e">
        <f t="shared" si="31"/>
        <v>#DIV/0!</v>
      </c>
      <c r="AM76" s="67" t="e">
        <f t="shared" si="31"/>
        <v>#DIV/0!</v>
      </c>
      <c r="AN76" s="67" t="e">
        <f t="shared" si="31"/>
        <v>#DIV/0!</v>
      </c>
      <c r="AO76" s="67" t="e">
        <f t="shared" si="31"/>
        <v>#DIV/0!</v>
      </c>
      <c r="AP76" s="67" t="e">
        <f t="shared" si="31"/>
        <v>#DIV/0!</v>
      </c>
      <c r="AQ76" s="67" t="e">
        <f t="shared" si="31"/>
        <v>#DIV/0!</v>
      </c>
      <c r="AR76" s="67" t="e">
        <f t="shared" si="31"/>
        <v>#DIV/0!</v>
      </c>
      <c r="AS76" s="67" t="e">
        <f t="shared" si="31"/>
        <v>#DIV/0!</v>
      </c>
      <c r="AT76" s="67" t="e">
        <f t="shared" si="31"/>
        <v>#DIV/0!</v>
      </c>
      <c r="AU76" s="67" t="e">
        <f t="shared" si="31"/>
        <v>#DIV/0!</v>
      </c>
      <c r="AV76" s="67" t="e">
        <f t="shared" si="31"/>
        <v>#DIV/0!</v>
      </c>
      <c r="AW76" s="67" t="e">
        <f t="shared" si="31"/>
        <v>#DIV/0!</v>
      </c>
      <c r="AX76" s="67" t="e">
        <f t="shared" si="31"/>
        <v>#DIV/0!</v>
      </c>
      <c r="AY76" s="67" t="e">
        <f t="shared" si="31"/>
        <v>#DIV/0!</v>
      </c>
      <c r="AZ76" s="3"/>
    </row>
    <row r="78" spans="1:52" ht="14.25" customHeight="1">
      <c r="A78" s="103"/>
      <c r="E78" s="108" t="str">
        <f>'5GY EBRT Groups'!C15</f>
        <v>Group 10</v>
      </c>
      <c r="H78" s="108" t="str">
        <f>E78</f>
        <v>Group 10</v>
      </c>
      <c r="I78" s="230" t="s">
        <v>52</v>
      </c>
      <c r="J78" s="71">
        <f t="shared" ref="J78:AY78" si="32">COUNTIFS($E$5:$E$35,$E78,J$5:J$35,"Alive")</f>
        <v>0</v>
      </c>
      <c r="K78" s="71">
        <f t="shared" si="32"/>
        <v>0</v>
      </c>
      <c r="L78" s="71">
        <f t="shared" si="32"/>
        <v>0</v>
      </c>
      <c r="M78" s="71">
        <f t="shared" si="32"/>
        <v>0</v>
      </c>
      <c r="N78" s="71">
        <f t="shared" si="32"/>
        <v>0</v>
      </c>
      <c r="O78" s="71">
        <f t="shared" si="32"/>
        <v>0</v>
      </c>
      <c r="P78" s="71">
        <f t="shared" si="32"/>
        <v>0</v>
      </c>
      <c r="Q78" s="71">
        <f t="shared" si="32"/>
        <v>0</v>
      </c>
      <c r="R78" s="71">
        <f t="shared" si="32"/>
        <v>0</v>
      </c>
      <c r="S78" s="71">
        <f t="shared" si="32"/>
        <v>0</v>
      </c>
      <c r="T78" s="71">
        <f t="shared" si="32"/>
        <v>0</v>
      </c>
      <c r="U78" s="71">
        <f t="shared" si="32"/>
        <v>0</v>
      </c>
      <c r="V78" s="71">
        <f t="shared" si="32"/>
        <v>0</v>
      </c>
      <c r="W78" s="71">
        <f t="shared" si="32"/>
        <v>0</v>
      </c>
      <c r="X78" s="71">
        <f t="shared" si="32"/>
        <v>0</v>
      </c>
      <c r="Y78" s="71">
        <f t="shared" si="32"/>
        <v>0</v>
      </c>
      <c r="Z78" s="71">
        <f t="shared" si="32"/>
        <v>0</v>
      </c>
      <c r="AA78" s="71">
        <f t="shared" si="32"/>
        <v>0</v>
      </c>
      <c r="AB78" s="71">
        <f t="shared" si="32"/>
        <v>0</v>
      </c>
      <c r="AC78" s="71">
        <f t="shared" si="32"/>
        <v>0</v>
      </c>
      <c r="AD78" s="71">
        <f t="shared" si="32"/>
        <v>0</v>
      </c>
      <c r="AE78" s="71">
        <f t="shared" si="32"/>
        <v>0</v>
      </c>
      <c r="AF78" s="71">
        <f t="shared" si="32"/>
        <v>0</v>
      </c>
      <c r="AG78" s="71">
        <f t="shared" si="32"/>
        <v>0</v>
      </c>
      <c r="AH78" s="71">
        <f t="shared" si="32"/>
        <v>0</v>
      </c>
      <c r="AI78" s="71">
        <f t="shared" si="32"/>
        <v>0</v>
      </c>
      <c r="AJ78" s="71">
        <f t="shared" si="32"/>
        <v>0</v>
      </c>
      <c r="AK78" s="71">
        <f t="shared" si="32"/>
        <v>0</v>
      </c>
      <c r="AL78" s="71">
        <f t="shared" si="32"/>
        <v>0</v>
      </c>
      <c r="AM78" s="71">
        <f t="shared" si="32"/>
        <v>0</v>
      </c>
      <c r="AN78" s="71">
        <f t="shared" si="32"/>
        <v>0</v>
      </c>
      <c r="AO78" s="71">
        <f t="shared" si="32"/>
        <v>0</v>
      </c>
      <c r="AP78" s="71">
        <f t="shared" si="32"/>
        <v>0</v>
      </c>
      <c r="AQ78" s="71">
        <f t="shared" si="32"/>
        <v>0</v>
      </c>
      <c r="AR78" s="71">
        <f t="shared" si="32"/>
        <v>0</v>
      </c>
      <c r="AS78" s="71">
        <f t="shared" si="32"/>
        <v>0</v>
      </c>
      <c r="AT78" s="71">
        <f t="shared" si="32"/>
        <v>0</v>
      </c>
      <c r="AU78" s="71">
        <f t="shared" si="32"/>
        <v>0</v>
      </c>
      <c r="AV78" s="71">
        <f t="shared" si="32"/>
        <v>0</v>
      </c>
      <c r="AW78" s="71">
        <f t="shared" si="32"/>
        <v>0</v>
      </c>
      <c r="AX78" s="71">
        <f t="shared" si="32"/>
        <v>0</v>
      </c>
      <c r="AY78" s="71">
        <f t="shared" si="32"/>
        <v>0</v>
      </c>
      <c r="AZ78" s="69"/>
    </row>
    <row r="79" spans="1:52" ht="14.25" customHeight="1">
      <c r="A79" s="103"/>
      <c r="E79" s="83"/>
      <c r="H79" s="83"/>
      <c r="I79" s="230" t="s">
        <v>51</v>
      </c>
      <c r="J79" s="74">
        <f t="shared" ref="J79:AY79" si="33">COUNTIFS($E$5:$E$35,$E78,J$5:J$35,"Censored")</f>
        <v>0</v>
      </c>
      <c r="K79" s="74">
        <f t="shared" si="33"/>
        <v>0</v>
      </c>
      <c r="L79" s="74">
        <f t="shared" si="33"/>
        <v>0</v>
      </c>
      <c r="M79" s="74">
        <f t="shared" si="33"/>
        <v>0</v>
      </c>
      <c r="N79" s="74">
        <f t="shared" si="33"/>
        <v>0</v>
      </c>
      <c r="O79" s="74">
        <f t="shared" si="33"/>
        <v>0</v>
      </c>
      <c r="P79" s="74">
        <f t="shared" si="33"/>
        <v>0</v>
      </c>
      <c r="Q79" s="74">
        <f t="shared" si="33"/>
        <v>0</v>
      </c>
      <c r="R79" s="74">
        <f t="shared" si="33"/>
        <v>0</v>
      </c>
      <c r="S79" s="74">
        <f t="shared" si="33"/>
        <v>0</v>
      </c>
      <c r="T79" s="74">
        <f t="shared" si="33"/>
        <v>0</v>
      </c>
      <c r="U79" s="74">
        <f t="shared" si="33"/>
        <v>0</v>
      </c>
      <c r="V79" s="74">
        <f t="shared" si="33"/>
        <v>0</v>
      </c>
      <c r="W79" s="74">
        <f t="shared" si="33"/>
        <v>0</v>
      </c>
      <c r="X79" s="74">
        <f t="shared" si="33"/>
        <v>0</v>
      </c>
      <c r="Y79" s="74">
        <f t="shared" si="33"/>
        <v>0</v>
      </c>
      <c r="Z79" s="74">
        <f t="shared" si="33"/>
        <v>0</v>
      </c>
      <c r="AA79" s="74">
        <f t="shared" si="33"/>
        <v>0</v>
      </c>
      <c r="AB79" s="74">
        <f t="shared" si="33"/>
        <v>0</v>
      </c>
      <c r="AC79" s="74">
        <f t="shared" si="33"/>
        <v>0</v>
      </c>
      <c r="AD79" s="74">
        <f t="shared" si="33"/>
        <v>0</v>
      </c>
      <c r="AE79" s="74">
        <f t="shared" si="33"/>
        <v>0</v>
      </c>
      <c r="AF79" s="74">
        <f t="shared" si="33"/>
        <v>0</v>
      </c>
      <c r="AG79" s="74">
        <f t="shared" si="33"/>
        <v>0</v>
      </c>
      <c r="AH79" s="74">
        <f t="shared" si="33"/>
        <v>0</v>
      </c>
      <c r="AI79" s="74">
        <f t="shared" si="33"/>
        <v>0</v>
      </c>
      <c r="AJ79" s="74">
        <f t="shared" si="33"/>
        <v>0</v>
      </c>
      <c r="AK79" s="74">
        <f t="shared" si="33"/>
        <v>0</v>
      </c>
      <c r="AL79" s="74">
        <f t="shared" si="33"/>
        <v>0</v>
      </c>
      <c r="AM79" s="74">
        <f t="shared" si="33"/>
        <v>0</v>
      </c>
      <c r="AN79" s="74">
        <f t="shared" si="33"/>
        <v>0</v>
      </c>
      <c r="AO79" s="74">
        <f t="shared" si="33"/>
        <v>0</v>
      </c>
      <c r="AP79" s="74">
        <f t="shared" si="33"/>
        <v>0</v>
      </c>
      <c r="AQ79" s="74">
        <f t="shared" si="33"/>
        <v>0</v>
      </c>
      <c r="AR79" s="74">
        <f t="shared" si="33"/>
        <v>0</v>
      </c>
      <c r="AS79" s="74">
        <f t="shared" si="33"/>
        <v>0</v>
      </c>
      <c r="AT79" s="74">
        <f t="shared" si="33"/>
        <v>0</v>
      </c>
      <c r="AU79" s="74">
        <f t="shared" si="33"/>
        <v>0</v>
      </c>
      <c r="AV79" s="74">
        <f t="shared" si="33"/>
        <v>0</v>
      </c>
      <c r="AW79" s="74">
        <f t="shared" si="33"/>
        <v>0</v>
      </c>
      <c r="AX79" s="74">
        <f t="shared" si="33"/>
        <v>0</v>
      </c>
      <c r="AY79" s="74">
        <f t="shared" si="33"/>
        <v>0</v>
      </c>
      <c r="AZ79" s="69"/>
    </row>
    <row r="80" spans="1:52" ht="14.25" customHeight="1">
      <c r="E80" s="276"/>
      <c r="H80" s="83"/>
      <c r="I80" s="230" t="s">
        <v>53</v>
      </c>
      <c r="J80" s="67" t="e">
        <f>J78/(COUNTIFS($E$5:$E$35,$E78,J$5:J$35,"Alive")+COUNTIFS($E$5:$E$35,$E78,J$5:J$35,"Sacrificed")+COUNTIFS($E$5:$E$35,$E78,J$5:J$35,"Died"))</f>
        <v>#DIV/0!</v>
      </c>
      <c r="K80" s="67" t="e">
        <f t="shared" ref="K80:AY80" si="34">K78/(COUNTIFS($E$5:$E$35,$E78,K$5:K$35,"Alive")+COUNTIFS($E$5:$E$35,$E78,K$5:K$35,"Sacrificed")+COUNTIFS($E$5:$E$35,$E78,K$5:K$35,"Died"))*J80</f>
        <v>#DIV/0!</v>
      </c>
      <c r="L80" s="67" t="e">
        <f t="shared" si="34"/>
        <v>#DIV/0!</v>
      </c>
      <c r="M80" s="67" t="e">
        <f t="shared" si="34"/>
        <v>#DIV/0!</v>
      </c>
      <c r="N80" s="67" t="e">
        <f t="shared" si="34"/>
        <v>#DIV/0!</v>
      </c>
      <c r="O80" s="67" t="e">
        <f t="shared" si="34"/>
        <v>#DIV/0!</v>
      </c>
      <c r="P80" s="67" t="e">
        <f t="shared" si="34"/>
        <v>#DIV/0!</v>
      </c>
      <c r="Q80" s="67" t="e">
        <f t="shared" si="34"/>
        <v>#DIV/0!</v>
      </c>
      <c r="R80" s="67" t="e">
        <f t="shared" si="34"/>
        <v>#DIV/0!</v>
      </c>
      <c r="S80" s="67" t="e">
        <f t="shared" si="34"/>
        <v>#DIV/0!</v>
      </c>
      <c r="T80" s="67" t="e">
        <f t="shared" si="34"/>
        <v>#DIV/0!</v>
      </c>
      <c r="U80" s="67" t="e">
        <f t="shared" si="34"/>
        <v>#DIV/0!</v>
      </c>
      <c r="V80" s="67" t="e">
        <f t="shared" si="34"/>
        <v>#DIV/0!</v>
      </c>
      <c r="W80" s="67" t="e">
        <f t="shared" si="34"/>
        <v>#DIV/0!</v>
      </c>
      <c r="X80" s="67" t="e">
        <f t="shared" si="34"/>
        <v>#DIV/0!</v>
      </c>
      <c r="Y80" s="67" t="e">
        <f t="shared" si="34"/>
        <v>#DIV/0!</v>
      </c>
      <c r="Z80" s="67" t="e">
        <f t="shared" si="34"/>
        <v>#DIV/0!</v>
      </c>
      <c r="AA80" s="67" t="e">
        <f t="shared" si="34"/>
        <v>#DIV/0!</v>
      </c>
      <c r="AB80" s="67" t="e">
        <f t="shared" si="34"/>
        <v>#DIV/0!</v>
      </c>
      <c r="AC80" s="67" t="e">
        <f t="shared" si="34"/>
        <v>#DIV/0!</v>
      </c>
      <c r="AD80" s="67" t="e">
        <f t="shared" si="34"/>
        <v>#DIV/0!</v>
      </c>
      <c r="AE80" s="67" t="e">
        <f t="shared" si="34"/>
        <v>#DIV/0!</v>
      </c>
      <c r="AF80" s="67" t="e">
        <f t="shared" si="34"/>
        <v>#DIV/0!</v>
      </c>
      <c r="AG80" s="67" t="e">
        <f t="shared" si="34"/>
        <v>#DIV/0!</v>
      </c>
      <c r="AH80" s="67" t="e">
        <f t="shared" si="34"/>
        <v>#DIV/0!</v>
      </c>
      <c r="AI80" s="67" t="e">
        <f t="shared" si="34"/>
        <v>#DIV/0!</v>
      </c>
      <c r="AJ80" s="67" t="e">
        <f t="shared" si="34"/>
        <v>#DIV/0!</v>
      </c>
      <c r="AK80" s="67" t="e">
        <f t="shared" si="34"/>
        <v>#DIV/0!</v>
      </c>
      <c r="AL80" s="67" t="e">
        <f t="shared" si="34"/>
        <v>#DIV/0!</v>
      </c>
      <c r="AM80" s="67" t="e">
        <f t="shared" si="34"/>
        <v>#DIV/0!</v>
      </c>
      <c r="AN80" s="67" t="e">
        <f t="shared" si="34"/>
        <v>#DIV/0!</v>
      </c>
      <c r="AO80" s="67" t="e">
        <f t="shared" si="34"/>
        <v>#DIV/0!</v>
      </c>
      <c r="AP80" s="67" t="e">
        <f t="shared" si="34"/>
        <v>#DIV/0!</v>
      </c>
      <c r="AQ80" s="67" t="e">
        <f t="shared" si="34"/>
        <v>#DIV/0!</v>
      </c>
      <c r="AR80" s="67" t="e">
        <f t="shared" si="34"/>
        <v>#DIV/0!</v>
      </c>
      <c r="AS80" s="67" t="e">
        <f t="shared" si="34"/>
        <v>#DIV/0!</v>
      </c>
      <c r="AT80" s="67" t="e">
        <f t="shared" si="34"/>
        <v>#DIV/0!</v>
      </c>
      <c r="AU80" s="67" t="e">
        <f t="shared" si="34"/>
        <v>#DIV/0!</v>
      </c>
      <c r="AV80" s="67" t="e">
        <f t="shared" si="34"/>
        <v>#DIV/0!</v>
      </c>
      <c r="AW80" s="67" t="e">
        <f t="shared" si="34"/>
        <v>#DIV/0!</v>
      </c>
      <c r="AX80" s="67" t="e">
        <f t="shared" si="34"/>
        <v>#DIV/0!</v>
      </c>
      <c r="AY80" s="67" t="e">
        <f t="shared" si="34"/>
        <v>#DIV/0!</v>
      </c>
      <c r="AZ80" s="3"/>
    </row>
    <row r="82" spans="1:52" ht="14.25" customHeight="1">
      <c r="A82" s="103"/>
      <c r="E82" s="108" t="str">
        <f>'5GY EBRT Groups'!C16</f>
        <v>Group 11</v>
      </c>
      <c r="H82" s="108" t="str">
        <f>E82</f>
        <v>Group 11</v>
      </c>
      <c r="I82" s="230" t="s">
        <v>52</v>
      </c>
      <c r="J82" s="71">
        <f t="shared" ref="J82:AY82" si="35">COUNTIFS($E$5:$E$35,$E82,J$5:J$35,"Alive")</f>
        <v>0</v>
      </c>
      <c r="K82" s="71">
        <f t="shared" si="35"/>
        <v>0</v>
      </c>
      <c r="L82" s="71">
        <f t="shared" si="35"/>
        <v>0</v>
      </c>
      <c r="M82" s="71">
        <f t="shared" si="35"/>
        <v>0</v>
      </c>
      <c r="N82" s="71">
        <f t="shared" si="35"/>
        <v>0</v>
      </c>
      <c r="O82" s="71">
        <f t="shared" si="35"/>
        <v>0</v>
      </c>
      <c r="P82" s="71">
        <f t="shared" si="35"/>
        <v>0</v>
      </c>
      <c r="Q82" s="71">
        <f t="shared" si="35"/>
        <v>0</v>
      </c>
      <c r="R82" s="71">
        <f t="shared" si="35"/>
        <v>0</v>
      </c>
      <c r="S82" s="71">
        <f t="shared" si="35"/>
        <v>0</v>
      </c>
      <c r="T82" s="71">
        <f t="shared" si="35"/>
        <v>0</v>
      </c>
      <c r="U82" s="71">
        <f t="shared" si="35"/>
        <v>0</v>
      </c>
      <c r="V82" s="71">
        <f t="shared" si="35"/>
        <v>0</v>
      </c>
      <c r="W82" s="71">
        <f t="shared" si="35"/>
        <v>0</v>
      </c>
      <c r="X82" s="71">
        <f t="shared" si="35"/>
        <v>0</v>
      </c>
      <c r="Y82" s="71">
        <f t="shared" si="35"/>
        <v>0</v>
      </c>
      <c r="Z82" s="71">
        <f t="shared" si="35"/>
        <v>0</v>
      </c>
      <c r="AA82" s="71">
        <f t="shared" si="35"/>
        <v>0</v>
      </c>
      <c r="AB82" s="71">
        <f t="shared" si="35"/>
        <v>0</v>
      </c>
      <c r="AC82" s="71">
        <f t="shared" si="35"/>
        <v>0</v>
      </c>
      <c r="AD82" s="71">
        <f t="shared" si="35"/>
        <v>0</v>
      </c>
      <c r="AE82" s="71">
        <f t="shared" si="35"/>
        <v>0</v>
      </c>
      <c r="AF82" s="71">
        <f t="shared" si="35"/>
        <v>0</v>
      </c>
      <c r="AG82" s="71">
        <f t="shared" si="35"/>
        <v>0</v>
      </c>
      <c r="AH82" s="71">
        <f t="shared" si="35"/>
        <v>0</v>
      </c>
      <c r="AI82" s="71">
        <f t="shared" si="35"/>
        <v>0</v>
      </c>
      <c r="AJ82" s="71">
        <f t="shared" si="35"/>
        <v>0</v>
      </c>
      <c r="AK82" s="71">
        <f t="shared" si="35"/>
        <v>0</v>
      </c>
      <c r="AL82" s="71">
        <f t="shared" si="35"/>
        <v>0</v>
      </c>
      <c r="AM82" s="71">
        <f t="shared" si="35"/>
        <v>0</v>
      </c>
      <c r="AN82" s="71">
        <f t="shared" si="35"/>
        <v>0</v>
      </c>
      <c r="AO82" s="71">
        <f t="shared" si="35"/>
        <v>0</v>
      </c>
      <c r="AP82" s="71">
        <f t="shared" si="35"/>
        <v>0</v>
      </c>
      <c r="AQ82" s="71">
        <f t="shared" si="35"/>
        <v>0</v>
      </c>
      <c r="AR82" s="71">
        <f t="shared" si="35"/>
        <v>0</v>
      </c>
      <c r="AS82" s="71">
        <f t="shared" si="35"/>
        <v>0</v>
      </c>
      <c r="AT82" s="71">
        <f t="shared" si="35"/>
        <v>0</v>
      </c>
      <c r="AU82" s="71">
        <f t="shared" si="35"/>
        <v>0</v>
      </c>
      <c r="AV82" s="71">
        <f t="shared" si="35"/>
        <v>0</v>
      </c>
      <c r="AW82" s="71">
        <f t="shared" si="35"/>
        <v>0</v>
      </c>
      <c r="AX82" s="71">
        <f t="shared" si="35"/>
        <v>0</v>
      </c>
      <c r="AY82" s="71">
        <f t="shared" si="35"/>
        <v>0</v>
      </c>
      <c r="AZ82" s="69"/>
    </row>
    <row r="83" spans="1:52" ht="14.25" customHeight="1">
      <c r="A83" s="103"/>
      <c r="E83" s="83"/>
      <c r="H83" s="83"/>
      <c r="I83" s="230" t="s">
        <v>51</v>
      </c>
      <c r="J83" s="74">
        <f t="shared" ref="J83:AY83" si="36">COUNTIFS($E$5:$E$35,$E82,J$5:J$35,"Censored")</f>
        <v>0</v>
      </c>
      <c r="K83" s="74">
        <f t="shared" si="36"/>
        <v>0</v>
      </c>
      <c r="L83" s="74">
        <f t="shared" si="36"/>
        <v>0</v>
      </c>
      <c r="M83" s="74">
        <f t="shared" si="36"/>
        <v>0</v>
      </c>
      <c r="N83" s="74">
        <f t="shared" si="36"/>
        <v>0</v>
      </c>
      <c r="O83" s="74">
        <f t="shared" si="36"/>
        <v>0</v>
      </c>
      <c r="P83" s="74">
        <f t="shared" si="36"/>
        <v>0</v>
      </c>
      <c r="Q83" s="74">
        <f t="shared" si="36"/>
        <v>0</v>
      </c>
      <c r="R83" s="74">
        <f t="shared" si="36"/>
        <v>0</v>
      </c>
      <c r="S83" s="74">
        <f t="shared" si="36"/>
        <v>0</v>
      </c>
      <c r="T83" s="74">
        <f t="shared" si="36"/>
        <v>0</v>
      </c>
      <c r="U83" s="74">
        <f t="shared" si="36"/>
        <v>0</v>
      </c>
      <c r="V83" s="74">
        <f t="shared" si="36"/>
        <v>0</v>
      </c>
      <c r="W83" s="74">
        <f t="shared" si="36"/>
        <v>0</v>
      </c>
      <c r="X83" s="74">
        <f t="shared" si="36"/>
        <v>0</v>
      </c>
      <c r="Y83" s="74">
        <f t="shared" si="36"/>
        <v>0</v>
      </c>
      <c r="Z83" s="74">
        <f t="shared" si="36"/>
        <v>0</v>
      </c>
      <c r="AA83" s="74">
        <f t="shared" si="36"/>
        <v>0</v>
      </c>
      <c r="AB83" s="74">
        <f t="shared" si="36"/>
        <v>0</v>
      </c>
      <c r="AC83" s="74">
        <f t="shared" si="36"/>
        <v>0</v>
      </c>
      <c r="AD83" s="74">
        <f t="shared" si="36"/>
        <v>0</v>
      </c>
      <c r="AE83" s="74">
        <f t="shared" si="36"/>
        <v>0</v>
      </c>
      <c r="AF83" s="74">
        <f t="shared" si="36"/>
        <v>0</v>
      </c>
      <c r="AG83" s="74">
        <f t="shared" si="36"/>
        <v>0</v>
      </c>
      <c r="AH83" s="74">
        <f t="shared" si="36"/>
        <v>0</v>
      </c>
      <c r="AI83" s="74">
        <f t="shared" si="36"/>
        <v>0</v>
      </c>
      <c r="AJ83" s="74">
        <f t="shared" si="36"/>
        <v>0</v>
      </c>
      <c r="AK83" s="74">
        <f t="shared" si="36"/>
        <v>0</v>
      </c>
      <c r="AL83" s="74">
        <f t="shared" si="36"/>
        <v>0</v>
      </c>
      <c r="AM83" s="74">
        <f t="shared" si="36"/>
        <v>0</v>
      </c>
      <c r="AN83" s="74">
        <f t="shared" si="36"/>
        <v>0</v>
      </c>
      <c r="AO83" s="74">
        <f t="shared" si="36"/>
        <v>0</v>
      </c>
      <c r="AP83" s="74">
        <f t="shared" si="36"/>
        <v>0</v>
      </c>
      <c r="AQ83" s="74">
        <f t="shared" si="36"/>
        <v>0</v>
      </c>
      <c r="AR83" s="74">
        <f t="shared" si="36"/>
        <v>0</v>
      </c>
      <c r="AS83" s="74">
        <f t="shared" si="36"/>
        <v>0</v>
      </c>
      <c r="AT83" s="74">
        <f t="shared" si="36"/>
        <v>0</v>
      </c>
      <c r="AU83" s="74">
        <f t="shared" si="36"/>
        <v>0</v>
      </c>
      <c r="AV83" s="74">
        <f t="shared" si="36"/>
        <v>0</v>
      </c>
      <c r="AW83" s="74">
        <f t="shared" si="36"/>
        <v>0</v>
      </c>
      <c r="AX83" s="74">
        <f t="shared" si="36"/>
        <v>0</v>
      </c>
      <c r="AY83" s="74">
        <f t="shared" si="36"/>
        <v>0</v>
      </c>
      <c r="AZ83" s="69"/>
    </row>
    <row r="84" spans="1:52" ht="14.25" customHeight="1">
      <c r="E84" s="276"/>
      <c r="H84" s="83"/>
      <c r="I84" s="230" t="s">
        <v>53</v>
      </c>
      <c r="J84" s="67" t="e">
        <f>J82/(COUNTIFS($E$5:$E$35,$E82,J$5:J$35,"Alive")+COUNTIFS($E$5:$E$35,$E82,J$5:J$35,"Sacrificed")+COUNTIFS($E$5:$E$35,$E82,J$5:J$35,"Died"))</f>
        <v>#DIV/0!</v>
      </c>
      <c r="K84" s="67" t="e">
        <f t="shared" ref="K84:AY84" si="37">K82/(COUNTIFS($E$5:$E$35,$E82,K$5:K$35,"Alive")+COUNTIFS($E$5:$E$35,$E82,K$5:K$35,"Sacrificed")+COUNTIFS($E$5:$E$35,$E82,K$5:K$35,"Died"))*J84</f>
        <v>#DIV/0!</v>
      </c>
      <c r="L84" s="67" t="e">
        <f t="shared" si="37"/>
        <v>#DIV/0!</v>
      </c>
      <c r="M84" s="67" t="e">
        <f t="shared" si="37"/>
        <v>#DIV/0!</v>
      </c>
      <c r="N84" s="67" t="e">
        <f t="shared" si="37"/>
        <v>#DIV/0!</v>
      </c>
      <c r="O84" s="67" t="e">
        <f t="shared" si="37"/>
        <v>#DIV/0!</v>
      </c>
      <c r="P84" s="67" t="e">
        <f t="shared" si="37"/>
        <v>#DIV/0!</v>
      </c>
      <c r="Q84" s="67" t="e">
        <f t="shared" si="37"/>
        <v>#DIV/0!</v>
      </c>
      <c r="R84" s="67" t="e">
        <f t="shared" si="37"/>
        <v>#DIV/0!</v>
      </c>
      <c r="S84" s="67" t="e">
        <f t="shared" si="37"/>
        <v>#DIV/0!</v>
      </c>
      <c r="T84" s="67" t="e">
        <f t="shared" si="37"/>
        <v>#DIV/0!</v>
      </c>
      <c r="U84" s="67" t="e">
        <f t="shared" si="37"/>
        <v>#DIV/0!</v>
      </c>
      <c r="V84" s="67" t="e">
        <f t="shared" si="37"/>
        <v>#DIV/0!</v>
      </c>
      <c r="W84" s="67" t="e">
        <f t="shared" si="37"/>
        <v>#DIV/0!</v>
      </c>
      <c r="X84" s="67" t="e">
        <f t="shared" si="37"/>
        <v>#DIV/0!</v>
      </c>
      <c r="Y84" s="67" t="e">
        <f t="shared" si="37"/>
        <v>#DIV/0!</v>
      </c>
      <c r="Z84" s="67" t="e">
        <f t="shared" si="37"/>
        <v>#DIV/0!</v>
      </c>
      <c r="AA84" s="67" t="e">
        <f t="shared" si="37"/>
        <v>#DIV/0!</v>
      </c>
      <c r="AB84" s="67" t="e">
        <f t="shared" si="37"/>
        <v>#DIV/0!</v>
      </c>
      <c r="AC84" s="67" t="e">
        <f t="shared" si="37"/>
        <v>#DIV/0!</v>
      </c>
      <c r="AD84" s="67" t="e">
        <f t="shared" si="37"/>
        <v>#DIV/0!</v>
      </c>
      <c r="AE84" s="67" t="e">
        <f t="shared" si="37"/>
        <v>#DIV/0!</v>
      </c>
      <c r="AF84" s="67" t="e">
        <f t="shared" si="37"/>
        <v>#DIV/0!</v>
      </c>
      <c r="AG84" s="67" t="e">
        <f t="shared" si="37"/>
        <v>#DIV/0!</v>
      </c>
      <c r="AH84" s="67" t="e">
        <f t="shared" si="37"/>
        <v>#DIV/0!</v>
      </c>
      <c r="AI84" s="67" t="e">
        <f t="shared" si="37"/>
        <v>#DIV/0!</v>
      </c>
      <c r="AJ84" s="67" t="e">
        <f t="shared" si="37"/>
        <v>#DIV/0!</v>
      </c>
      <c r="AK84" s="67" t="e">
        <f t="shared" si="37"/>
        <v>#DIV/0!</v>
      </c>
      <c r="AL84" s="67" t="e">
        <f t="shared" si="37"/>
        <v>#DIV/0!</v>
      </c>
      <c r="AM84" s="67" t="e">
        <f t="shared" si="37"/>
        <v>#DIV/0!</v>
      </c>
      <c r="AN84" s="67" t="e">
        <f t="shared" si="37"/>
        <v>#DIV/0!</v>
      </c>
      <c r="AO84" s="67" t="e">
        <f t="shared" si="37"/>
        <v>#DIV/0!</v>
      </c>
      <c r="AP84" s="67" t="e">
        <f t="shared" si="37"/>
        <v>#DIV/0!</v>
      </c>
      <c r="AQ84" s="67" t="e">
        <f t="shared" si="37"/>
        <v>#DIV/0!</v>
      </c>
      <c r="AR84" s="67" t="e">
        <f t="shared" si="37"/>
        <v>#DIV/0!</v>
      </c>
      <c r="AS84" s="67" t="e">
        <f t="shared" si="37"/>
        <v>#DIV/0!</v>
      </c>
      <c r="AT84" s="67" t="e">
        <f t="shared" si="37"/>
        <v>#DIV/0!</v>
      </c>
      <c r="AU84" s="67" t="e">
        <f t="shared" si="37"/>
        <v>#DIV/0!</v>
      </c>
      <c r="AV84" s="67" t="e">
        <f t="shared" si="37"/>
        <v>#DIV/0!</v>
      </c>
      <c r="AW84" s="67" t="e">
        <f t="shared" si="37"/>
        <v>#DIV/0!</v>
      </c>
      <c r="AX84" s="67" t="e">
        <f t="shared" si="37"/>
        <v>#DIV/0!</v>
      </c>
      <c r="AY84" s="67" t="e">
        <f t="shared" si="37"/>
        <v>#DIV/0!</v>
      </c>
      <c r="AZ84" s="3"/>
    </row>
    <row r="86" spans="1:52" ht="14.25" customHeight="1">
      <c r="A86" s="103"/>
      <c r="E86" s="108" t="str">
        <f>'5GY EBRT Groups'!C17</f>
        <v>Group 12</v>
      </c>
      <c r="H86" s="108" t="str">
        <f>E86</f>
        <v>Group 12</v>
      </c>
      <c r="I86" s="230" t="s">
        <v>52</v>
      </c>
      <c r="J86" s="71">
        <f t="shared" ref="J86:AY86" si="38">COUNTIFS($E$5:$E$35,$E86,J$5:J$35,"Alive")</f>
        <v>0</v>
      </c>
      <c r="K86" s="71">
        <f t="shared" si="38"/>
        <v>0</v>
      </c>
      <c r="L86" s="71">
        <f t="shared" si="38"/>
        <v>0</v>
      </c>
      <c r="M86" s="71">
        <f t="shared" si="38"/>
        <v>0</v>
      </c>
      <c r="N86" s="71">
        <f t="shared" si="38"/>
        <v>0</v>
      </c>
      <c r="O86" s="71">
        <f t="shared" si="38"/>
        <v>0</v>
      </c>
      <c r="P86" s="71">
        <f t="shared" si="38"/>
        <v>0</v>
      </c>
      <c r="Q86" s="71">
        <f t="shared" si="38"/>
        <v>0</v>
      </c>
      <c r="R86" s="71">
        <f t="shared" si="38"/>
        <v>0</v>
      </c>
      <c r="S86" s="71">
        <f t="shared" si="38"/>
        <v>0</v>
      </c>
      <c r="T86" s="71">
        <f t="shared" si="38"/>
        <v>0</v>
      </c>
      <c r="U86" s="71">
        <f t="shared" si="38"/>
        <v>0</v>
      </c>
      <c r="V86" s="71">
        <f t="shared" si="38"/>
        <v>0</v>
      </c>
      <c r="W86" s="71">
        <f t="shared" si="38"/>
        <v>0</v>
      </c>
      <c r="X86" s="71">
        <f t="shared" si="38"/>
        <v>0</v>
      </c>
      <c r="Y86" s="71">
        <f t="shared" si="38"/>
        <v>0</v>
      </c>
      <c r="Z86" s="71">
        <f t="shared" si="38"/>
        <v>0</v>
      </c>
      <c r="AA86" s="71">
        <f t="shared" si="38"/>
        <v>0</v>
      </c>
      <c r="AB86" s="71">
        <f t="shared" si="38"/>
        <v>0</v>
      </c>
      <c r="AC86" s="71">
        <f t="shared" si="38"/>
        <v>0</v>
      </c>
      <c r="AD86" s="71">
        <f t="shared" si="38"/>
        <v>0</v>
      </c>
      <c r="AE86" s="71">
        <f t="shared" si="38"/>
        <v>0</v>
      </c>
      <c r="AF86" s="71">
        <f t="shared" si="38"/>
        <v>0</v>
      </c>
      <c r="AG86" s="71">
        <f t="shared" si="38"/>
        <v>0</v>
      </c>
      <c r="AH86" s="71">
        <f t="shared" si="38"/>
        <v>0</v>
      </c>
      <c r="AI86" s="71">
        <f t="shared" si="38"/>
        <v>0</v>
      </c>
      <c r="AJ86" s="71">
        <f t="shared" si="38"/>
        <v>0</v>
      </c>
      <c r="AK86" s="71">
        <f t="shared" si="38"/>
        <v>0</v>
      </c>
      <c r="AL86" s="71">
        <f t="shared" si="38"/>
        <v>0</v>
      </c>
      <c r="AM86" s="71">
        <f t="shared" si="38"/>
        <v>0</v>
      </c>
      <c r="AN86" s="71">
        <f t="shared" si="38"/>
        <v>0</v>
      </c>
      <c r="AO86" s="71">
        <f t="shared" si="38"/>
        <v>0</v>
      </c>
      <c r="AP86" s="71">
        <f t="shared" si="38"/>
        <v>0</v>
      </c>
      <c r="AQ86" s="71">
        <f t="shared" si="38"/>
        <v>0</v>
      </c>
      <c r="AR86" s="71">
        <f t="shared" si="38"/>
        <v>0</v>
      </c>
      <c r="AS86" s="71">
        <f t="shared" si="38"/>
        <v>0</v>
      </c>
      <c r="AT86" s="71">
        <f t="shared" si="38"/>
        <v>0</v>
      </c>
      <c r="AU86" s="71">
        <f t="shared" si="38"/>
        <v>0</v>
      </c>
      <c r="AV86" s="71">
        <f t="shared" si="38"/>
        <v>0</v>
      </c>
      <c r="AW86" s="71">
        <f t="shared" si="38"/>
        <v>0</v>
      </c>
      <c r="AX86" s="71">
        <f t="shared" si="38"/>
        <v>0</v>
      </c>
      <c r="AY86" s="71">
        <f t="shared" si="38"/>
        <v>0</v>
      </c>
      <c r="AZ86" s="69"/>
    </row>
    <row r="87" spans="1:52" ht="14.25" customHeight="1">
      <c r="A87" s="103"/>
      <c r="E87" s="83"/>
      <c r="H87" s="83"/>
      <c r="I87" s="230" t="s">
        <v>51</v>
      </c>
      <c r="J87" s="74">
        <f t="shared" ref="J87:AY87" si="39">COUNTIFS($E$5:$E$35,$E86,J$5:J$35,"Censored")</f>
        <v>0</v>
      </c>
      <c r="K87" s="74">
        <f t="shared" si="39"/>
        <v>0</v>
      </c>
      <c r="L87" s="74">
        <f t="shared" si="39"/>
        <v>0</v>
      </c>
      <c r="M87" s="74">
        <f t="shared" si="39"/>
        <v>0</v>
      </c>
      <c r="N87" s="74">
        <f t="shared" si="39"/>
        <v>0</v>
      </c>
      <c r="O87" s="74">
        <f t="shared" si="39"/>
        <v>0</v>
      </c>
      <c r="P87" s="74">
        <f t="shared" si="39"/>
        <v>0</v>
      </c>
      <c r="Q87" s="74">
        <f t="shared" si="39"/>
        <v>0</v>
      </c>
      <c r="R87" s="74">
        <f t="shared" si="39"/>
        <v>0</v>
      </c>
      <c r="S87" s="74">
        <f t="shared" si="39"/>
        <v>0</v>
      </c>
      <c r="T87" s="74">
        <f t="shared" si="39"/>
        <v>0</v>
      </c>
      <c r="U87" s="74">
        <f t="shared" si="39"/>
        <v>0</v>
      </c>
      <c r="V87" s="74">
        <f t="shared" si="39"/>
        <v>0</v>
      </c>
      <c r="W87" s="74">
        <f t="shared" si="39"/>
        <v>0</v>
      </c>
      <c r="X87" s="74">
        <f t="shared" si="39"/>
        <v>0</v>
      </c>
      <c r="Y87" s="74">
        <f t="shared" si="39"/>
        <v>0</v>
      </c>
      <c r="Z87" s="74">
        <f t="shared" si="39"/>
        <v>0</v>
      </c>
      <c r="AA87" s="74">
        <f t="shared" si="39"/>
        <v>0</v>
      </c>
      <c r="AB87" s="74">
        <f t="shared" si="39"/>
        <v>0</v>
      </c>
      <c r="AC87" s="74">
        <f t="shared" si="39"/>
        <v>0</v>
      </c>
      <c r="AD87" s="74">
        <f t="shared" si="39"/>
        <v>0</v>
      </c>
      <c r="AE87" s="74">
        <f t="shared" si="39"/>
        <v>0</v>
      </c>
      <c r="AF87" s="74">
        <f t="shared" si="39"/>
        <v>0</v>
      </c>
      <c r="AG87" s="74">
        <f t="shared" si="39"/>
        <v>0</v>
      </c>
      <c r="AH87" s="74">
        <f t="shared" si="39"/>
        <v>0</v>
      </c>
      <c r="AI87" s="74">
        <f t="shared" si="39"/>
        <v>0</v>
      </c>
      <c r="AJ87" s="74">
        <f t="shared" si="39"/>
        <v>0</v>
      </c>
      <c r="AK87" s="74">
        <f t="shared" si="39"/>
        <v>0</v>
      </c>
      <c r="AL87" s="74">
        <f t="shared" si="39"/>
        <v>0</v>
      </c>
      <c r="AM87" s="74">
        <f t="shared" si="39"/>
        <v>0</v>
      </c>
      <c r="AN87" s="74">
        <f t="shared" si="39"/>
        <v>0</v>
      </c>
      <c r="AO87" s="74">
        <f t="shared" si="39"/>
        <v>0</v>
      </c>
      <c r="AP87" s="74">
        <f t="shared" si="39"/>
        <v>0</v>
      </c>
      <c r="AQ87" s="74">
        <f t="shared" si="39"/>
        <v>0</v>
      </c>
      <c r="AR87" s="74">
        <f t="shared" si="39"/>
        <v>0</v>
      </c>
      <c r="AS87" s="74">
        <f t="shared" si="39"/>
        <v>0</v>
      </c>
      <c r="AT87" s="74">
        <f t="shared" si="39"/>
        <v>0</v>
      </c>
      <c r="AU87" s="74">
        <f t="shared" si="39"/>
        <v>0</v>
      </c>
      <c r="AV87" s="74">
        <f t="shared" si="39"/>
        <v>0</v>
      </c>
      <c r="AW87" s="74">
        <f t="shared" si="39"/>
        <v>0</v>
      </c>
      <c r="AX87" s="74">
        <f t="shared" si="39"/>
        <v>0</v>
      </c>
      <c r="AY87" s="74">
        <f t="shared" si="39"/>
        <v>0</v>
      </c>
      <c r="AZ87" s="69"/>
    </row>
    <row r="88" spans="1:52" ht="14.25" customHeight="1">
      <c r="E88" s="276"/>
      <c r="H88" s="83"/>
      <c r="I88" s="230" t="s">
        <v>53</v>
      </c>
      <c r="J88" s="67" t="e">
        <f>J86/(COUNTIFS($E$5:$E$35,$E86,J$5:J$35,"Alive")+COUNTIFS($E$5:$E$35,$E86,J$5:J$35,"Sacrificed")+COUNTIFS($E$5:$E$35,$E86,J$5:J$35,"Died"))</f>
        <v>#DIV/0!</v>
      </c>
      <c r="K88" s="67" t="e">
        <f t="shared" ref="K88:AY88" si="40">K86/(COUNTIFS($E$5:$E$35,$E86,K$5:K$35,"Alive")+COUNTIFS($E$5:$E$35,$E86,K$5:K$35,"Sacrificed")+COUNTIFS($E$5:$E$35,$E86,K$5:K$35,"Died"))*J88</f>
        <v>#DIV/0!</v>
      </c>
      <c r="L88" s="67" t="e">
        <f t="shared" si="40"/>
        <v>#DIV/0!</v>
      </c>
      <c r="M88" s="67" t="e">
        <f t="shared" si="40"/>
        <v>#DIV/0!</v>
      </c>
      <c r="N88" s="67" t="e">
        <f t="shared" si="40"/>
        <v>#DIV/0!</v>
      </c>
      <c r="O88" s="67" t="e">
        <f t="shared" si="40"/>
        <v>#DIV/0!</v>
      </c>
      <c r="P88" s="67" t="e">
        <f t="shared" si="40"/>
        <v>#DIV/0!</v>
      </c>
      <c r="Q88" s="67" t="e">
        <f t="shared" si="40"/>
        <v>#DIV/0!</v>
      </c>
      <c r="R88" s="67" t="e">
        <f t="shared" si="40"/>
        <v>#DIV/0!</v>
      </c>
      <c r="S88" s="67" t="e">
        <f t="shared" si="40"/>
        <v>#DIV/0!</v>
      </c>
      <c r="T88" s="67" t="e">
        <f t="shared" si="40"/>
        <v>#DIV/0!</v>
      </c>
      <c r="U88" s="67" t="e">
        <f t="shared" si="40"/>
        <v>#DIV/0!</v>
      </c>
      <c r="V88" s="67" t="e">
        <f t="shared" si="40"/>
        <v>#DIV/0!</v>
      </c>
      <c r="W88" s="67" t="e">
        <f t="shared" si="40"/>
        <v>#DIV/0!</v>
      </c>
      <c r="X88" s="67" t="e">
        <f t="shared" si="40"/>
        <v>#DIV/0!</v>
      </c>
      <c r="Y88" s="67" t="e">
        <f t="shared" si="40"/>
        <v>#DIV/0!</v>
      </c>
      <c r="Z88" s="67" t="e">
        <f t="shared" si="40"/>
        <v>#DIV/0!</v>
      </c>
      <c r="AA88" s="67" t="e">
        <f t="shared" si="40"/>
        <v>#DIV/0!</v>
      </c>
      <c r="AB88" s="67" t="e">
        <f t="shared" si="40"/>
        <v>#DIV/0!</v>
      </c>
      <c r="AC88" s="67" t="e">
        <f t="shared" si="40"/>
        <v>#DIV/0!</v>
      </c>
      <c r="AD88" s="67" t="e">
        <f t="shared" si="40"/>
        <v>#DIV/0!</v>
      </c>
      <c r="AE88" s="67" t="e">
        <f t="shared" si="40"/>
        <v>#DIV/0!</v>
      </c>
      <c r="AF88" s="67" t="e">
        <f t="shared" si="40"/>
        <v>#DIV/0!</v>
      </c>
      <c r="AG88" s="67" t="e">
        <f t="shared" si="40"/>
        <v>#DIV/0!</v>
      </c>
      <c r="AH88" s="67" t="e">
        <f t="shared" si="40"/>
        <v>#DIV/0!</v>
      </c>
      <c r="AI88" s="67" t="e">
        <f t="shared" si="40"/>
        <v>#DIV/0!</v>
      </c>
      <c r="AJ88" s="67" t="e">
        <f t="shared" si="40"/>
        <v>#DIV/0!</v>
      </c>
      <c r="AK88" s="67" t="e">
        <f t="shared" si="40"/>
        <v>#DIV/0!</v>
      </c>
      <c r="AL88" s="67" t="e">
        <f t="shared" si="40"/>
        <v>#DIV/0!</v>
      </c>
      <c r="AM88" s="67" t="e">
        <f t="shared" si="40"/>
        <v>#DIV/0!</v>
      </c>
      <c r="AN88" s="67" t="e">
        <f t="shared" si="40"/>
        <v>#DIV/0!</v>
      </c>
      <c r="AO88" s="67" t="e">
        <f t="shared" si="40"/>
        <v>#DIV/0!</v>
      </c>
      <c r="AP88" s="67" t="e">
        <f t="shared" si="40"/>
        <v>#DIV/0!</v>
      </c>
      <c r="AQ88" s="67" t="e">
        <f t="shared" si="40"/>
        <v>#DIV/0!</v>
      </c>
      <c r="AR88" s="67" t="e">
        <f t="shared" si="40"/>
        <v>#DIV/0!</v>
      </c>
      <c r="AS88" s="67" t="e">
        <f t="shared" si="40"/>
        <v>#DIV/0!</v>
      </c>
      <c r="AT88" s="67" t="e">
        <f t="shared" si="40"/>
        <v>#DIV/0!</v>
      </c>
      <c r="AU88" s="67" t="e">
        <f t="shared" si="40"/>
        <v>#DIV/0!</v>
      </c>
      <c r="AV88" s="67" t="e">
        <f t="shared" si="40"/>
        <v>#DIV/0!</v>
      </c>
      <c r="AW88" s="67" t="e">
        <f t="shared" si="40"/>
        <v>#DIV/0!</v>
      </c>
      <c r="AX88" s="67" t="e">
        <f t="shared" si="40"/>
        <v>#DIV/0!</v>
      </c>
      <c r="AY88" s="67" t="e">
        <f t="shared" si="40"/>
        <v>#DIV/0!</v>
      </c>
      <c r="AZ88" s="3"/>
    </row>
    <row r="90" spans="1:52" ht="14.25" customHeight="1">
      <c r="A90" s="103"/>
      <c r="E90" s="108" t="str">
        <f>'5GY EBRT Groups'!C18</f>
        <v>Group 13</v>
      </c>
      <c r="H90" s="108" t="str">
        <f>E90</f>
        <v>Group 13</v>
      </c>
      <c r="I90" s="230" t="s">
        <v>52</v>
      </c>
      <c r="J90" s="71">
        <f t="shared" ref="J90:AY90" si="41">COUNTIFS($E$5:$E$35,$E90,J$5:J$35,"Alive")</f>
        <v>0</v>
      </c>
      <c r="K90" s="71">
        <f t="shared" si="41"/>
        <v>0</v>
      </c>
      <c r="L90" s="71">
        <f t="shared" si="41"/>
        <v>0</v>
      </c>
      <c r="M90" s="71">
        <f t="shared" si="41"/>
        <v>0</v>
      </c>
      <c r="N90" s="71">
        <f t="shared" si="41"/>
        <v>0</v>
      </c>
      <c r="O90" s="71">
        <f t="shared" si="41"/>
        <v>0</v>
      </c>
      <c r="P90" s="71">
        <f t="shared" si="41"/>
        <v>0</v>
      </c>
      <c r="Q90" s="71">
        <f t="shared" si="41"/>
        <v>0</v>
      </c>
      <c r="R90" s="71">
        <f t="shared" si="41"/>
        <v>0</v>
      </c>
      <c r="S90" s="71">
        <f t="shared" si="41"/>
        <v>0</v>
      </c>
      <c r="T90" s="71">
        <f t="shared" si="41"/>
        <v>0</v>
      </c>
      <c r="U90" s="71">
        <f t="shared" si="41"/>
        <v>0</v>
      </c>
      <c r="V90" s="71">
        <f t="shared" si="41"/>
        <v>0</v>
      </c>
      <c r="W90" s="71">
        <f t="shared" si="41"/>
        <v>0</v>
      </c>
      <c r="X90" s="71">
        <f t="shared" si="41"/>
        <v>0</v>
      </c>
      <c r="Y90" s="71">
        <f t="shared" si="41"/>
        <v>0</v>
      </c>
      <c r="Z90" s="71">
        <f t="shared" si="41"/>
        <v>0</v>
      </c>
      <c r="AA90" s="71">
        <f t="shared" si="41"/>
        <v>0</v>
      </c>
      <c r="AB90" s="71">
        <f t="shared" si="41"/>
        <v>0</v>
      </c>
      <c r="AC90" s="71">
        <f t="shared" si="41"/>
        <v>0</v>
      </c>
      <c r="AD90" s="71">
        <f t="shared" si="41"/>
        <v>0</v>
      </c>
      <c r="AE90" s="71">
        <f t="shared" si="41"/>
        <v>0</v>
      </c>
      <c r="AF90" s="71">
        <f t="shared" si="41"/>
        <v>0</v>
      </c>
      <c r="AG90" s="71">
        <f t="shared" si="41"/>
        <v>0</v>
      </c>
      <c r="AH90" s="71">
        <f t="shared" si="41"/>
        <v>0</v>
      </c>
      <c r="AI90" s="71">
        <f t="shared" si="41"/>
        <v>0</v>
      </c>
      <c r="AJ90" s="71">
        <f t="shared" si="41"/>
        <v>0</v>
      </c>
      <c r="AK90" s="71">
        <f t="shared" si="41"/>
        <v>0</v>
      </c>
      <c r="AL90" s="71">
        <f t="shared" si="41"/>
        <v>0</v>
      </c>
      <c r="AM90" s="71">
        <f t="shared" si="41"/>
        <v>0</v>
      </c>
      <c r="AN90" s="71">
        <f t="shared" si="41"/>
        <v>0</v>
      </c>
      <c r="AO90" s="71">
        <f t="shared" si="41"/>
        <v>0</v>
      </c>
      <c r="AP90" s="71">
        <f t="shared" si="41"/>
        <v>0</v>
      </c>
      <c r="AQ90" s="71">
        <f t="shared" si="41"/>
        <v>0</v>
      </c>
      <c r="AR90" s="71">
        <f t="shared" si="41"/>
        <v>0</v>
      </c>
      <c r="AS90" s="71">
        <f t="shared" si="41"/>
        <v>0</v>
      </c>
      <c r="AT90" s="71">
        <f t="shared" si="41"/>
        <v>0</v>
      </c>
      <c r="AU90" s="71">
        <f t="shared" si="41"/>
        <v>0</v>
      </c>
      <c r="AV90" s="71">
        <f t="shared" si="41"/>
        <v>0</v>
      </c>
      <c r="AW90" s="71">
        <f t="shared" si="41"/>
        <v>0</v>
      </c>
      <c r="AX90" s="71">
        <f t="shared" si="41"/>
        <v>0</v>
      </c>
      <c r="AY90" s="71">
        <f t="shared" si="41"/>
        <v>0</v>
      </c>
      <c r="AZ90" s="69"/>
    </row>
    <row r="91" spans="1:52" ht="14.25" customHeight="1">
      <c r="A91" s="103"/>
      <c r="E91" s="83"/>
      <c r="H91" s="83"/>
      <c r="I91" s="230" t="s">
        <v>51</v>
      </c>
      <c r="J91" s="74">
        <f t="shared" ref="J91:AY91" si="42">COUNTIFS($E$5:$E$35,$E90,J$5:J$35,"Censored")</f>
        <v>0</v>
      </c>
      <c r="K91" s="74">
        <f t="shared" si="42"/>
        <v>0</v>
      </c>
      <c r="L91" s="74">
        <f t="shared" si="42"/>
        <v>0</v>
      </c>
      <c r="M91" s="74">
        <f t="shared" si="42"/>
        <v>0</v>
      </c>
      <c r="N91" s="74">
        <f t="shared" si="42"/>
        <v>0</v>
      </c>
      <c r="O91" s="74">
        <f t="shared" si="42"/>
        <v>0</v>
      </c>
      <c r="P91" s="74">
        <f t="shared" si="42"/>
        <v>0</v>
      </c>
      <c r="Q91" s="74">
        <f t="shared" si="42"/>
        <v>0</v>
      </c>
      <c r="R91" s="74">
        <f t="shared" si="42"/>
        <v>0</v>
      </c>
      <c r="S91" s="74">
        <f t="shared" si="42"/>
        <v>0</v>
      </c>
      <c r="T91" s="74">
        <f t="shared" si="42"/>
        <v>0</v>
      </c>
      <c r="U91" s="74">
        <f t="shared" si="42"/>
        <v>0</v>
      </c>
      <c r="V91" s="74">
        <f t="shared" si="42"/>
        <v>0</v>
      </c>
      <c r="W91" s="74">
        <f t="shared" si="42"/>
        <v>0</v>
      </c>
      <c r="X91" s="74">
        <f t="shared" si="42"/>
        <v>0</v>
      </c>
      <c r="Y91" s="74">
        <f t="shared" si="42"/>
        <v>0</v>
      </c>
      <c r="Z91" s="74">
        <f t="shared" si="42"/>
        <v>0</v>
      </c>
      <c r="AA91" s="74">
        <f t="shared" si="42"/>
        <v>0</v>
      </c>
      <c r="AB91" s="74">
        <f t="shared" si="42"/>
        <v>0</v>
      </c>
      <c r="AC91" s="74">
        <f t="shared" si="42"/>
        <v>0</v>
      </c>
      <c r="AD91" s="74">
        <f t="shared" si="42"/>
        <v>0</v>
      </c>
      <c r="AE91" s="74">
        <f t="shared" si="42"/>
        <v>0</v>
      </c>
      <c r="AF91" s="74">
        <f t="shared" si="42"/>
        <v>0</v>
      </c>
      <c r="AG91" s="74">
        <f t="shared" si="42"/>
        <v>0</v>
      </c>
      <c r="AH91" s="74">
        <f t="shared" si="42"/>
        <v>0</v>
      </c>
      <c r="AI91" s="74">
        <f t="shared" si="42"/>
        <v>0</v>
      </c>
      <c r="AJ91" s="74">
        <f t="shared" si="42"/>
        <v>0</v>
      </c>
      <c r="AK91" s="74">
        <f t="shared" si="42"/>
        <v>0</v>
      </c>
      <c r="AL91" s="74">
        <f t="shared" si="42"/>
        <v>0</v>
      </c>
      <c r="AM91" s="74">
        <f t="shared" si="42"/>
        <v>0</v>
      </c>
      <c r="AN91" s="74">
        <f t="shared" si="42"/>
        <v>0</v>
      </c>
      <c r="AO91" s="74">
        <f t="shared" si="42"/>
        <v>0</v>
      </c>
      <c r="AP91" s="74">
        <f t="shared" si="42"/>
        <v>0</v>
      </c>
      <c r="AQ91" s="74">
        <f t="shared" si="42"/>
        <v>0</v>
      </c>
      <c r="AR91" s="74">
        <f t="shared" si="42"/>
        <v>0</v>
      </c>
      <c r="AS91" s="74">
        <f t="shared" si="42"/>
        <v>0</v>
      </c>
      <c r="AT91" s="74">
        <f t="shared" si="42"/>
        <v>0</v>
      </c>
      <c r="AU91" s="74">
        <f t="shared" si="42"/>
        <v>0</v>
      </c>
      <c r="AV91" s="74">
        <f t="shared" si="42"/>
        <v>0</v>
      </c>
      <c r="AW91" s="74">
        <f t="shared" si="42"/>
        <v>0</v>
      </c>
      <c r="AX91" s="74">
        <f t="shared" si="42"/>
        <v>0</v>
      </c>
      <c r="AY91" s="74">
        <f t="shared" si="42"/>
        <v>0</v>
      </c>
      <c r="AZ91" s="69"/>
    </row>
    <row r="92" spans="1:52" ht="14.25" customHeight="1">
      <c r="E92" s="276"/>
      <c r="H92" s="83"/>
      <c r="I92" s="230" t="s">
        <v>53</v>
      </c>
      <c r="J92" s="67" t="e">
        <f>J90/(COUNTIFS($E$5:$E$35,$E90,J$5:J$35,"Alive")+COUNTIFS($E$5:$E$35,$E90,J$5:J$35,"Sacrificed")+COUNTIFS($E$5:$E$35,$E90,J$5:J$35,"Died"))</f>
        <v>#DIV/0!</v>
      </c>
      <c r="K92" s="67" t="e">
        <f t="shared" ref="K92:AY92" si="43">K90/(COUNTIFS($E$5:$E$35,$E90,K$5:K$35,"Alive")+COUNTIFS($E$5:$E$35,$E90,K$5:K$35,"Sacrificed")+COUNTIFS($E$5:$E$35,$E90,K$5:K$35,"Died"))*J92</f>
        <v>#DIV/0!</v>
      </c>
      <c r="L92" s="67" t="e">
        <f t="shared" si="43"/>
        <v>#DIV/0!</v>
      </c>
      <c r="M92" s="67" t="e">
        <f t="shared" si="43"/>
        <v>#DIV/0!</v>
      </c>
      <c r="N92" s="67" t="e">
        <f t="shared" si="43"/>
        <v>#DIV/0!</v>
      </c>
      <c r="O92" s="67" t="e">
        <f t="shared" si="43"/>
        <v>#DIV/0!</v>
      </c>
      <c r="P92" s="67" t="e">
        <f t="shared" si="43"/>
        <v>#DIV/0!</v>
      </c>
      <c r="Q92" s="67" t="e">
        <f t="shared" si="43"/>
        <v>#DIV/0!</v>
      </c>
      <c r="R92" s="67" t="e">
        <f t="shared" si="43"/>
        <v>#DIV/0!</v>
      </c>
      <c r="S92" s="67" t="e">
        <f t="shared" si="43"/>
        <v>#DIV/0!</v>
      </c>
      <c r="T92" s="67" t="e">
        <f t="shared" si="43"/>
        <v>#DIV/0!</v>
      </c>
      <c r="U92" s="67" t="e">
        <f t="shared" si="43"/>
        <v>#DIV/0!</v>
      </c>
      <c r="V92" s="67" t="e">
        <f t="shared" si="43"/>
        <v>#DIV/0!</v>
      </c>
      <c r="W92" s="67" t="e">
        <f t="shared" si="43"/>
        <v>#DIV/0!</v>
      </c>
      <c r="X92" s="67" t="e">
        <f t="shared" si="43"/>
        <v>#DIV/0!</v>
      </c>
      <c r="Y92" s="67" t="e">
        <f t="shared" si="43"/>
        <v>#DIV/0!</v>
      </c>
      <c r="Z92" s="67" t="e">
        <f t="shared" si="43"/>
        <v>#DIV/0!</v>
      </c>
      <c r="AA92" s="67" t="e">
        <f t="shared" si="43"/>
        <v>#DIV/0!</v>
      </c>
      <c r="AB92" s="67" t="e">
        <f t="shared" si="43"/>
        <v>#DIV/0!</v>
      </c>
      <c r="AC92" s="67" t="e">
        <f t="shared" si="43"/>
        <v>#DIV/0!</v>
      </c>
      <c r="AD92" s="67" t="e">
        <f t="shared" si="43"/>
        <v>#DIV/0!</v>
      </c>
      <c r="AE92" s="67" t="e">
        <f t="shared" si="43"/>
        <v>#DIV/0!</v>
      </c>
      <c r="AF92" s="67" t="e">
        <f t="shared" si="43"/>
        <v>#DIV/0!</v>
      </c>
      <c r="AG92" s="67" t="e">
        <f t="shared" si="43"/>
        <v>#DIV/0!</v>
      </c>
      <c r="AH92" s="67" t="e">
        <f t="shared" si="43"/>
        <v>#DIV/0!</v>
      </c>
      <c r="AI92" s="67" t="e">
        <f t="shared" si="43"/>
        <v>#DIV/0!</v>
      </c>
      <c r="AJ92" s="67" t="e">
        <f t="shared" si="43"/>
        <v>#DIV/0!</v>
      </c>
      <c r="AK92" s="67" t="e">
        <f t="shared" si="43"/>
        <v>#DIV/0!</v>
      </c>
      <c r="AL92" s="67" t="e">
        <f t="shared" si="43"/>
        <v>#DIV/0!</v>
      </c>
      <c r="AM92" s="67" t="e">
        <f t="shared" si="43"/>
        <v>#DIV/0!</v>
      </c>
      <c r="AN92" s="67" t="e">
        <f t="shared" si="43"/>
        <v>#DIV/0!</v>
      </c>
      <c r="AO92" s="67" t="e">
        <f t="shared" si="43"/>
        <v>#DIV/0!</v>
      </c>
      <c r="AP92" s="67" t="e">
        <f t="shared" si="43"/>
        <v>#DIV/0!</v>
      </c>
      <c r="AQ92" s="67" t="e">
        <f t="shared" si="43"/>
        <v>#DIV/0!</v>
      </c>
      <c r="AR92" s="67" t="e">
        <f t="shared" si="43"/>
        <v>#DIV/0!</v>
      </c>
      <c r="AS92" s="67" t="e">
        <f t="shared" si="43"/>
        <v>#DIV/0!</v>
      </c>
      <c r="AT92" s="67" t="e">
        <f t="shared" si="43"/>
        <v>#DIV/0!</v>
      </c>
      <c r="AU92" s="67" t="e">
        <f t="shared" si="43"/>
        <v>#DIV/0!</v>
      </c>
      <c r="AV92" s="67" t="e">
        <f t="shared" si="43"/>
        <v>#DIV/0!</v>
      </c>
      <c r="AW92" s="67" t="e">
        <f t="shared" si="43"/>
        <v>#DIV/0!</v>
      </c>
      <c r="AX92" s="67" t="e">
        <f t="shared" si="43"/>
        <v>#DIV/0!</v>
      </c>
      <c r="AY92" s="67" t="e">
        <f t="shared" si="43"/>
        <v>#DIV/0!</v>
      </c>
      <c r="AZ92" s="3"/>
    </row>
    <row r="94" spans="1:52" ht="14.25" customHeight="1">
      <c r="A94" s="103"/>
      <c r="E94" s="108" t="str">
        <f>'5GY EBRT Groups'!C19</f>
        <v>Group 14</v>
      </c>
      <c r="H94" s="108" t="str">
        <f>E94</f>
        <v>Group 14</v>
      </c>
      <c r="I94" s="230" t="s">
        <v>52</v>
      </c>
      <c r="J94" s="71">
        <f t="shared" ref="J94:AY94" si="44">COUNTIFS($E$5:$E$35,$E94,J$5:J$35,"Alive")</f>
        <v>0</v>
      </c>
      <c r="K94" s="71">
        <f t="shared" si="44"/>
        <v>0</v>
      </c>
      <c r="L94" s="71">
        <f t="shared" si="44"/>
        <v>0</v>
      </c>
      <c r="M94" s="71">
        <f t="shared" si="44"/>
        <v>0</v>
      </c>
      <c r="N94" s="71">
        <f t="shared" si="44"/>
        <v>0</v>
      </c>
      <c r="O94" s="71">
        <f t="shared" si="44"/>
        <v>0</v>
      </c>
      <c r="P94" s="71">
        <f t="shared" si="44"/>
        <v>0</v>
      </c>
      <c r="Q94" s="71">
        <f t="shared" si="44"/>
        <v>0</v>
      </c>
      <c r="R94" s="71">
        <f t="shared" si="44"/>
        <v>0</v>
      </c>
      <c r="S94" s="71">
        <f t="shared" si="44"/>
        <v>0</v>
      </c>
      <c r="T94" s="71">
        <f t="shared" si="44"/>
        <v>0</v>
      </c>
      <c r="U94" s="71">
        <f t="shared" si="44"/>
        <v>0</v>
      </c>
      <c r="V94" s="71">
        <f t="shared" si="44"/>
        <v>0</v>
      </c>
      <c r="W94" s="71">
        <f t="shared" si="44"/>
        <v>0</v>
      </c>
      <c r="X94" s="71">
        <f t="shared" si="44"/>
        <v>0</v>
      </c>
      <c r="Y94" s="71">
        <f t="shared" si="44"/>
        <v>0</v>
      </c>
      <c r="Z94" s="71">
        <f t="shared" si="44"/>
        <v>0</v>
      </c>
      <c r="AA94" s="71">
        <f t="shared" si="44"/>
        <v>0</v>
      </c>
      <c r="AB94" s="71">
        <f t="shared" si="44"/>
        <v>0</v>
      </c>
      <c r="AC94" s="71">
        <f t="shared" si="44"/>
        <v>0</v>
      </c>
      <c r="AD94" s="71">
        <f t="shared" si="44"/>
        <v>0</v>
      </c>
      <c r="AE94" s="71">
        <f t="shared" si="44"/>
        <v>0</v>
      </c>
      <c r="AF94" s="71">
        <f t="shared" si="44"/>
        <v>0</v>
      </c>
      <c r="AG94" s="71">
        <f t="shared" si="44"/>
        <v>0</v>
      </c>
      <c r="AH94" s="71">
        <f t="shared" si="44"/>
        <v>0</v>
      </c>
      <c r="AI94" s="71">
        <f t="shared" si="44"/>
        <v>0</v>
      </c>
      <c r="AJ94" s="71">
        <f t="shared" si="44"/>
        <v>0</v>
      </c>
      <c r="AK94" s="71">
        <f t="shared" si="44"/>
        <v>0</v>
      </c>
      <c r="AL94" s="71">
        <f t="shared" si="44"/>
        <v>0</v>
      </c>
      <c r="AM94" s="71">
        <f t="shared" si="44"/>
        <v>0</v>
      </c>
      <c r="AN94" s="71">
        <f t="shared" si="44"/>
        <v>0</v>
      </c>
      <c r="AO94" s="71">
        <f t="shared" si="44"/>
        <v>0</v>
      </c>
      <c r="AP94" s="71">
        <f t="shared" si="44"/>
        <v>0</v>
      </c>
      <c r="AQ94" s="71">
        <f t="shared" si="44"/>
        <v>0</v>
      </c>
      <c r="AR94" s="71">
        <f t="shared" si="44"/>
        <v>0</v>
      </c>
      <c r="AS94" s="71">
        <f t="shared" si="44"/>
        <v>0</v>
      </c>
      <c r="AT94" s="71">
        <f t="shared" si="44"/>
        <v>0</v>
      </c>
      <c r="AU94" s="71">
        <f t="shared" si="44"/>
        <v>0</v>
      </c>
      <c r="AV94" s="71">
        <f t="shared" si="44"/>
        <v>0</v>
      </c>
      <c r="AW94" s="71">
        <f t="shared" si="44"/>
        <v>0</v>
      </c>
      <c r="AX94" s="71">
        <f t="shared" si="44"/>
        <v>0</v>
      </c>
      <c r="AY94" s="71">
        <f t="shared" si="44"/>
        <v>0</v>
      </c>
      <c r="AZ94" s="69"/>
    </row>
    <row r="95" spans="1:52" ht="14.25" customHeight="1">
      <c r="A95" s="103"/>
      <c r="E95" s="83"/>
      <c r="H95" s="83"/>
      <c r="I95" s="230" t="s">
        <v>51</v>
      </c>
      <c r="J95" s="74">
        <f t="shared" ref="J95:AY95" si="45">COUNTIFS($E$5:$E$35,$E94,J$5:J$35,"Censored")</f>
        <v>0</v>
      </c>
      <c r="K95" s="74">
        <f t="shared" si="45"/>
        <v>0</v>
      </c>
      <c r="L95" s="74">
        <f t="shared" si="45"/>
        <v>0</v>
      </c>
      <c r="M95" s="74">
        <f t="shared" si="45"/>
        <v>0</v>
      </c>
      <c r="N95" s="74">
        <f t="shared" si="45"/>
        <v>0</v>
      </c>
      <c r="O95" s="74">
        <f t="shared" si="45"/>
        <v>0</v>
      </c>
      <c r="P95" s="74">
        <f t="shared" si="45"/>
        <v>0</v>
      </c>
      <c r="Q95" s="74">
        <f t="shared" si="45"/>
        <v>0</v>
      </c>
      <c r="R95" s="74">
        <f t="shared" si="45"/>
        <v>0</v>
      </c>
      <c r="S95" s="74">
        <f t="shared" si="45"/>
        <v>0</v>
      </c>
      <c r="T95" s="74">
        <f t="shared" si="45"/>
        <v>0</v>
      </c>
      <c r="U95" s="74">
        <f t="shared" si="45"/>
        <v>0</v>
      </c>
      <c r="V95" s="74">
        <f t="shared" si="45"/>
        <v>0</v>
      </c>
      <c r="W95" s="74">
        <f t="shared" si="45"/>
        <v>0</v>
      </c>
      <c r="X95" s="74">
        <f t="shared" si="45"/>
        <v>0</v>
      </c>
      <c r="Y95" s="74">
        <f t="shared" si="45"/>
        <v>0</v>
      </c>
      <c r="Z95" s="74">
        <f t="shared" si="45"/>
        <v>0</v>
      </c>
      <c r="AA95" s="74">
        <f t="shared" si="45"/>
        <v>0</v>
      </c>
      <c r="AB95" s="74">
        <f t="shared" si="45"/>
        <v>0</v>
      </c>
      <c r="AC95" s="74">
        <f t="shared" si="45"/>
        <v>0</v>
      </c>
      <c r="AD95" s="74">
        <f t="shared" si="45"/>
        <v>0</v>
      </c>
      <c r="AE95" s="74">
        <f t="shared" si="45"/>
        <v>0</v>
      </c>
      <c r="AF95" s="74">
        <f t="shared" si="45"/>
        <v>0</v>
      </c>
      <c r="AG95" s="74">
        <f t="shared" si="45"/>
        <v>0</v>
      </c>
      <c r="AH95" s="74">
        <f t="shared" si="45"/>
        <v>0</v>
      </c>
      <c r="AI95" s="74">
        <f t="shared" si="45"/>
        <v>0</v>
      </c>
      <c r="AJ95" s="74">
        <f t="shared" si="45"/>
        <v>0</v>
      </c>
      <c r="AK95" s="74">
        <f t="shared" si="45"/>
        <v>0</v>
      </c>
      <c r="AL95" s="74">
        <f t="shared" si="45"/>
        <v>0</v>
      </c>
      <c r="AM95" s="74">
        <f t="shared" si="45"/>
        <v>0</v>
      </c>
      <c r="AN95" s="74">
        <f t="shared" si="45"/>
        <v>0</v>
      </c>
      <c r="AO95" s="74">
        <f t="shared" si="45"/>
        <v>0</v>
      </c>
      <c r="AP95" s="74">
        <f t="shared" si="45"/>
        <v>0</v>
      </c>
      <c r="AQ95" s="74">
        <f t="shared" si="45"/>
        <v>0</v>
      </c>
      <c r="AR95" s="74">
        <f t="shared" si="45"/>
        <v>0</v>
      </c>
      <c r="AS95" s="74">
        <f t="shared" si="45"/>
        <v>0</v>
      </c>
      <c r="AT95" s="74">
        <f t="shared" si="45"/>
        <v>0</v>
      </c>
      <c r="AU95" s="74">
        <f t="shared" si="45"/>
        <v>0</v>
      </c>
      <c r="AV95" s="74">
        <f t="shared" si="45"/>
        <v>0</v>
      </c>
      <c r="AW95" s="74">
        <f t="shared" si="45"/>
        <v>0</v>
      </c>
      <c r="AX95" s="74">
        <f t="shared" si="45"/>
        <v>0</v>
      </c>
      <c r="AY95" s="74">
        <f t="shared" si="45"/>
        <v>0</v>
      </c>
      <c r="AZ95" s="69"/>
    </row>
    <row r="96" spans="1:52" ht="14.25" customHeight="1">
      <c r="E96" s="276"/>
      <c r="H96" s="83"/>
      <c r="I96" s="230" t="s">
        <v>53</v>
      </c>
      <c r="J96" s="67" t="e">
        <f>J94/(COUNTIFS($E$5:$E$35,$E94,J$5:J$35,"Alive")+COUNTIFS($E$5:$E$35,$E94,J$5:J$35,"Sacrificed")+COUNTIFS($E$5:$E$35,$E94,J$5:J$35,"Died"))</f>
        <v>#DIV/0!</v>
      </c>
      <c r="K96" s="67" t="e">
        <f t="shared" ref="K96:AY96" si="46">K94/(COUNTIFS($E$5:$E$35,$E94,K$5:K$35,"Alive")+COUNTIFS($E$5:$E$35,$E94,K$5:K$35,"Sacrificed")+COUNTIFS($E$5:$E$35,$E94,K$5:K$35,"Died"))*J96</f>
        <v>#DIV/0!</v>
      </c>
      <c r="L96" s="67" t="e">
        <f t="shared" si="46"/>
        <v>#DIV/0!</v>
      </c>
      <c r="M96" s="67" t="e">
        <f t="shared" si="46"/>
        <v>#DIV/0!</v>
      </c>
      <c r="N96" s="67" t="e">
        <f t="shared" si="46"/>
        <v>#DIV/0!</v>
      </c>
      <c r="O96" s="67" t="e">
        <f t="shared" si="46"/>
        <v>#DIV/0!</v>
      </c>
      <c r="P96" s="67" t="e">
        <f t="shared" si="46"/>
        <v>#DIV/0!</v>
      </c>
      <c r="Q96" s="67" t="e">
        <f t="shared" si="46"/>
        <v>#DIV/0!</v>
      </c>
      <c r="R96" s="67" t="e">
        <f t="shared" si="46"/>
        <v>#DIV/0!</v>
      </c>
      <c r="S96" s="67" t="e">
        <f t="shared" si="46"/>
        <v>#DIV/0!</v>
      </c>
      <c r="T96" s="67" t="e">
        <f t="shared" si="46"/>
        <v>#DIV/0!</v>
      </c>
      <c r="U96" s="67" t="e">
        <f t="shared" si="46"/>
        <v>#DIV/0!</v>
      </c>
      <c r="V96" s="67" t="e">
        <f t="shared" si="46"/>
        <v>#DIV/0!</v>
      </c>
      <c r="W96" s="67" t="e">
        <f t="shared" si="46"/>
        <v>#DIV/0!</v>
      </c>
      <c r="X96" s="67" t="e">
        <f t="shared" si="46"/>
        <v>#DIV/0!</v>
      </c>
      <c r="Y96" s="67" t="e">
        <f t="shared" si="46"/>
        <v>#DIV/0!</v>
      </c>
      <c r="Z96" s="67" t="e">
        <f t="shared" si="46"/>
        <v>#DIV/0!</v>
      </c>
      <c r="AA96" s="67" t="e">
        <f t="shared" si="46"/>
        <v>#DIV/0!</v>
      </c>
      <c r="AB96" s="67" t="e">
        <f t="shared" si="46"/>
        <v>#DIV/0!</v>
      </c>
      <c r="AC96" s="67" t="e">
        <f t="shared" si="46"/>
        <v>#DIV/0!</v>
      </c>
      <c r="AD96" s="67" t="e">
        <f t="shared" si="46"/>
        <v>#DIV/0!</v>
      </c>
      <c r="AE96" s="67" t="e">
        <f t="shared" si="46"/>
        <v>#DIV/0!</v>
      </c>
      <c r="AF96" s="67" t="e">
        <f t="shared" si="46"/>
        <v>#DIV/0!</v>
      </c>
      <c r="AG96" s="67" t="e">
        <f t="shared" si="46"/>
        <v>#DIV/0!</v>
      </c>
      <c r="AH96" s="67" t="e">
        <f t="shared" si="46"/>
        <v>#DIV/0!</v>
      </c>
      <c r="AI96" s="67" t="e">
        <f t="shared" si="46"/>
        <v>#DIV/0!</v>
      </c>
      <c r="AJ96" s="67" t="e">
        <f t="shared" si="46"/>
        <v>#DIV/0!</v>
      </c>
      <c r="AK96" s="67" t="e">
        <f t="shared" si="46"/>
        <v>#DIV/0!</v>
      </c>
      <c r="AL96" s="67" t="e">
        <f t="shared" si="46"/>
        <v>#DIV/0!</v>
      </c>
      <c r="AM96" s="67" t="e">
        <f t="shared" si="46"/>
        <v>#DIV/0!</v>
      </c>
      <c r="AN96" s="67" t="e">
        <f t="shared" si="46"/>
        <v>#DIV/0!</v>
      </c>
      <c r="AO96" s="67" t="e">
        <f t="shared" si="46"/>
        <v>#DIV/0!</v>
      </c>
      <c r="AP96" s="67" t="e">
        <f t="shared" si="46"/>
        <v>#DIV/0!</v>
      </c>
      <c r="AQ96" s="67" t="e">
        <f t="shared" si="46"/>
        <v>#DIV/0!</v>
      </c>
      <c r="AR96" s="67" t="e">
        <f t="shared" si="46"/>
        <v>#DIV/0!</v>
      </c>
      <c r="AS96" s="67" t="e">
        <f t="shared" si="46"/>
        <v>#DIV/0!</v>
      </c>
      <c r="AT96" s="67" t="e">
        <f t="shared" si="46"/>
        <v>#DIV/0!</v>
      </c>
      <c r="AU96" s="67" t="e">
        <f t="shared" si="46"/>
        <v>#DIV/0!</v>
      </c>
      <c r="AV96" s="67" t="e">
        <f t="shared" si="46"/>
        <v>#DIV/0!</v>
      </c>
      <c r="AW96" s="67" t="e">
        <f t="shared" si="46"/>
        <v>#DIV/0!</v>
      </c>
      <c r="AX96" s="67" t="e">
        <f t="shared" si="46"/>
        <v>#DIV/0!</v>
      </c>
      <c r="AY96" s="67" t="e">
        <f t="shared" si="46"/>
        <v>#DIV/0!</v>
      </c>
      <c r="AZ96" s="3"/>
    </row>
    <row r="98" spans="1:52" ht="14.25" customHeight="1">
      <c r="A98" s="103"/>
      <c r="E98" s="108" t="str">
        <f>'5GY EBRT Groups'!C20</f>
        <v>Group 15</v>
      </c>
      <c r="H98" s="108" t="str">
        <f>E98</f>
        <v>Group 15</v>
      </c>
      <c r="I98" s="230" t="s">
        <v>52</v>
      </c>
      <c r="J98" s="71">
        <f t="shared" ref="J98:AY98" si="47">COUNTIFS($E$5:$E$35,$E98,J$5:J$35,"Alive")</f>
        <v>0</v>
      </c>
      <c r="K98" s="71">
        <f t="shared" si="47"/>
        <v>0</v>
      </c>
      <c r="L98" s="71">
        <f t="shared" si="47"/>
        <v>0</v>
      </c>
      <c r="M98" s="71">
        <f t="shared" si="47"/>
        <v>0</v>
      </c>
      <c r="N98" s="71">
        <f t="shared" si="47"/>
        <v>0</v>
      </c>
      <c r="O98" s="71">
        <f t="shared" si="47"/>
        <v>0</v>
      </c>
      <c r="P98" s="71">
        <f t="shared" si="47"/>
        <v>0</v>
      </c>
      <c r="Q98" s="71">
        <f t="shared" si="47"/>
        <v>0</v>
      </c>
      <c r="R98" s="71">
        <f t="shared" si="47"/>
        <v>0</v>
      </c>
      <c r="S98" s="71">
        <f t="shared" si="47"/>
        <v>0</v>
      </c>
      <c r="T98" s="71">
        <f t="shared" si="47"/>
        <v>0</v>
      </c>
      <c r="U98" s="71">
        <f t="shared" si="47"/>
        <v>0</v>
      </c>
      <c r="V98" s="71">
        <f t="shared" si="47"/>
        <v>0</v>
      </c>
      <c r="W98" s="71">
        <f t="shared" si="47"/>
        <v>0</v>
      </c>
      <c r="X98" s="71">
        <f t="shared" si="47"/>
        <v>0</v>
      </c>
      <c r="Y98" s="71">
        <f t="shared" si="47"/>
        <v>0</v>
      </c>
      <c r="Z98" s="71">
        <f t="shared" si="47"/>
        <v>0</v>
      </c>
      <c r="AA98" s="71">
        <f t="shared" si="47"/>
        <v>0</v>
      </c>
      <c r="AB98" s="71">
        <f t="shared" si="47"/>
        <v>0</v>
      </c>
      <c r="AC98" s="71">
        <f t="shared" si="47"/>
        <v>0</v>
      </c>
      <c r="AD98" s="71">
        <f t="shared" si="47"/>
        <v>0</v>
      </c>
      <c r="AE98" s="71">
        <f t="shared" si="47"/>
        <v>0</v>
      </c>
      <c r="AF98" s="71">
        <f t="shared" si="47"/>
        <v>0</v>
      </c>
      <c r="AG98" s="71">
        <f t="shared" si="47"/>
        <v>0</v>
      </c>
      <c r="AH98" s="71">
        <f t="shared" si="47"/>
        <v>0</v>
      </c>
      <c r="AI98" s="71">
        <f t="shared" si="47"/>
        <v>0</v>
      </c>
      <c r="AJ98" s="71">
        <f t="shared" si="47"/>
        <v>0</v>
      </c>
      <c r="AK98" s="71">
        <f t="shared" si="47"/>
        <v>0</v>
      </c>
      <c r="AL98" s="71">
        <f t="shared" si="47"/>
        <v>0</v>
      </c>
      <c r="AM98" s="71">
        <f t="shared" si="47"/>
        <v>0</v>
      </c>
      <c r="AN98" s="71">
        <f t="shared" si="47"/>
        <v>0</v>
      </c>
      <c r="AO98" s="71">
        <f t="shared" si="47"/>
        <v>0</v>
      </c>
      <c r="AP98" s="71">
        <f t="shared" si="47"/>
        <v>0</v>
      </c>
      <c r="AQ98" s="71">
        <f t="shared" si="47"/>
        <v>0</v>
      </c>
      <c r="AR98" s="71">
        <f t="shared" si="47"/>
        <v>0</v>
      </c>
      <c r="AS98" s="71">
        <f t="shared" si="47"/>
        <v>0</v>
      </c>
      <c r="AT98" s="71">
        <f t="shared" si="47"/>
        <v>0</v>
      </c>
      <c r="AU98" s="71">
        <f t="shared" si="47"/>
        <v>0</v>
      </c>
      <c r="AV98" s="71">
        <f t="shared" si="47"/>
        <v>0</v>
      </c>
      <c r="AW98" s="71">
        <f t="shared" si="47"/>
        <v>0</v>
      </c>
      <c r="AX98" s="71">
        <f t="shared" si="47"/>
        <v>0</v>
      </c>
      <c r="AY98" s="71">
        <f t="shared" si="47"/>
        <v>0</v>
      </c>
      <c r="AZ98" s="69"/>
    </row>
    <row r="99" spans="1:52" ht="14.25" customHeight="1">
      <c r="A99" s="103"/>
      <c r="E99" s="83"/>
      <c r="H99" s="83"/>
      <c r="I99" s="230" t="s">
        <v>51</v>
      </c>
      <c r="J99" s="74">
        <f t="shared" ref="J99:AY99" si="48">COUNTIFS($E$5:$E$35,$E98,J$5:J$35,"Censored")</f>
        <v>0</v>
      </c>
      <c r="K99" s="74">
        <f t="shared" si="48"/>
        <v>0</v>
      </c>
      <c r="L99" s="74">
        <f t="shared" si="48"/>
        <v>0</v>
      </c>
      <c r="M99" s="74">
        <f t="shared" si="48"/>
        <v>0</v>
      </c>
      <c r="N99" s="74">
        <f t="shared" si="48"/>
        <v>0</v>
      </c>
      <c r="O99" s="74">
        <f t="shared" si="48"/>
        <v>0</v>
      </c>
      <c r="P99" s="74">
        <f t="shared" si="48"/>
        <v>0</v>
      </c>
      <c r="Q99" s="74">
        <f t="shared" si="48"/>
        <v>0</v>
      </c>
      <c r="R99" s="74">
        <f t="shared" si="48"/>
        <v>0</v>
      </c>
      <c r="S99" s="74">
        <f t="shared" si="48"/>
        <v>0</v>
      </c>
      <c r="T99" s="74">
        <f t="shared" si="48"/>
        <v>0</v>
      </c>
      <c r="U99" s="74">
        <f t="shared" si="48"/>
        <v>0</v>
      </c>
      <c r="V99" s="74">
        <f t="shared" si="48"/>
        <v>0</v>
      </c>
      <c r="W99" s="74">
        <f t="shared" si="48"/>
        <v>0</v>
      </c>
      <c r="X99" s="74">
        <f t="shared" si="48"/>
        <v>0</v>
      </c>
      <c r="Y99" s="74">
        <f t="shared" si="48"/>
        <v>0</v>
      </c>
      <c r="Z99" s="74">
        <f t="shared" si="48"/>
        <v>0</v>
      </c>
      <c r="AA99" s="74">
        <f t="shared" si="48"/>
        <v>0</v>
      </c>
      <c r="AB99" s="74">
        <f t="shared" si="48"/>
        <v>0</v>
      </c>
      <c r="AC99" s="74">
        <f t="shared" si="48"/>
        <v>0</v>
      </c>
      <c r="AD99" s="74">
        <f t="shared" si="48"/>
        <v>0</v>
      </c>
      <c r="AE99" s="74">
        <f t="shared" si="48"/>
        <v>0</v>
      </c>
      <c r="AF99" s="74">
        <f t="shared" si="48"/>
        <v>0</v>
      </c>
      <c r="AG99" s="74">
        <f t="shared" si="48"/>
        <v>0</v>
      </c>
      <c r="AH99" s="74">
        <f t="shared" si="48"/>
        <v>0</v>
      </c>
      <c r="AI99" s="74">
        <f t="shared" si="48"/>
        <v>0</v>
      </c>
      <c r="AJ99" s="74">
        <f t="shared" si="48"/>
        <v>0</v>
      </c>
      <c r="AK99" s="74">
        <f t="shared" si="48"/>
        <v>0</v>
      </c>
      <c r="AL99" s="74">
        <f t="shared" si="48"/>
        <v>0</v>
      </c>
      <c r="AM99" s="74">
        <f t="shared" si="48"/>
        <v>0</v>
      </c>
      <c r="AN99" s="74">
        <f t="shared" si="48"/>
        <v>0</v>
      </c>
      <c r="AO99" s="74">
        <f t="shared" si="48"/>
        <v>0</v>
      </c>
      <c r="AP99" s="74">
        <f t="shared" si="48"/>
        <v>0</v>
      </c>
      <c r="AQ99" s="74">
        <f t="shared" si="48"/>
        <v>0</v>
      </c>
      <c r="AR99" s="74">
        <f t="shared" si="48"/>
        <v>0</v>
      </c>
      <c r="AS99" s="74">
        <f t="shared" si="48"/>
        <v>0</v>
      </c>
      <c r="AT99" s="74">
        <f t="shared" si="48"/>
        <v>0</v>
      </c>
      <c r="AU99" s="74">
        <f t="shared" si="48"/>
        <v>0</v>
      </c>
      <c r="AV99" s="74">
        <f t="shared" si="48"/>
        <v>0</v>
      </c>
      <c r="AW99" s="74">
        <f t="shared" si="48"/>
        <v>0</v>
      </c>
      <c r="AX99" s="74">
        <f t="shared" si="48"/>
        <v>0</v>
      </c>
      <c r="AY99" s="74">
        <f t="shared" si="48"/>
        <v>0</v>
      </c>
      <c r="AZ99" s="69"/>
    </row>
    <row r="100" spans="1:52" ht="14.25" customHeight="1">
      <c r="E100" s="276"/>
      <c r="H100" s="83"/>
      <c r="I100" s="230" t="s">
        <v>53</v>
      </c>
      <c r="J100" s="67" t="e">
        <f>J98/(COUNTIFS($E$5:$E$35,$E98,J$5:J$35,"Alive")+COUNTIFS($E$5:$E$35,$E98,J$5:J$35,"Sacrificed")+COUNTIFS($E$5:$E$35,$E98,J$5:J$35,"Died"))</f>
        <v>#DIV/0!</v>
      </c>
      <c r="K100" s="67" t="e">
        <f t="shared" ref="K100:AY100" si="49">K98/(COUNTIFS($E$5:$E$35,$E98,K$5:K$35,"Alive")+COUNTIFS($E$5:$E$35,$E98,K$5:K$35,"Sacrificed")+COUNTIFS($E$5:$E$35,$E98,K$5:K$35,"Died"))*J100</f>
        <v>#DIV/0!</v>
      </c>
      <c r="L100" s="67" t="e">
        <f t="shared" si="49"/>
        <v>#DIV/0!</v>
      </c>
      <c r="M100" s="67" t="e">
        <f t="shared" si="49"/>
        <v>#DIV/0!</v>
      </c>
      <c r="N100" s="67" t="e">
        <f t="shared" si="49"/>
        <v>#DIV/0!</v>
      </c>
      <c r="O100" s="67" t="e">
        <f t="shared" si="49"/>
        <v>#DIV/0!</v>
      </c>
      <c r="P100" s="67" t="e">
        <f t="shared" si="49"/>
        <v>#DIV/0!</v>
      </c>
      <c r="Q100" s="67" t="e">
        <f t="shared" si="49"/>
        <v>#DIV/0!</v>
      </c>
      <c r="R100" s="67" t="e">
        <f t="shared" si="49"/>
        <v>#DIV/0!</v>
      </c>
      <c r="S100" s="67" t="e">
        <f t="shared" si="49"/>
        <v>#DIV/0!</v>
      </c>
      <c r="T100" s="67" t="e">
        <f t="shared" si="49"/>
        <v>#DIV/0!</v>
      </c>
      <c r="U100" s="67" t="e">
        <f t="shared" si="49"/>
        <v>#DIV/0!</v>
      </c>
      <c r="V100" s="67" t="e">
        <f t="shared" si="49"/>
        <v>#DIV/0!</v>
      </c>
      <c r="W100" s="67" t="e">
        <f t="shared" si="49"/>
        <v>#DIV/0!</v>
      </c>
      <c r="X100" s="67" t="e">
        <f t="shared" si="49"/>
        <v>#DIV/0!</v>
      </c>
      <c r="Y100" s="67" t="e">
        <f t="shared" si="49"/>
        <v>#DIV/0!</v>
      </c>
      <c r="Z100" s="67" t="e">
        <f t="shared" si="49"/>
        <v>#DIV/0!</v>
      </c>
      <c r="AA100" s="67" t="e">
        <f t="shared" si="49"/>
        <v>#DIV/0!</v>
      </c>
      <c r="AB100" s="67" t="e">
        <f t="shared" si="49"/>
        <v>#DIV/0!</v>
      </c>
      <c r="AC100" s="67" t="e">
        <f t="shared" si="49"/>
        <v>#DIV/0!</v>
      </c>
      <c r="AD100" s="67" t="e">
        <f t="shared" si="49"/>
        <v>#DIV/0!</v>
      </c>
      <c r="AE100" s="67" t="e">
        <f t="shared" si="49"/>
        <v>#DIV/0!</v>
      </c>
      <c r="AF100" s="67" t="e">
        <f t="shared" si="49"/>
        <v>#DIV/0!</v>
      </c>
      <c r="AG100" s="67" t="e">
        <f t="shared" si="49"/>
        <v>#DIV/0!</v>
      </c>
      <c r="AH100" s="67" t="e">
        <f t="shared" si="49"/>
        <v>#DIV/0!</v>
      </c>
      <c r="AI100" s="67" t="e">
        <f t="shared" si="49"/>
        <v>#DIV/0!</v>
      </c>
      <c r="AJ100" s="67" t="e">
        <f t="shared" si="49"/>
        <v>#DIV/0!</v>
      </c>
      <c r="AK100" s="67" t="e">
        <f t="shared" si="49"/>
        <v>#DIV/0!</v>
      </c>
      <c r="AL100" s="67" t="e">
        <f t="shared" si="49"/>
        <v>#DIV/0!</v>
      </c>
      <c r="AM100" s="67" t="e">
        <f t="shared" si="49"/>
        <v>#DIV/0!</v>
      </c>
      <c r="AN100" s="67" t="e">
        <f t="shared" si="49"/>
        <v>#DIV/0!</v>
      </c>
      <c r="AO100" s="67" t="e">
        <f t="shared" si="49"/>
        <v>#DIV/0!</v>
      </c>
      <c r="AP100" s="67" t="e">
        <f t="shared" si="49"/>
        <v>#DIV/0!</v>
      </c>
      <c r="AQ100" s="67" t="e">
        <f t="shared" si="49"/>
        <v>#DIV/0!</v>
      </c>
      <c r="AR100" s="67" t="e">
        <f t="shared" si="49"/>
        <v>#DIV/0!</v>
      </c>
      <c r="AS100" s="67" t="e">
        <f t="shared" si="49"/>
        <v>#DIV/0!</v>
      </c>
      <c r="AT100" s="67" t="e">
        <f t="shared" si="49"/>
        <v>#DIV/0!</v>
      </c>
      <c r="AU100" s="67" t="e">
        <f t="shared" si="49"/>
        <v>#DIV/0!</v>
      </c>
      <c r="AV100" s="67" t="e">
        <f t="shared" si="49"/>
        <v>#DIV/0!</v>
      </c>
      <c r="AW100" s="67" t="e">
        <f t="shared" si="49"/>
        <v>#DIV/0!</v>
      </c>
      <c r="AX100" s="67" t="e">
        <f t="shared" si="49"/>
        <v>#DIV/0!</v>
      </c>
      <c r="AY100" s="67" t="e">
        <f t="shared" si="49"/>
        <v>#DIV/0!</v>
      </c>
      <c r="AZ100" s="3"/>
    </row>
    <row r="102" spans="1:52" ht="14.25" customHeight="1">
      <c r="A102" s="103"/>
      <c r="E102" s="108" t="str">
        <f>'5GY EBRT Groups'!C21</f>
        <v>Group 16</v>
      </c>
      <c r="H102" s="108" t="str">
        <f>E102</f>
        <v>Group 16</v>
      </c>
      <c r="I102" s="230" t="s">
        <v>52</v>
      </c>
      <c r="J102" s="71">
        <f t="shared" ref="J102:AY102" si="50">COUNTIFS($E$5:$E$35,$E102,J$5:J$35,"Alive")</f>
        <v>0</v>
      </c>
      <c r="K102" s="71">
        <f t="shared" si="50"/>
        <v>0</v>
      </c>
      <c r="L102" s="71">
        <f t="shared" si="50"/>
        <v>0</v>
      </c>
      <c r="M102" s="71">
        <f t="shared" si="50"/>
        <v>0</v>
      </c>
      <c r="N102" s="71">
        <f t="shared" si="50"/>
        <v>0</v>
      </c>
      <c r="O102" s="71">
        <f t="shared" si="50"/>
        <v>0</v>
      </c>
      <c r="P102" s="71">
        <f t="shared" si="50"/>
        <v>0</v>
      </c>
      <c r="Q102" s="71">
        <f t="shared" si="50"/>
        <v>0</v>
      </c>
      <c r="R102" s="71">
        <f t="shared" si="50"/>
        <v>0</v>
      </c>
      <c r="S102" s="71">
        <f t="shared" si="50"/>
        <v>0</v>
      </c>
      <c r="T102" s="71">
        <f t="shared" si="50"/>
        <v>0</v>
      </c>
      <c r="U102" s="71">
        <f t="shared" si="50"/>
        <v>0</v>
      </c>
      <c r="V102" s="71">
        <f t="shared" si="50"/>
        <v>0</v>
      </c>
      <c r="W102" s="71">
        <f t="shared" si="50"/>
        <v>0</v>
      </c>
      <c r="X102" s="71">
        <f t="shared" si="50"/>
        <v>0</v>
      </c>
      <c r="Y102" s="71">
        <f t="shared" si="50"/>
        <v>0</v>
      </c>
      <c r="Z102" s="71">
        <f t="shared" si="50"/>
        <v>0</v>
      </c>
      <c r="AA102" s="71">
        <f t="shared" si="50"/>
        <v>0</v>
      </c>
      <c r="AB102" s="71">
        <f t="shared" si="50"/>
        <v>0</v>
      </c>
      <c r="AC102" s="71">
        <f t="shared" si="50"/>
        <v>0</v>
      </c>
      <c r="AD102" s="71">
        <f t="shared" si="50"/>
        <v>0</v>
      </c>
      <c r="AE102" s="71">
        <f t="shared" si="50"/>
        <v>0</v>
      </c>
      <c r="AF102" s="71">
        <f t="shared" si="50"/>
        <v>0</v>
      </c>
      <c r="AG102" s="71">
        <f t="shared" si="50"/>
        <v>0</v>
      </c>
      <c r="AH102" s="71">
        <f t="shared" si="50"/>
        <v>0</v>
      </c>
      <c r="AI102" s="71">
        <f t="shared" si="50"/>
        <v>0</v>
      </c>
      <c r="AJ102" s="71">
        <f t="shared" si="50"/>
        <v>0</v>
      </c>
      <c r="AK102" s="71">
        <f t="shared" si="50"/>
        <v>0</v>
      </c>
      <c r="AL102" s="71">
        <f t="shared" si="50"/>
        <v>0</v>
      </c>
      <c r="AM102" s="71">
        <f t="shared" si="50"/>
        <v>0</v>
      </c>
      <c r="AN102" s="71">
        <f t="shared" si="50"/>
        <v>0</v>
      </c>
      <c r="AO102" s="71">
        <f t="shared" si="50"/>
        <v>0</v>
      </c>
      <c r="AP102" s="71">
        <f t="shared" si="50"/>
        <v>0</v>
      </c>
      <c r="AQ102" s="71">
        <f t="shared" si="50"/>
        <v>0</v>
      </c>
      <c r="AR102" s="71">
        <f t="shared" si="50"/>
        <v>0</v>
      </c>
      <c r="AS102" s="71">
        <f t="shared" si="50"/>
        <v>0</v>
      </c>
      <c r="AT102" s="71">
        <f t="shared" si="50"/>
        <v>0</v>
      </c>
      <c r="AU102" s="71">
        <f t="shared" si="50"/>
        <v>0</v>
      </c>
      <c r="AV102" s="71">
        <f t="shared" si="50"/>
        <v>0</v>
      </c>
      <c r="AW102" s="71">
        <f t="shared" si="50"/>
        <v>0</v>
      </c>
      <c r="AX102" s="71">
        <f t="shared" si="50"/>
        <v>0</v>
      </c>
      <c r="AY102" s="71">
        <f t="shared" si="50"/>
        <v>0</v>
      </c>
      <c r="AZ102" s="69"/>
    </row>
    <row r="103" spans="1:52" ht="14.25" customHeight="1">
      <c r="A103" s="103"/>
      <c r="E103" s="83"/>
      <c r="H103" s="83"/>
      <c r="I103" s="230" t="s">
        <v>51</v>
      </c>
      <c r="J103" s="74">
        <f t="shared" ref="J103:AY103" si="51">COUNTIFS($E$5:$E$35,$E102,J$5:J$35,"Censored")</f>
        <v>0</v>
      </c>
      <c r="K103" s="74">
        <f t="shared" si="51"/>
        <v>0</v>
      </c>
      <c r="L103" s="74">
        <f t="shared" si="51"/>
        <v>0</v>
      </c>
      <c r="M103" s="74">
        <f t="shared" si="51"/>
        <v>0</v>
      </c>
      <c r="N103" s="74">
        <f t="shared" si="51"/>
        <v>0</v>
      </c>
      <c r="O103" s="74">
        <f t="shared" si="51"/>
        <v>0</v>
      </c>
      <c r="P103" s="74">
        <f t="shared" si="51"/>
        <v>0</v>
      </c>
      <c r="Q103" s="74">
        <f t="shared" si="51"/>
        <v>0</v>
      </c>
      <c r="R103" s="74">
        <f t="shared" si="51"/>
        <v>0</v>
      </c>
      <c r="S103" s="74">
        <f t="shared" si="51"/>
        <v>0</v>
      </c>
      <c r="T103" s="74">
        <f t="shared" si="51"/>
        <v>0</v>
      </c>
      <c r="U103" s="74">
        <f t="shared" si="51"/>
        <v>0</v>
      </c>
      <c r="V103" s="74">
        <f t="shared" si="51"/>
        <v>0</v>
      </c>
      <c r="W103" s="74">
        <f t="shared" si="51"/>
        <v>0</v>
      </c>
      <c r="X103" s="74">
        <f t="shared" si="51"/>
        <v>0</v>
      </c>
      <c r="Y103" s="74">
        <f t="shared" si="51"/>
        <v>0</v>
      </c>
      <c r="Z103" s="74">
        <f t="shared" si="51"/>
        <v>0</v>
      </c>
      <c r="AA103" s="74">
        <f t="shared" si="51"/>
        <v>0</v>
      </c>
      <c r="AB103" s="74">
        <f t="shared" si="51"/>
        <v>0</v>
      </c>
      <c r="AC103" s="74">
        <f t="shared" si="51"/>
        <v>0</v>
      </c>
      <c r="AD103" s="74">
        <f t="shared" si="51"/>
        <v>0</v>
      </c>
      <c r="AE103" s="74">
        <f t="shared" si="51"/>
        <v>0</v>
      </c>
      <c r="AF103" s="74">
        <f t="shared" si="51"/>
        <v>0</v>
      </c>
      <c r="AG103" s="74">
        <f t="shared" si="51"/>
        <v>0</v>
      </c>
      <c r="AH103" s="74">
        <f t="shared" si="51"/>
        <v>0</v>
      </c>
      <c r="AI103" s="74">
        <f t="shared" si="51"/>
        <v>0</v>
      </c>
      <c r="AJ103" s="74">
        <f t="shared" si="51"/>
        <v>0</v>
      </c>
      <c r="AK103" s="74">
        <f t="shared" si="51"/>
        <v>0</v>
      </c>
      <c r="AL103" s="74">
        <f t="shared" si="51"/>
        <v>0</v>
      </c>
      <c r="AM103" s="74">
        <f t="shared" si="51"/>
        <v>0</v>
      </c>
      <c r="AN103" s="74">
        <f t="shared" si="51"/>
        <v>0</v>
      </c>
      <c r="AO103" s="74">
        <f t="shared" si="51"/>
        <v>0</v>
      </c>
      <c r="AP103" s="74">
        <f t="shared" si="51"/>
        <v>0</v>
      </c>
      <c r="AQ103" s="74">
        <f t="shared" si="51"/>
        <v>0</v>
      </c>
      <c r="AR103" s="74">
        <f t="shared" si="51"/>
        <v>0</v>
      </c>
      <c r="AS103" s="74">
        <f t="shared" si="51"/>
        <v>0</v>
      </c>
      <c r="AT103" s="74">
        <f t="shared" si="51"/>
        <v>0</v>
      </c>
      <c r="AU103" s="74">
        <f t="shared" si="51"/>
        <v>0</v>
      </c>
      <c r="AV103" s="74">
        <f t="shared" si="51"/>
        <v>0</v>
      </c>
      <c r="AW103" s="74">
        <f t="shared" si="51"/>
        <v>0</v>
      </c>
      <c r="AX103" s="74">
        <f t="shared" si="51"/>
        <v>0</v>
      </c>
      <c r="AY103" s="74">
        <f t="shared" si="51"/>
        <v>0</v>
      </c>
      <c r="AZ103" s="69"/>
    </row>
    <row r="104" spans="1:52" ht="14.25" customHeight="1">
      <c r="E104" s="276"/>
      <c r="H104" s="83"/>
      <c r="I104" s="230" t="s">
        <v>53</v>
      </c>
      <c r="J104" s="67" t="e">
        <f>J102/(COUNTIFS($E$5:$E$35,$E102,J$5:J$35,"Alive")+COUNTIFS($E$5:$E$35,$E102,J$5:J$35,"Sacrificed")+COUNTIFS($E$5:$E$35,$E102,J$5:J$35,"Died"))</f>
        <v>#DIV/0!</v>
      </c>
      <c r="K104" s="67" t="e">
        <f t="shared" ref="K104:AY104" si="52">K102/(COUNTIFS($E$5:$E$35,$E102,K$5:K$35,"Alive")+COUNTIFS($E$5:$E$35,$E102,K$5:K$35,"Sacrificed")+COUNTIFS($E$5:$E$35,$E102,K$5:K$35,"Died"))*J104</f>
        <v>#DIV/0!</v>
      </c>
      <c r="L104" s="67" t="e">
        <f t="shared" si="52"/>
        <v>#DIV/0!</v>
      </c>
      <c r="M104" s="67" t="e">
        <f t="shared" si="52"/>
        <v>#DIV/0!</v>
      </c>
      <c r="N104" s="67" t="e">
        <f t="shared" si="52"/>
        <v>#DIV/0!</v>
      </c>
      <c r="O104" s="67" t="e">
        <f t="shared" si="52"/>
        <v>#DIV/0!</v>
      </c>
      <c r="P104" s="67" t="e">
        <f t="shared" si="52"/>
        <v>#DIV/0!</v>
      </c>
      <c r="Q104" s="67" t="e">
        <f t="shared" si="52"/>
        <v>#DIV/0!</v>
      </c>
      <c r="R104" s="67" t="e">
        <f t="shared" si="52"/>
        <v>#DIV/0!</v>
      </c>
      <c r="S104" s="67" t="e">
        <f t="shared" si="52"/>
        <v>#DIV/0!</v>
      </c>
      <c r="T104" s="67" t="e">
        <f t="shared" si="52"/>
        <v>#DIV/0!</v>
      </c>
      <c r="U104" s="67" t="e">
        <f t="shared" si="52"/>
        <v>#DIV/0!</v>
      </c>
      <c r="V104" s="67" t="e">
        <f t="shared" si="52"/>
        <v>#DIV/0!</v>
      </c>
      <c r="W104" s="67" t="e">
        <f t="shared" si="52"/>
        <v>#DIV/0!</v>
      </c>
      <c r="X104" s="67" t="e">
        <f t="shared" si="52"/>
        <v>#DIV/0!</v>
      </c>
      <c r="Y104" s="67" t="e">
        <f t="shared" si="52"/>
        <v>#DIV/0!</v>
      </c>
      <c r="Z104" s="67" t="e">
        <f t="shared" si="52"/>
        <v>#DIV/0!</v>
      </c>
      <c r="AA104" s="67" t="e">
        <f t="shared" si="52"/>
        <v>#DIV/0!</v>
      </c>
      <c r="AB104" s="67" t="e">
        <f t="shared" si="52"/>
        <v>#DIV/0!</v>
      </c>
      <c r="AC104" s="67" t="e">
        <f t="shared" si="52"/>
        <v>#DIV/0!</v>
      </c>
      <c r="AD104" s="67" t="e">
        <f t="shared" si="52"/>
        <v>#DIV/0!</v>
      </c>
      <c r="AE104" s="67" t="e">
        <f t="shared" si="52"/>
        <v>#DIV/0!</v>
      </c>
      <c r="AF104" s="67" t="e">
        <f t="shared" si="52"/>
        <v>#DIV/0!</v>
      </c>
      <c r="AG104" s="67" t="e">
        <f t="shared" si="52"/>
        <v>#DIV/0!</v>
      </c>
      <c r="AH104" s="67" t="e">
        <f t="shared" si="52"/>
        <v>#DIV/0!</v>
      </c>
      <c r="AI104" s="67" t="e">
        <f t="shared" si="52"/>
        <v>#DIV/0!</v>
      </c>
      <c r="AJ104" s="67" t="e">
        <f t="shared" si="52"/>
        <v>#DIV/0!</v>
      </c>
      <c r="AK104" s="67" t="e">
        <f t="shared" si="52"/>
        <v>#DIV/0!</v>
      </c>
      <c r="AL104" s="67" t="e">
        <f t="shared" si="52"/>
        <v>#DIV/0!</v>
      </c>
      <c r="AM104" s="67" t="e">
        <f t="shared" si="52"/>
        <v>#DIV/0!</v>
      </c>
      <c r="AN104" s="67" t="e">
        <f t="shared" si="52"/>
        <v>#DIV/0!</v>
      </c>
      <c r="AO104" s="67" t="e">
        <f t="shared" si="52"/>
        <v>#DIV/0!</v>
      </c>
      <c r="AP104" s="67" t="e">
        <f t="shared" si="52"/>
        <v>#DIV/0!</v>
      </c>
      <c r="AQ104" s="67" t="e">
        <f t="shared" si="52"/>
        <v>#DIV/0!</v>
      </c>
      <c r="AR104" s="67" t="e">
        <f t="shared" si="52"/>
        <v>#DIV/0!</v>
      </c>
      <c r="AS104" s="67" t="e">
        <f t="shared" si="52"/>
        <v>#DIV/0!</v>
      </c>
      <c r="AT104" s="67" t="e">
        <f t="shared" si="52"/>
        <v>#DIV/0!</v>
      </c>
      <c r="AU104" s="67" t="e">
        <f t="shared" si="52"/>
        <v>#DIV/0!</v>
      </c>
      <c r="AV104" s="67" t="e">
        <f t="shared" si="52"/>
        <v>#DIV/0!</v>
      </c>
      <c r="AW104" s="67" t="e">
        <f t="shared" si="52"/>
        <v>#DIV/0!</v>
      </c>
      <c r="AX104" s="67" t="e">
        <f t="shared" si="52"/>
        <v>#DIV/0!</v>
      </c>
      <c r="AY104" s="67" t="e">
        <f t="shared" si="52"/>
        <v>#DIV/0!</v>
      </c>
      <c r="AZ104" s="3"/>
    </row>
  </sheetData>
  <autoFilter ref="A4:AY35" xr:uid="{00000000-0009-0000-0000-000002000000}">
    <sortState xmlns:xlrd2="http://schemas.microsoft.com/office/spreadsheetml/2017/richdata2" ref="A5:AQ54">
      <sortCondition ref="B4:B54"/>
    </sortState>
  </autoFilter>
  <mergeCells count="3">
    <mergeCell ref="F2:G3"/>
    <mergeCell ref="H2:H3"/>
    <mergeCell ref="H38:H40"/>
  </mergeCells>
  <dataValidations count="2">
    <dataValidation type="list" allowBlank="1" showInputMessage="1" showErrorMessage="1" sqref="J5:AY35" xr:uid="{14EF07E4-FB05-47AF-8004-32502FA031C8}">
      <formula1>"Alive,Sacrificed,Censored,Died"</formula1>
    </dataValidation>
    <dataValidation type="list" allowBlank="1" showInputMessage="1" showErrorMessage="1" sqref="E42:E1048576 E5:E35" xr:uid="{92149E76-1728-4BB4-B3C8-ACDC34DA777A}">
      <formula1>Groups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3C7E-0EA3-4228-9D94-6F92E0AF6466}">
  <dimension ref="A1:K21"/>
  <sheetViews>
    <sheetView workbookViewId="0">
      <selection activeCell="M19" sqref="M19"/>
    </sheetView>
  </sheetViews>
  <sheetFormatPr defaultRowHeight="15"/>
  <cols>
    <col min="1" max="1" width="9.140625" style="103"/>
    <col min="2" max="2" width="7.140625" style="104" customWidth="1"/>
    <col min="3" max="3" width="24.85546875" style="103" bestFit="1" customWidth="1"/>
    <col min="4" max="4" width="3.5703125" style="103" customWidth="1"/>
    <col min="5" max="5" width="9.140625" style="103"/>
    <col min="6" max="7" width="9.140625" style="107"/>
    <col min="8" max="9" width="10" style="107" customWidth="1"/>
    <col min="10" max="10" width="11.85546875" style="103" customWidth="1"/>
    <col min="11" max="11" width="11.140625" style="103" customWidth="1"/>
    <col min="12" max="16384" width="9.140625" style="103"/>
  </cols>
  <sheetData>
    <row r="1" spans="1:11" ht="23.25">
      <c r="A1" s="357" t="s">
        <v>95</v>
      </c>
      <c r="B1" s="357"/>
      <c r="C1" s="357"/>
      <c r="D1" s="357"/>
    </row>
    <row r="2" spans="1:11" ht="24" thickBot="1">
      <c r="A2" s="358" t="s">
        <v>27</v>
      </c>
      <c r="B2" s="358"/>
      <c r="C2" s="358"/>
      <c r="D2" s="358"/>
    </row>
    <row r="3" spans="1:11" s="106" customFormat="1">
      <c r="B3" s="105"/>
      <c r="F3" s="362"/>
      <c r="G3" s="362"/>
      <c r="H3" s="362"/>
      <c r="I3" s="362"/>
    </row>
    <row r="4" spans="1:11" ht="33.75" customHeight="1">
      <c r="F4" s="359" t="s">
        <v>46</v>
      </c>
      <c r="G4" s="361"/>
      <c r="H4" s="360" t="s">
        <v>44</v>
      </c>
      <c r="I4" s="361"/>
      <c r="J4" s="359" t="s">
        <v>45</v>
      </c>
      <c r="K4" s="359"/>
    </row>
    <row r="5" spans="1:11">
      <c r="B5" s="105" t="s">
        <v>26</v>
      </c>
      <c r="C5" s="106" t="s">
        <v>47</v>
      </c>
      <c r="E5" s="105" t="s">
        <v>26</v>
      </c>
      <c r="F5" s="231" t="s">
        <v>28</v>
      </c>
      <c r="G5" s="138" t="s">
        <v>29</v>
      </c>
      <c r="H5" s="141" t="s">
        <v>28</v>
      </c>
      <c r="I5" s="138" t="s">
        <v>29</v>
      </c>
      <c r="J5" s="231" t="s">
        <v>28</v>
      </c>
      <c r="K5" s="231" t="s">
        <v>29</v>
      </c>
    </row>
    <row r="6" spans="1:11">
      <c r="B6" s="104">
        <v>1</v>
      </c>
      <c r="C6" s="103" t="s">
        <v>88</v>
      </c>
      <c r="E6" s="109">
        <f>COUNTIF('5GY EBRT Tumor Size'!E$5:E$35,'5GY EBRT Groups'!C6)</f>
        <v>6</v>
      </c>
      <c r="F6" s="129">
        <f>AVERAGEIF('5GY EBRT Body Weight'!E$5:E$35,'5GY EBRT Groups'!C6,'5GY EBRT Body Weight'!M$5:M$35)</f>
        <v>28.566666666666663</v>
      </c>
      <c r="G6" s="140">
        <f t="array" ref="G6">_xlfn.STDEV.P(IF('5GY EBRT Body Weight'!E$5:E$35='5GY EBRT Groups'!C6,'5GY EBRT Body Weight'!M$5:M$35))</f>
        <v>2.4267032964268398</v>
      </c>
      <c r="H6" s="142">
        <f>AVERAGEIF('5GY EBRT Tumor Size'!E$5:E$35,'5GY EBRT Groups'!C6,'5GY EBRT Tumor Size'!L$5:L$35)</f>
        <v>180.04063999999997</v>
      </c>
      <c r="I6" s="140">
        <f t="array" ref="I6">_xlfn.STDEV.P(IF('5GY EBRT Tumor Size'!E$5:E$35='5GY EBRT Groups'!C6,'5GY EBRT Tumor Size'!L$5:L$35))</f>
        <v>53.44984697687854</v>
      </c>
      <c r="J6" s="129" t="e">
        <f>AVERAGEIF('5GY EBRT Tumor Size'!E$5:E$35,'5GY EBRT Groups'!C6,'5GY EBRT Tumor Size'!#REF!)</f>
        <v>#REF!</v>
      </c>
      <c r="K6" s="129" t="e">
        <f t="array" ref="K6">_xlfn.STDEV.P(IF('5GY EBRT Tumor Size'!E$5:E$35='5GY EBRT Groups'!C6,'5GY EBRT Tumor Size'!#REF!))</f>
        <v>#REF!</v>
      </c>
    </row>
    <row r="7" spans="1:11">
      <c r="B7" s="104">
        <v>2</v>
      </c>
      <c r="C7" s="103" t="s">
        <v>68</v>
      </c>
      <c r="E7" s="109">
        <f>COUNTIF('5GY EBRT Tumor Size'!E$5:E$35,'5GY EBRT Groups'!C7)</f>
        <v>6</v>
      </c>
      <c r="F7" s="129">
        <f>AVERAGEIF('5GY EBRT Body Weight'!E$5:E$35,'5GY EBRT Groups'!C7,'5GY EBRT Body Weight'!M$5:M$35)</f>
        <v>27.816666666666666</v>
      </c>
      <c r="G7" s="140">
        <f t="array" ref="G7">_xlfn.STDEV.P(IF('5GY EBRT Body Weight'!E$5:E$35='5GY EBRT Groups'!C7,'5GY EBRT Body Weight'!M$5:M$35))</f>
        <v>1.1186549463033222</v>
      </c>
      <c r="H7" s="142">
        <f>AVERAGEIF('5GY EBRT Tumor Size'!E$5:E$35,'5GY EBRT Groups'!C7,'5GY EBRT Tumor Size'!L$5:L$35)</f>
        <v>183.12216000000001</v>
      </c>
      <c r="I7" s="140">
        <f t="array" ref="I7">_xlfn.STDEV.P(IF('5GY EBRT Tumor Size'!E$5:E$35='5GY EBRT Groups'!C7,'5GY EBRT Tumor Size'!L$5:L$35))</f>
        <v>37.980515755051712</v>
      </c>
      <c r="J7" s="129" t="e">
        <f>AVERAGEIF('5GY EBRT Tumor Size'!E$5:E$35,'5GY EBRT Groups'!C7,'5GY EBRT Tumor Size'!#REF!)</f>
        <v>#REF!</v>
      </c>
      <c r="K7" s="129" t="e">
        <f t="array" ref="K7">_xlfn.STDEV.P(IF('5GY EBRT Tumor Size'!E$5:E$35='5GY EBRT Groups'!C7,'5GY EBRT Tumor Size'!#REF!))</f>
        <v>#REF!</v>
      </c>
    </row>
    <row r="8" spans="1:11">
      <c r="B8" s="104">
        <v>3</v>
      </c>
      <c r="C8" s="103" t="s">
        <v>93</v>
      </c>
      <c r="E8" s="109">
        <f>COUNTIF('5GY EBRT Tumor Size'!E$5:E$35,'5GY EBRT Groups'!C8)</f>
        <v>8</v>
      </c>
      <c r="F8" s="129">
        <f>AVERAGEIF('5GY EBRT Body Weight'!E$5:E$35,'5GY EBRT Groups'!C8,'5GY EBRT Body Weight'!M$5:M$35)</f>
        <v>28</v>
      </c>
      <c r="G8" s="140">
        <f t="array" ref="G8">_xlfn.STDEV.P(IF('5GY EBRT Body Weight'!E$5:E$35='5GY EBRT Groups'!C8,'5GY EBRT Body Weight'!M$5:M$35))</f>
        <v>2.3334523779156071</v>
      </c>
      <c r="H8" s="142">
        <f>AVERAGEIF('5GY EBRT Tumor Size'!E$5:E$35,'5GY EBRT Groups'!C8,'5GY EBRT Tumor Size'!L$5:L$35)</f>
        <v>208.46098000000001</v>
      </c>
      <c r="I8" s="140">
        <f t="array" ref="I8">_xlfn.STDEV.P(IF('5GY EBRT Tumor Size'!E$5:E$35='5GY EBRT Groups'!C8,'5GY EBRT Tumor Size'!L$5:L$35))</f>
        <v>62.758147825097581</v>
      </c>
      <c r="J8" s="129" t="e">
        <f>AVERAGEIF('5GY EBRT Tumor Size'!E$5:E$35,'5GY EBRT Groups'!C8,'5GY EBRT Tumor Size'!#REF!)</f>
        <v>#REF!</v>
      </c>
      <c r="K8" s="129" t="e">
        <f t="array" ref="K8">_xlfn.STDEV.P(IF('5GY EBRT Tumor Size'!E$5:E$35='5GY EBRT Groups'!C8,'5GY EBRT Tumor Size'!#REF!))</f>
        <v>#REF!</v>
      </c>
    </row>
    <row r="9" spans="1:11">
      <c r="B9" s="104">
        <v>4</v>
      </c>
      <c r="C9" s="103" t="s">
        <v>94</v>
      </c>
      <c r="E9" s="109">
        <f>COUNTIF('5GY EBRT Tumor Size'!E$5:E$35,'5GY EBRT Groups'!C9)</f>
        <v>8</v>
      </c>
      <c r="F9" s="129">
        <f>AVERAGEIF('5GY EBRT Body Weight'!E$5:E$35,'5GY EBRT Groups'!C9,'5GY EBRT Body Weight'!M$5:M$35)</f>
        <v>27.200000000000003</v>
      </c>
      <c r="G9" s="140">
        <f t="array" ref="G9">_xlfn.STDEV.P(IF('5GY EBRT Body Weight'!E$5:E$35='5GY EBRT Groups'!C9,'5GY EBRT Body Weight'!M$5:M$35))</f>
        <v>1.691892431568863</v>
      </c>
      <c r="H9" s="142">
        <f>AVERAGEIF('5GY EBRT Tumor Size'!E$5:E$35,'5GY EBRT Groups'!C9,'5GY EBRT Tumor Size'!L$5:L$35)</f>
        <v>210.791425</v>
      </c>
      <c r="I9" s="140">
        <f t="array" ref="I9">_xlfn.STDEV.P(IF('5GY EBRT Tumor Size'!E$5:E$35='5GY EBRT Groups'!C9,'5GY EBRT Tumor Size'!L$5:L$35))</f>
        <v>66.905857628999669</v>
      </c>
      <c r="J9" s="129" t="e">
        <f>AVERAGEIF('5GY EBRT Tumor Size'!E$5:E$35,'5GY EBRT Groups'!C9,'5GY EBRT Tumor Size'!#REF!)</f>
        <v>#REF!</v>
      </c>
      <c r="K9" s="129" t="e">
        <f t="array" ref="K9">_xlfn.STDEV.P(IF('5GY EBRT Tumor Size'!E$5:E$35='5GY EBRT Groups'!C9,'5GY EBRT Tumor Size'!#REF!))</f>
        <v>#REF!</v>
      </c>
    </row>
    <row r="10" spans="1:11">
      <c r="B10" s="104">
        <v>5</v>
      </c>
      <c r="C10" s="103" t="s">
        <v>74</v>
      </c>
      <c r="E10" s="109">
        <f>COUNTIF('5GY EBRT Tumor Size'!E$5:E$35,'5GY EBRT Groups'!C10)</f>
        <v>0</v>
      </c>
      <c r="F10" s="129" t="e">
        <f>AVERAGEIF('5GY EBRT Body Weight'!E$5:E$35,'5GY EBRT Groups'!C10,'5GY EBRT Body Weight'!M$5:M$35)</f>
        <v>#DIV/0!</v>
      </c>
      <c r="G10" s="140" t="e">
        <f t="array" ref="G10">_xlfn.STDEV.P(IF('5GY EBRT Body Weight'!E$5:E$35='5GY EBRT Groups'!C10,'5GY EBRT Body Weight'!M$5:M$35))</f>
        <v>#DIV/0!</v>
      </c>
      <c r="H10" s="142" t="e">
        <f>AVERAGEIF('5GY EBRT Tumor Size'!E$5:E$35,'5GY EBRT Groups'!C10,'5GY EBRT Tumor Size'!L$5:L$35)</f>
        <v>#DIV/0!</v>
      </c>
      <c r="I10" s="140" t="e">
        <f t="array" ref="I10">_xlfn.STDEV.P(IF('5GY EBRT Tumor Size'!E$5:E$35='5GY EBRT Groups'!C10,'5GY EBRT Tumor Size'!L$5:L$35))</f>
        <v>#DIV/0!</v>
      </c>
      <c r="J10" s="129" t="e">
        <f>AVERAGEIF('5GY EBRT Tumor Size'!E$5:E$35,'5GY EBRT Groups'!C10,'5GY EBRT Tumor Size'!#REF!)</f>
        <v>#REF!</v>
      </c>
      <c r="K10" s="129" t="e">
        <f t="array" ref="K10">_xlfn.STDEV.P(IF('5GY EBRT Tumor Size'!E$5:E$35='5GY EBRT Groups'!C10,'5GY EBRT Tumor Size'!#REF!))</f>
        <v>#DIV/0!</v>
      </c>
    </row>
    <row r="11" spans="1:11">
      <c r="B11" s="104">
        <v>6</v>
      </c>
      <c r="C11" s="103" t="s">
        <v>75</v>
      </c>
      <c r="E11" s="109">
        <f>COUNTIF('5GY EBRT Tumor Size'!E$5:E$35,'5GY EBRT Groups'!C11)</f>
        <v>0</v>
      </c>
      <c r="F11" s="129" t="e">
        <f>AVERAGEIF('5GY EBRT Body Weight'!E$5:E$35,'5GY EBRT Groups'!C11,'5GY EBRT Body Weight'!M$5:M$35)</f>
        <v>#DIV/0!</v>
      </c>
      <c r="G11" s="140" t="e">
        <f t="array" ref="G11">_xlfn.STDEV.P(IF('5GY EBRT Body Weight'!E$5:E$35='5GY EBRT Groups'!C11,'5GY EBRT Body Weight'!M$5:M$35))</f>
        <v>#DIV/0!</v>
      </c>
      <c r="H11" s="142" t="e">
        <f>AVERAGEIF('5GY EBRT Tumor Size'!E$5:E$35,'5GY EBRT Groups'!C11,'5GY EBRT Tumor Size'!L$5:L$35)</f>
        <v>#DIV/0!</v>
      </c>
      <c r="I11" s="140" t="e">
        <f t="array" ref="I11">_xlfn.STDEV.P(IF('5GY EBRT Tumor Size'!E$5:E$35='5GY EBRT Groups'!C11,'5GY EBRT Tumor Size'!L$5:L$35))</f>
        <v>#DIV/0!</v>
      </c>
      <c r="J11" s="129" t="e">
        <f>AVERAGEIF('5GY EBRT Tumor Size'!E$5:E$35,'5GY EBRT Groups'!C11,'5GY EBRT Tumor Size'!#REF!)</f>
        <v>#REF!</v>
      </c>
      <c r="K11" s="129" t="e">
        <f t="array" ref="K11">_xlfn.STDEV.P(IF('5GY EBRT Tumor Size'!E$5:E$35='5GY EBRT Groups'!C11,'5GY EBRT Tumor Size'!#REF!))</f>
        <v>#DIV/0!</v>
      </c>
    </row>
    <row r="12" spans="1:11">
      <c r="B12" s="104">
        <v>7</v>
      </c>
      <c r="C12" s="103" t="s">
        <v>76</v>
      </c>
      <c r="E12" s="109">
        <f>COUNTIF('5GY EBRT Tumor Size'!E$5:E$35,'5GY EBRT Groups'!C12)</f>
        <v>0</v>
      </c>
      <c r="F12" s="129" t="e">
        <f>AVERAGEIF('5GY EBRT Body Weight'!E$5:E$35,'5GY EBRT Groups'!C12,'5GY EBRT Body Weight'!M$5:M$35)</f>
        <v>#DIV/0!</v>
      </c>
      <c r="G12" s="140" t="e">
        <f t="array" ref="G12">_xlfn.STDEV.P(IF('5GY EBRT Body Weight'!E$5:E$35='5GY EBRT Groups'!C12,'5GY EBRT Body Weight'!M$5:M$35))</f>
        <v>#DIV/0!</v>
      </c>
      <c r="H12" s="142" t="e">
        <f>AVERAGEIF('5GY EBRT Tumor Size'!E$5:E$35,'5GY EBRT Groups'!C12,'5GY EBRT Tumor Size'!L$5:L$35)</f>
        <v>#DIV/0!</v>
      </c>
      <c r="I12" s="140" t="e">
        <f t="array" ref="I12">_xlfn.STDEV.P(IF('5GY EBRT Tumor Size'!E$5:E$35='5GY EBRT Groups'!C12,'5GY EBRT Tumor Size'!L$5:L$35))</f>
        <v>#DIV/0!</v>
      </c>
      <c r="J12" s="129" t="e">
        <f>AVERAGEIF('5GY EBRT Tumor Size'!E$5:E$35,'5GY EBRT Groups'!C12,'5GY EBRT Tumor Size'!#REF!)</f>
        <v>#REF!</v>
      </c>
      <c r="K12" s="129" t="e">
        <f t="array" ref="K12">_xlfn.STDEV.P(IF('5GY EBRT Tumor Size'!E$5:E$35='5GY EBRT Groups'!C12,'5GY EBRT Tumor Size'!#REF!))</f>
        <v>#DIV/0!</v>
      </c>
    </row>
    <row r="13" spans="1:11">
      <c r="B13" s="104">
        <v>8</v>
      </c>
      <c r="C13" s="103" t="s">
        <v>77</v>
      </c>
      <c r="E13" s="109">
        <f>COUNTIF('5GY EBRT Tumor Size'!E$5:E$35,'5GY EBRT Groups'!C13)</f>
        <v>0</v>
      </c>
      <c r="F13" s="129" t="e">
        <f>AVERAGEIF('5GY EBRT Body Weight'!E$5:E$35,'5GY EBRT Groups'!C13,'5GY EBRT Body Weight'!M$5:M$35)</f>
        <v>#DIV/0!</v>
      </c>
      <c r="G13" s="140" t="e">
        <f t="array" ref="G13">_xlfn.STDEV.P(IF('5GY EBRT Body Weight'!E$5:E$35='5GY EBRT Groups'!C13,'5GY EBRT Body Weight'!M$5:M$35))</f>
        <v>#DIV/0!</v>
      </c>
      <c r="H13" s="142" t="e">
        <f>AVERAGEIF('5GY EBRT Tumor Size'!E$5:E$35,'5GY EBRT Groups'!C13,'5GY EBRT Tumor Size'!L$5:L$35)</f>
        <v>#DIV/0!</v>
      </c>
      <c r="I13" s="140" t="e">
        <f t="array" ref="I13">_xlfn.STDEV.P(IF('5GY EBRT Tumor Size'!E$5:E$35='5GY EBRT Groups'!C13,'5GY EBRT Tumor Size'!L$5:L$35))</f>
        <v>#DIV/0!</v>
      </c>
      <c r="J13" s="129" t="e">
        <f>AVERAGEIF('5GY EBRT Tumor Size'!E$5:E$35,'5GY EBRT Groups'!C13,'5GY EBRT Tumor Size'!#REF!)</f>
        <v>#REF!</v>
      </c>
      <c r="K13" s="129" t="e">
        <f t="array" ref="K13">_xlfn.STDEV.P(IF('5GY EBRT Tumor Size'!E$5:E$35='5GY EBRT Groups'!C13,'5GY EBRT Tumor Size'!#REF!))</f>
        <v>#DIV/0!</v>
      </c>
    </row>
    <row r="14" spans="1:11">
      <c r="B14" s="104">
        <v>9</v>
      </c>
      <c r="C14" s="103" t="s">
        <v>78</v>
      </c>
      <c r="E14" s="109">
        <f>COUNTIF('5GY EBRT Tumor Size'!E$5:E$35,'5GY EBRT Groups'!C14)</f>
        <v>0</v>
      </c>
      <c r="F14" s="129" t="e">
        <f>AVERAGEIF('5GY EBRT Body Weight'!E$5:E$35,'5GY EBRT Groups'!C14,'5GY EBRT Body Weight'!M$5:M$35)</f>
        <v>#DIV/0!</v>
      </c>
      <c r="G14" s="140" t="e">
        <f t="array" ref="G14">_xlfn.STDEV.P(IF('5GY EBRT Body Weight'!E$5:E$35='5GY EBRT Groups'!C14,'5GY EBRT Body Weight'!M$5:M$35))</f>
        <v>#DIV/0!</v>
      </c>
      <c r="H14" s="142" t="e">
        <f>AVERAGEIF('5GY EBRT Tumor Size'!E$5:E$35,'5GY EBRT Groups'!C14,'5GY EBRT Tumor Size'!L$5:L$35)</f>
        <v>#DIV/0!</v>
      </c>
      <c r="I14" s="140" t="e">
        <f t="array" ref="I14">_xlfn.STDEV.P(IF('5GY EBRT Tumor Size'!E$5:E$35='5GY EBRT Groups'!C14,'5GY EBRT Tumor Size'!L$5:L$35))</f>
        <v>#DIV/0!</v>
      </c>
      <c r="J14" s="129" t="e">
        <f>AVERAGEIF('5GY EBRT Tumor Size'!E$5:E$35,'5GY EBRT Groups'!C14,'5GY EBRT Tumor Size'!#REF!)</f>
        <v>#REF!</v>
      </c>
      <c r="K14" s="129" t="e">
        <f t="array" ref="K14">_xlfn.STDEV.P(IF('5GY EBRT Tumor Size'!E$5:E$35='5GY EBRT Groups'!C14,'5GY EBRT Tumor Size'!#REF!))</f>
        <v>#DIV/0!</v>
      </c>
    </row>
    <row r="15" spans="1:11">
      <c r="B15" s="104">
        <v>10</v>
      </c>
      <c r="C15" s="103" t="s">
        <v>60</v>
      </c>
      <c r="E15" s="109">
        <f>COUNTIF('5GY EBRT Tumor Size'!E$5:E$35,'5GY EBRT Groups'!C15)</f>
        <v>0</v>
      </c>
      <c r="F15" s="129" t="e">
        <f>AVERAGEIF('5GY EBRT Body Weight'!E$5:E$35,'5GY EBRT Groups'!C15,'5GY EBRT Body Weight'!M$5:M$35)</f>
        <v>#DIV/0!</v>
      </c>
      <c r="G15" s="140" t="e">
        <f t="array" ref="G15">_xlfn.STDEV.P(IF('5GY EBRT Body Weight'!E$5:E$35='5GY EBRT Groups'!C15,'5GY EBRT Body Weight'!M$5:M$35))</f>
        <v>#DIV/0!</v>
      </c>
      <c r="H15" s="142" t="e">
        <f>AVERAGEIF('5GY EBRT Tumor Size'!E$5:E$35,'5GY EBRT Groups'!C15,'5GY EBRT Tumor Size'!L$5:L$35)</f>
        <v>#DIV/0!</v>
      </c>
      <c r="I15" s="140" t="e">
        <f t="array" ref="I15">_xlfn.STDEV.P(IF('5GY EBRT Tumor Size'!E$5:E$35='5GY EBRT Groups'!C15,'5GY EBRT Tumor Size'!L$5:L$35))</f>
        <v>#DIV/0!</v>
      </c>
      <c r="J15" s="129" t="e">
        <f>AVERAGEIF('5GY EBRT Tumor Size'!E$5:E$35,'5GY EBRT Groups'!C15,'5GY EBRT Tumor Size'!#REF!)</f>
        <v>#REF!</v>
      </c>
      <c r="K15" s="129" t="e">
        <f t="array" ref="K15">_xlfn.STDEV.P(IF('5GY EBRT Tumor Size'!E$5:E$35='5GY EBRT Groups'!C15,'5GY EBRT Tumor Size'!#REF!))</f>
        <v>#DIV/0!</v>
      </c>
    </row>
    <row r="16" spans="1:11">
      <c r="B16" s="104">
        <v>11</v>
      </c>
      <c r="C16" s="103" t="s">
        <v>38</v>
      </c>
      <c r="E16" s="109">
        <f>COUNTIF('5GY EBRT Tumor Size'!E$5:E$35,'5GY EBRT Groups'!C16)</f>
        <v>0</v>
      </c>
      <c r="F16" s="129" t="e">
        <f>AVERAGEIF('5GY EBRT Body Weight'!E$5:E$35,'5GY EBRT Groups'!C16,'5GY EBRT Body Weight'!M$5:M$35)</f>
        <v>#DIV/0!</v>
      </c>
      <c r="G16" s="140" t="e">
        <f t="array" ref="G16">_xlfn.STDEV.P(IF('5GY EBRT Body Weight'!E$5:E$35='5GY EBRT Groups'!C16,'5GY EBRT Body Weight'!M$5:M$35))</f>
        <v>#DIV/0!</v>
      </c>
      <c r="H16" s="142" t="e">
        <f>AVERAGEIF('5GY EBRT Tumor Size'!E$5:E$35,'5GY EBRT Groups'!C16,'5GY EBRT Tumor Size'!L$5:L$35)</f>
        <v>#DIV/0!</v>
      </c>
      <c r="I16" s="140" t="e">
        <f t="array" ref="I16">_xlfn.STDEV.P(IF('5GY EBRT Tumor Size'!E$5:E$35='5GY EBRT Groups'!C16,'5GY EBRT Tumor Size'!L$5:L$35))</f>
        <v>#DIV/0!</v>
      </c>
      <c r="J16" s="129" t="e">
        <f>AVERAGEIF('5GY EBRT Tumor Size'!E$5:E$35,'5GY EBRT Groups'!C16,'5GY EBRT Tumor Size'!#REF!)</f>
        <v>#REF!</v>
      </c>
      <c r="K16" s="129" t="e">
        <f t="array" ref="K16">_xlfn.STDEV.P(IF('5GY EBRT Tumor Size'!E$5:E$35='5GY EBRT Groups'!C16,'5GY EBRT Tumor Size'!#REF!))</f>
        <v>#DIV/0!</v>
      </c>
    </row>
    <row r="17" spans="2:11">
      <c r="B17" s="104">
        <v>12</v>
      </c>
      <c r="C17" s="103" t="s">
        <v>39</v>
      </c>
      <c r="E17" s="109">
        <f>COUNTIF('5GY EBRT Tumor Size'!E$5:E$35,'5GY EBRT Groups'!C17)</f>
        <v>0</v>
      </c>
      <c r="F17" s="129" t="e">
        <f>AVERAGEIF('5GY EBRT Body Weight'!E$5:E$35,'5GY EBRT Groups'!C17,'5GY EBRT Body Weight'!M$5:M$35)</f>
        <v>#DIV/0!</v>
      </c>
      <c r="G17" s="140" t="e">
        <f t="array" ref="G17">_xlfn.STDEV.P(IF('5GY EBRT Body Weight'!E$5:E$35='5GY EBRT Groups'!C17,'5GY EBRT Body Weight'!M$5:M$35))</f>
        <v>#DIV/0!</v>
      </c>
      <c r="H17" s="142" t="e">
        <f>AVERAGEIF('5GY EBRT Tumor Size'!E$5:E$35,'5GY EBRT Groups'!C17,'5GY EBRT Tumor Size'!L$5:L$35)</f>
        <v>#DIV/0!</v>
      </c>
      <c r="I17" s="140" t="e">
        <f t="array" ref="I17">_xlfn.STDEV.P(IF('5GY EBRT Tumor Size'!E$5:E$35='5GY EBRT Groups'!C17,'5GY EBRT Tumor Size'!L$5:L$35))</f>
        <v>#DIV/0!</v>
      </c>
      <c r="J17" s="129" t="e">
        <f>AVERAGEIF('5GY EBRT Tumor Size'!E$5:E$35,'5GY EBRT Groups'!C17,'5GY EBRT Tumor Size'!#REF!)</f>
        <v>#REF!</v>
      </c>
      <c r="K17" s="129" t="e">
        <f t="array" ref="K17">_xlfn.STDEV.P(IF('5GY EBRT Tumor Size'!E$5:E$35='5GY EBRT Groups'!C17,'5GY EBRT Tumor Size'!#REF!))</f>
        <v>#DIV/0!</v>
      </c>
    </row>
    <row r="18" spans="2:11">
      <c r="B18" s="104">
        <v>13</v>
      </c>
      <c r="C18" s="103" t="s">
        <v>40</v>
      </c>
      <c r="E18" s="109">
        <f>COUNTIF('5GY EBRT Tumor Size'!E$5:E$35,'5GY EBRT Groups'!C18)</f>
        <v>0</v>
      </c>
      <c r="F18" s="129" t="e">
        <f>AVERAGEIF('5GY EBRT Body Weight'!E$5:E$35,'5GY EBRT Groups'!C18,'5GY EBRT Body Weight'!M$5:M$35)</f>
        <v>#DIV/0!</v>
      </c>
      <c r="G18" s="140" t="e">
        <f t="array" ref="G18">_xlfn.STDEV.P(IF('5GY EBRT Body Weight'!E$5:E$35='5GY EBRT Groups'!C18,'5GY EBRT Body Weight'!M$5:M$35))</f>
        <v>#DIV/0!</v>
      </c>
      <c r="H18" s="142" t="e">
        <f>AVERAGEIF('5GY EBRT Tumor Size'!E$5:E$35,'5GY EBRT Groups'!C18,'5GY EBRT Tumor Size'!L$5:L$35)</f>
        <v>#DIV/0!</v>
      </c>
      <c r="I18" s="140" t="e">
        <f t="array" ref="I18">_xlfn.STDEV.P(IF('5GY EBRT Tumor Size'!E$5:E$35='5GY EBRT Groups'!C18,'5GY EBRT Tumor Size'!L$5:L$35))</f>
        <v>#DIV/0!</v>
      </c>
      <c r="J18" s="129" t="e">
        <f>AVERAGEIF('5GY EBRT Tumor Size'!E$5:E$35,'5GY EBRT Groups'!C18,'5GY EBRT Tumor Size'!#REF!)</f>
        <v>#REF!</v>
      </c>
      <c r="K18" s="129" t="e">
        <f t="array" ref="K18">_xlfn.STDEV.P(IF('5GY EBRT Tumor Size'!E$5:E$35='5GY EBRT Groups'!C18,'5GY EBRT Tumor Size'!#REF!))</f>
        <v>#DIV/0!</v>
      </c>
    </row>
    <row r="19" spans="2:11">
      <c r="B19" s="104">
        <v>14</v>
      </c>
      <c r="C19" s="103" t="s">
        <v>41</v>
      </c>
      <c r="E19" s="109">
        <f>COUNTIF('5GY EBRT Tumor Size'!E$5:E$35,'5GY EBRT Groups'!C19)</f>
        <v>0</v>
      </c>
      <c r="F19" s="129" t="e">
        <f>AVERAGEIF('5GY EBRT Body Weight'!E$5:E$35,'5GY EBRT Groups'!C19,'5GY EBRT Body Weight'!M$5:M$35)</f>
        <v>#DIV/0!</v>
      </c>
      <c r="G19" s="140" t="e">
        <f t="array" ref="G19">_xlfn.STDEV.P(IF('5GY EBRT Body Weight'!E$5:E$35='5GY EBRT Groups'!C19,'5GY EBRT Body Weight'!M$5:M$35))</f>
        <v>#DIV/0!</v>
      </c>
      <c r="H19" s="142" t="e">
        <f>AVERAGEIF('5GY EBRT Tumor Size'!E$5:E$35,'5GY EBRT Groups'!C19,'5GY EBRT Tumor Size'!L$5:L$35)</f>
        <v>#DIV/0!</v>
      </c>
      <c r="I19" s="140" t="e">
        <f t="array" ref="I19">_xlfn.STDEV.P(IF('5GY EBRT Tumor Size'!E$5:E$35='5GY EBRT Groups'!C19,'5GY EBRT Tumor Size'!L$5:L$35))</f>
        <v>#DIV/0!</v>
      </c>
      <c r="J19" s="129" t="e">
        <f>AVERAGEIF('5GY EBRT Tumor Size'!E$5:E$35,'5GY EBRT Groups'!C19,'5GY EBRT Tumor Size'!#REF!)</f>
        <v>#REF!</v>
      </c>
      <c r="K19" s="129" t="e">
        <f t="array" ref="K19">_xlfn.STDEV.P(IF('5GY EBRT Tumor Size'!E$5:E$35='5GY EBRT Groups'!C19,'5GY EBRT Tumor Size'!#REF!))</f>
        <v>#DIV/0!</v>
      </c>
    </row>
    <row r="20" spans="2:11">
      <c r="B20" s="104">
        <v>15</v>
      </c>
      <c r="C20" s="103" t="s">
        <v>42</v>
      </c>
      <c r="E20" s="109">
        <f>COUNTIF('5GY EBRT Tumor Size'!E$5:E$35,'5GY EBRT Groups'!C20)</f>
        <v>0</v>
      </c>
      <c r="F20" s="129" t="e">
        <f>AVERAGEIF('5GY EBRT Body Weight'!E$5:E$35,'5GY EBRT Groups'!C20,'5GY EBRT Body Weight'!M$5:M$35)</f>
        <v>#DIV/0!</v>
      </c>
      <c r="G20" s="140" t="e">
        <f t="array" ref="G20">_xlfn.STDEV.P(IF('5GY EBRT Body Weight'!E$5:E$35='5GY EBRT Groups'!C20,'5GY EBRT Body Weight'!M$5:M$35))</f>
        <v>#DIV/0!</v>
      </c>
      <c r="H20" s="142" t="e">
        <f>AVERAGEIF('5GY EBRT Tumor Size'!E$5:E$35,'5GY EBRT Groups'!C20,'5GY EBRT Tumor Size'!L$5:L$35)</f>
        <v>#DIV/0!</v>
      </c>
      <c r="I20" s="140" t="e">
        <f t="array" ref="I20">_xlfn.STDEV.P(IF('5GY EBRT Tumor Size'!E$5:E$35='5GY EBRT Groups'!C20,'5GY EBRT Tumor Size'!L$5:L$35))</f>
        <v>#DIV/0!</v>
      </c>
      <c r="J20" s="129" t="e">
        <f>AVERAGEIF('5GY EBRT Tumor Size'!E$5:E$35,'5GY EBRT Groups'!C20,'5GY EBRT Tumor Size'!#REF!)</f>
        <v>#REF!</v>
      </c>
      <c r="K20" s="129" t="e">
        <f t="array" ref="K20">_xlfn.STDEV.P(IF('5GY EBRT Tumor Size'!E$5:E$35='5GY EBRT Groups'!C20,'5GY EBRT Tumor Size'!#REF!))</f>
        <v>#DIV/0!</v>
      </c>
    </row>
    <row r="21" spans="2:11">
      <c r="B21" s="104">
        <v>16</v>
      </c>
      <c r="C21" s="103" t="s">
        <v>43</v>
      </c>
      <c r="E21" s="109">
        <f>COUNTIF('5GY EBRT Tumor Size'!E$5:E$35,'5GY EBRT Groups'!C21)</f>
        <v>0</v>
      </c>
      <c r="F21" s="129" t="e">
        <f>AVERAGEIF('5GY EBRT Body Weight'!E$5:E$35,'5GY EBRT Groups'!C21,'5GY EBRT Body Weight'!M$5:M$35)</f>
        <v>#DIV/0!</v>
      </c>
      <c r="G21" s="140" t="e">
        <f t="array" ref="G21">_xlfn.STDEV.P(IF('5GY EBRT Body Weight'!E$5:E$35='5GY EBRT Groups'!C21,'5GY EBRT Body Weight'!M$5:M$35))</f>
        <v>#DIV/0!</v>
      </c>
      <c r="H21" s="142" t="e">
        <f>AVERAGEIF('5GY EBRT Tumor Size'!E$5:E$35,'5GY EBRT Groups'!C21,'5GY EBRT Tumor Size'!L$5:L$35)</f>
        <v>#DIV/0!</v>
      </c>
      <c r="I21" s="140" t="e">
        <f t="array" ref="I21">_xlfn.STDEV.P(IF('5GY EBRT Tumor Size'!E$5:E$35='5GY EBRT Groups'!C21,'5GY EBRT Tumor Size'!L$5:L$35))</f>
        <v>#DIV/0!</v>
      </c>
      <c r="J21" s="129" t="e">
        <f>AVERAGEIF('5GY EBRT Tumor Size'!E$5:E$35,'5GY EBRT Groups'!C21,'5GY EBRT Tumor Size'!#REF!)</f>
        <v>#REF!</v>
      </c>
      <c r="K21" s="129" t="e">
        <f t="array" ref="K21">_xlfn.STDEV.P(IF('5GY EBRT Tumor Size'!E$5:E$35='5GY EBRT Groups'!C21,'5GY EBRT Tumor Size'!#REF!))</f>
        <v>#DIV/0!</v>
      </c>
    </row>
  </sheetData>
  <mergeCells count="7">
    <mergeCell ref="J4:K4"/>
    <mergeCell ref="A1:D1"/>
    <mergeCell ref="A2:D2"/>
    <mergeCell ref="F3:G3"/>
    <mergeCell ref="H3:I3"/>
    <mergeCell ref="F4:G4"/>
    <mergeCell ref="H4:I4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NAB_PTX Tumor Volume</vt:lpstr>
      <vt:lpstr>NAB_PTX Body Weight</vt:lpstr>
      <vt:lpstr>NAB_PTX Radioactivity</vt:lpstr>
      <vt:lpstr>NAB_PTX Survival</vt:lpstr>
      <vt:lpstr>NAB_PTX Groups</vt:lpstr>
      <vt:lpstr>5GY EBRT Tumor Size</vt:lpstr>
      <vt:lpstr>5GY EBRT Body Weight</vt:lpstr>
      <vt:lpstr>5GY EBRT Survival</vt:lpstr>
      <vt:lpstr>5GY EBRT Groups</vt:lpstr>
      <vt:lpstr>3GY+10GY Mouse Measurements</vt:lpstr>
      <vt:lpstr>3GY+10GY Survival Notes</vt:lpstr>
      <vt:lpstr>3GY+10GY Group Summary</vt:lpstr>
      <vt:lpstr>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Jeff Schaal</cp:lastModifiedBy>
  <cp:lastPrinted>2016-10-21T13:04:13Z</cp:lastPrinted>
  <dcterms:created xsi:type="dcterms:W3CDTF">2013-01-08T23:27:33Z</dcterms:created>
  <dcterms:modified xsi:type="dcterms:W3CDTF">2022-07-11T20:06:06Z</dcterms:modified>
</cp:coreProperties>
</file>