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e Files Backup\Chilkoti Lab\5. Papers, Publications &amp; Grants\Publications\1. First Author\2018 Brachytherapy Synergy for Pancreatic Cancer\Nature BME\Final Publication Formatting\Supporting Data\"/>
    </mc:Choice>
  </mc:AlternateContent>
  <xr:revisionPtr revIDLastSave="0" documentId="13_ncr:1_{94C1ACE0-133E-45D0-803B-B70BCC068246}" xr6:coauthVersionLast="47" xr6:coauthVersionMax="47" xr10:uidLastSave="{00000000-0000-0000-0000-000000000000}"/>
  <bookViews>
    <workbookView xWindow="780" yWindow="780" windowWidth="21600" windowHeight="11295" tabRatio="800" xr2:uid="{00000000-000D-0000-FFFF-FFFF00000000}"/>
  </bookViews>
  <sheets>
    <sheet name="FIG_1C BxPc3 MTT Assay" sheetId="15" r:id="rId1"/>
    <sheet name="FIG_1d Pilot Tumor Therapy" sheetId="5" r:id="rId2"/>
    <sheet name="FIG_1d Pilot Summary" sheetId="12" r:id="rId3"/>
    <sheet name="FIG_1e Pilot Depot Stability" sheetId="18" r:id="rId4"/>
    <sheet name="FIG_1f Retained Tumor %ID" sheetId="17" r:id="rId5"/>
    <sheet name="FIG_1g Blood Levels" sheetId="19" r:id="rId6"/>
  </sheets>
  <externalReferences>
    <externalReference r:id="rId7"/>
  </externalReferences>
  <definedNames>
    <definedName name="_xlnm._FilterDatabase" localSheetId="2" hidden="1">'FIG_1d Pilot Summary'!$B$3:$N$3</definedName>
    <definedName name="_xlnm._FilterDatabase" localSheetId="1" hidden="1">'FIG_1d Pilot Tumor Therapy'!$A$4:$BM$31</definedName>
    <definedName name="_xlnm._FilterDatabase" localSheetId="3" hidden="1">'FIG_1e Pilot Depot Stability'!$A$4:$BU$18</definedName>
    <definedName name="_xlnm._FilterDatabase" localSheetId="5" hidden="1">'FIG_1g Blood Levels'!$B$4:$U$23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9" l="1"/>
  <c r="T32" i="19"/>
  <c r="S32" i="19"/>
  <c r="R32" i="19"/>
  <c r="Q32" i="19"/>
  <c r="P32" i="19"/>
  <c r="T31" i="19"/>
  <c r="S31" i="19"/>
  <c r="R31" i="19"/>
  <c r="Q31" i="19"/>
  <c r="P31" i="19"/>
  <c r="T30" i="19"/>
  <c r="S30" i="19"/>
  <c r="R30" i="19"/>
  <c r="Q30" i="19"/>
  <c r="P30" i="19"/>
  <c r="T29" i="19"/>
  <c r="S29" i="19"/>
  <c r="R29" i="19"/>
  <c r="Q29" i="19"/>
  <c r="P29" i="19"/>
  <c r="T28" i="19"/>
  <c r="S28" i="19"/>
  <c r="R28" i="19"/>
  <c r="Q28" i="19"/>
  <c r="L5" i="19"/>
  <c r="O5" i="19"/>
  <c r="L6" i="19"/>
  <c r="O6" i="19"/>
  <c r="L7" i="19"/>
  <c r="O7" i="19"/>
  <c r="L8" i="19"/>
  <c r="O8" i="19"/>
  <c r="L13" i="19"/>
  <c r="O13" i="19"/>
  <c r="L14" i="19"/>
  <c r="O14" i="19"/>
  <c r="L15" i="19"/>
  <c r="O15" i="19"/>
  <c r="L18" i="19"/>
  <c r="O18" i="19"/>
  <c r="L19" i="19"/>
  <c r="O19" i="19"/>
  <c r="L20" i="19"/>
  <c r="O20" i="19"/>
  <c r="L9" i="19"/>
  <c r="O9" i="19"/>
  <c r="L10" i="19"/>
  <c r="O10" i="19"/>
  <c r="L16" i="19"/>
  <c r="O16" i="19"/>
  <c r="L17" i="19"/>
  <c r="O17" i="19"/>
  <c r="L11" i="19"/>
  <c r="O11" i="19"/>
  <c r="L12" i="19"/>
  <c r="O12" i="19"/>
  <c r="L21" i="19"/>
  <c r="O21" i="19"/>
  <c r="AU23" i="18" l="1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U18" i="18"/>
  <c r="T18" i="18"/>
  <c r="S18" i="18"/>
  <c r="R18" i="18"/>
  <c r="Q18" i="18"/>
  <c r="BM18" i="18" s="1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A18" i="18"/>
  <c r="BM17" i="18"/>
  <c r="U17" i="18"/>
  <c r="T17" i="18"/>
  <c r="S17" i="18"/>
  <c r="R17" i="18"/>
  <c r="Q17" i="18"/>
  <c r="BT17" i="18" s="1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A17" i="18"/>
  <c r="BA16" i="18"/>
  <c r="U16" i="18"/>
  <c r="T16" i="18"/>
  <c r="S16" i="18"/>
  <c r="R16" i="18"/>
  <c r="Q16" i="18"/>
  <c r="BR16" i="18" s="1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A16" i="18"/>
  <c r="U15" i="18"/>
  <c r="T15" i="18"/>
  <c r="S15" i="18"/>
  <c r="R15" i="18"/>
  <c r="Q15" i="18"/>
  <c r="BP15" i="18" s="1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A15" i="18"/>
  <c r="U14" i="18"/>
  <c r="T14" i="18"/>
  <c r="S14" i="18"/>
  <c r="R14" i="18"/>
  <c r="Q14" i="18"/>
  <c r="BT14" i="18" s="1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A14" i="18"/>
  <c r="U13" i="18"/>
  <c r="T13" i="18"/>
  <c r="S13" i="18"/>
  <c r="R13" i="18"/>
  <c r="Q13" i="18"/>
  <c r="BO13" i="18" s="1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A13" i="18"/>
  <c r="BR12" i="18"/>
  <c r="BI12" i="18"/>
  <c r="U12" i="18"/>
  <c r="T12" i="18"/>
  <c r="S12" i="18"/>
  <c r="R12" i="18"/>
  <c r="Q12" i="18"/>
  <c r="BP12" i="18" s="1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A12" i="18"/>
  <c r="U11" i="18"/>
  <c r="T11" i="18"/>
  <c r="S11" i="18"/>
  <c r="R11" i="18"/>
  <c r="Q11" i="18"/>
  <c r="BO11" i="18" s="1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A11" i="18"/>
  <c r="BS10" i="18"/>
  <c r="BQ10" i="18"/>
  <c r="BF10" i="18"/>
  <c r="AX10" i="18"/>
  <c r="AW10" i="18"/>
  <c r="U10" i="18"/>
  <c r="T10" i="18"/>
  <c r="S10" i="18"/>
  <c r="R10" i="18"/>
  <c r="Q10" i="18"/>
  <c r="BT10" i="18" s="1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A10" i="18"/>
  <c r="U9" i="18"/>
  <c r="T9" i="18"/>
  <c r="S9" i="18"/>
  <c r="R9" i="18"/>
  <c r="Q9" i="18"/>
  <c r="BP9" i="18" s="1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A9" i="18"/>
  <c r="BC8" i="18"/>
  <c r="AY8" i="18"/>
  <c r="U8" i="18"/>
  <c r="T8" i="18"/>
  <c r="S8" i="18"/>
  <c r="R8" i="18"/>
  <c r="Q8" i="18"/>
  <c r="BP8" i="18" s="1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A8" i="18"/>
  <c r="U7" i="18"/>
  <c r="T7" i="18"/>
  <c r="S7" i="18"/>
  <c r="R7" i="18"/>
  <c r="Q7" i="18"/>
  <c r="BO7" i="18" s="1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A7" i="18"/>
  <c r="U6" i="18"/>
  <c r="T6" i="18"/>
  <c r="S6" i="18"/>
  <c r="R6" i="18"/>
  <c r="Q6" i="18"/>
  <c r="BT6" i="18" s="1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A6" i="18"/>
  <c r="AN37" i="18"/>
  <c r="U5" i="18"/>
  <c r="T5" i="18"/>
  <c r="S5" i="18"/>
  <c r="R5" i="18"/>
  <c r="Q5" i="18"/>
  <c r="BP5" i="18" s="1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A5" i="18"/>
  <c r="AW4" i="18"/>
  <c r="AU4" i="18"/>
  <c r="BU4" i="18" s="1"/>
  <c r="BU20" i="18" s="1"/>
  <c r="AT4" i="18"/>
  <c r="BT4" i="18" s="1"/>
  <c r="BT20" i="18" s="1"/>
  <c r="AS4" i="18"/>
  <c r="BS4" i="18" s="1"/>
  <c r="BS20" i="18" s="1"/>
  <c r="AR4" i="18"/>
  <c r="BR4" i="18" s="1"/>
  <c r="BR20" i="18" s="1"/>
  <c r="AQ4" i="18"/>
  <c r="BQ4" i="18" s="1"/>
  <c r="BQ20" i="18" s="1"/>
  <c r="AP4" i="18"/>
  <c r="BP4" i="18" s="1"/>
  <c r="BP20" i="18" s="1"/>
  <c r="AO4" i="18"/>
  <c r="BO4" i="18" s="1"/>
  <c r="BO20" i="18" s="1"/>
  <c r="AN4" i="18"/>
  <c r="BN4" i="18" s="1"/>
  <c r="BN20" i="18" s="1"/>
  <c r="AM4" i="18"/>
  <c r="BM4" i="18" s="1"/>
  <c r="BM20" i="18" s="1"/>
  <c r="AL4" i="18"/>
  <c r="BL4" i="18" s="1"/>
  <c r="BL20" i="18" s="1"/>
  <c r="AK4" i="18"/>
  <c r="BK4" i="18" s="1"/>
  <c r="BK20" i="18" s="1"/>
  <c r="AJ4" i="18"/>
  <c r="BJ4" i="18" s="1"/>
  <c r="BJ20" i="18" s="1"/>
  <c r="AI4" i="18"/>
  <c r="BI4" i="18" s="1"/>
  <c r="BI20" i="18" s="1"/>
  <c r="AH4" i="18"/>
  <c r="BH4" i="18" s="1"/>
  <c r="BH20" i="18" s="1"/>
  <c r="AG4" i="18"/>
  <c r="BG4" i="18" s="1"/>
  <c r="BG20" i="18" s="1"/>
  <c r="AF4" i="18"/>
  <c r="BF4" i="18" s="1"/>
  <c r="BF20" i="18" s="1"/>
  <c r="AE4" i="18"/>
  <c r="BE4" i="18" s="1"/>
  <c r="BE20" i="18" s="1"/>
  <c r="AD4" i="18"/>
  <c r="BD4" i="18" s="1"/>
  <c r="BD20" i="18" s="1"/>
  <c r="AC4" i="18"/>
  <c r="BC4" i="18" s="1"/>
  <c r="BC20" i="18" s="1"/>
  <c r="AB4" i="18"/>
  <c r="BB4" i="18" s="1"/>
  <c r="BB20" i="18" s="1"/>
  <c r="AA4" i="18"/>
  <c r="BA4" i="18" s="1"/>
  <c r="BA20" i="18" s="1"/>
  <c r="Z4" i="18"/>
  <c r="AZ4" i="18" s="1"/>
  <c r="AZ20" i="18" s="1"/>
  <c r="Y4" i="18"/>
  <c r="AY4" i="18" s="1"/>
  <c r="AY20" i="18" s="1"/>
  <c r="X4" i="18"/>
  <c r="AX4" i="18" s="1"/>
  <c r="BU3" i="18"/>
  <c r="BT3" i="18"/>
  <c r="BS3" i="18"/>
  <c r="BR3" i="18"/>
  <c r="BQ3" i="18"/>
  <c r="BP3" i="18"/>
  <c r="BO3" i="18"/>
  <c r="BN3" i="18"/>
  <c r="BM3" i="18"/>
  <c r="BL3" i="18"/>
  <c r="BK3" i="18"/>
  <c r="BJ3" i="18"/>
  <c r="BI3" i="18"/>
  <c r="BH3" i="18"/>
  <c r="BG3" i="18"/>
  <c r="BF3" i="18"/>
  <c r="BE3" i="18"/>
  <c r="BD3" i="18"/>
  <c r="BC3" i="18"/>
  <c r="BB3" i="18"/>
  <c r="BA3" i="18"/>
  <c r="AZ3" i="18"/>
  <c r="AY3" i="18"/>
  <c r="AX3" i="18"/>
  <c r="AW3" i="18"/>
  <c r="BI8" i="18" l="1"/>
  <c r="BC10" i="18"/>
  <c r="BJ8" i="18"/>
  <c r="AW5" i="18"/>
  <c r="AY6" i="18"/>
  <c r="BK8" i="18"/>
  <c r="BG10" i="18"/>
  <c r="BE12" i="18"/>
  <c r="BM16" i="18"/>
  <c r="BQ5" i="18"/>
  <c r="BM6" i="18"/>
  <c r="BU8" i="18"/>
  <c r="BI10" i="18"/>
  <c r="BK10" i="18"/>
  <c r="BO10" i="18"/>
  <c r="AW13" i="18"/>
  <c r="BN13" i="18"/>
  <c r="AW15" i="18"/>
  <c r="BM5" i="18"/>
  <c r="BG8" i="18"/>
  <c r="BC12" i="18"/>
  <c r="BU12" i="18"/>
  <c r="AY13" i="18"/>
  <c r="BR13" i="18"/>
  <c r="BS14" i="18"/>
  <c r="AY15" i="18"/>
  <c r="BL16" i="18"/>
  <c r="BC17" i="18"/>
  <c r="BC13" i="18"/>
  <c r="BU13" i="18"/>
  <c r="BG15" i="18"/>
  <c r="BR5" i="18"/>
  <c r="BG12" i="18"/>
  <c r="BE13" i="18"/>
  <c r="BI15" i="18"/>
  <c r="BN17" i="18"/>
  <c r="BF13" i="18"/>
  <c r="BJ15" i="18"/>
  <c r="BA5" i="18"/>
  <c r="BQ8" i="18"/>
  <c r="BE10" i="18"/>
  <c r="BU10" i="18"/>
  <c r="BM12" i="18"/>
  <c r="BG13" i="18"/>
  <c r="BR15" i="18"/>
  <c r="AW16" i="18"/>
  <c r="BC5" i="18"/>
  <c r="AW8" i="18"/>
  <c r="BS8" i="18"/>
  <c r="BQ12" i="18"/>
  <c r="BJ13" i="18"/>
  <c r="BS15" i="18"/>
  <c r="AY16" i="18"/>
  <c r="BE5" i="18"/>
  <c r="BU15" i="18"/>
  <c r="BJ5" i="18"/>
  <c r="BA12" i="18"/>
  <c r="BS12" i="18"/>
  <c r="AX13" i="18"/>
  <c r="BQ13" i="18"/>
  <c r="BC14" i="18"/>
  <c r="AX15" i="18"/>
  <c r="BK16" i="18"/>
  <c r="BB17" i="18"/>
  <c r="BA9" i="18"/>
  <c r="BN6" i="18"/>
  <c r="BT9" i="18"/>
  <c r="BU14" i="18"/>
  <c r="BG5" i="18"/>
  <c r="BS5" i="18"/>
  <c r="BC6" i="18"/>
  <c r="BO6" i="18"/>
  <c r="BO28" i="18" s="1"/>
  <c r="BA8" i="18"/>
  <c r="BM8" i="18"/>
  <c r="BC9" i="18"/>
  <c r="BL9" i="18"/>
  <c r="BU9" i="18"/>
  <c r="AY10" i="18"/>
  <c r="BM10" i="18"/>
  <c r="AW12" i="18"/>
  <c r="BJ12" i="18"/>
  <c r="BA13" i="18"/>
  <c r="BK13" i="18"/>
  <c r="BE14" i="18"/>
  <c r="BA15" i="18"/>
  <c r="BK15" i="18"/>
  <c r="BC16" i="18"/>
  <c r="BO16" i="18"/>
  <c r="BE17" i="18"/>
  <c r="BO17" i="18"/>
  <c r="BA6" i="18"/>
  <c r="BB9" i="18"/>
  <c r="BD14" i="18"/>
  <c r="BI5" i="18"/>
  <c r="BU5" i="18"/>
  <c r="BE6" i="18"/>
  <c r="BQ6" i="18"/>
  <c r="BB8" i="18"/>
  <c r="BO8" i="18"/>
  <c r="BD9" i="18"/>
  <c r="BM9" i="18"/>
  <c r="BA10" i="18"/>
  <c r="BN10" i="18"/>
  <c r="AY12" i="18"/>
  <c r="BK12" i="18"/>
  <c r="BB13" i="18"/>
  <c r="BM13" i="18"/>
  <c r="BH14" i="18"/>
  <c r="BB15" i="18"/>
  <c r="BM15" i="18"/>
  <c r="BM37" i="18" s="1"/>
  <c r="BD16" i="18"/>
  <c r="BQ16" i="18"/>
  <c r="BF17" i="18"/>
  <c r="BQ17" i="18"/>
  <c r="BK9" i="18"/>
  <c r="BF6" i="18"/>
  <c r="BS6" i="18"/>
  <c r="BE9" i="18"/>
  <c r="BN9" i="18"/>
  <c r="BK14" i="18"/>
  <c r="BC15" i="18"/>
  <c r="BN15" i="18"/>
  <c r="BE16" i="18"/>
  <c r="BS16" i="18"/>
  <c r="AW17" i="18"/>
  <c r="BG17" i="18"/>
  <c r="BR17" i="18"/>
  <c r="AW18" i="18"/>
  <c r="AY5" i="18"/>
  <c r="BK5" i="18"/>
  <c r="BG6" i="18"/>
  <c r="BU6" i="18"/>
  <c r="BE8" i="18"/>
  <c r="BR8" i="18"/>
  <c r="AW9" i="18"/>
  <c r="BF9" i="18"/>
  <c r="BO9" i="18"/>
  <c r="BB12" i="18"/>
  <c r="BO12" i="18"/>
  <c r="BD13" i="18"/>
  <c r="BM14" i="18"/>
  <c r="BE15" i="18"/>
  <c r="BO15" i="18"/>
  <c r="BG16" i="18"/>
  <c r="BT16" i="18"/>
  <c r="AX17" i="18"/>
  <c r="BI17" i="18"/>
  <c r="BS17" i="18"/>
  <c r="AY18" i="18"/>
  <c r="BS9" i="18"/>
  <c r="AW6" i="18"/>
  <c r="BI6" i="18"/>
  <c r="AX9" i="18"/>
  <c r="BG9" i="18"/>
  <c r="BQ9" i="18"/>
  <c r="AW14" i="18"/>
  <c r="BO14" i="18"/>
  <c r="BF15" i="18"/>
  <c r="BQ15" i="18"/>
  <c r="BI16" i="18"/>
  <c r="BI37" i="18" s="1"/>
  <c r="BU16" i="18"/>
  <c r="AY17" i="18"/>
  <c r="BJ17" i="18"/>
  <c r="BU17" i="18"/>
  <c r="BI18" i="18"/>
  <c r="BJ9" i="18"/>
  <c r="BB5" i="18"/>
  <c r="BO5" i="18"/>
  <c r="AX6" i="18"/>
  <c r="BK6" i="18"/>
  <c r="AY9" i="18"/>
  <c r="BI9" i="18"/>
  <c r="BR9" i="18"/>
  <c r="AZ14" i="18"/>
  <c r="BP14" i="18"/>
  <c r="BA17" i="18"/>
  <c r="BK17" i="18"/>
  <c r="BK18" i="18"/>
  <c r="AX34" i="18"/>
  <c r="AX20" i="18"/>
  <c r="AZ11" i="18"/>
  <c r="BA7" i="18"/>
  <c r="AD29" i="18" a="1"/>
  <c r="AD29" i="18" s="1"/>
  <c r="AU38" i="18" a="1"/>
  <c r="AU38" i="18" s="1"/>
  <c r="AQ38" i="18" a="1"/>
  <c r="AQ38" i="18" s="1"/>
  <c r="AM38" i="18" a="1"/>
  <c r="AM38" i="18" s="1"/>
  <c r="AI38" i="18" a="1"/>
  <c r="AI38" i="18" s="1"/>
  <c r="AE38" i="18" a="1"/>
  <c r="AE38" i="18" s="1"/>
  <c r="AA38" i="18" a="1"/>
  <c r="AA38" i="18" s="1"/>
  <c r="AU37" i="18"/>
  <c r="AM37" i="18"/>
  <c r="AE37" i="18"/>
  <c r="AS29" i="18" a="1"/>
  <c r="AS29" i="18" s="1"/>
  <c r="AO29" i="18" a="1"/>
  <c r="AO29" i="18" s="1"/>
  <c r="AK29" i="18" a="1"/>
  <c r="AK29" i="18" s="1"/>
  <c r="AG29" i="18" a="1"/>
  <c r="AG29" i="18" s="1"/>
  <c r="AC29" i="18" a="1"/>
  <c r="AC29" i="18" s="1"/>
  <c r="Y29" i="18" a="1"/>
  <c r="Y29" i="18" s="1"/>
  <c r="AP28" i="18"/>
  <c r="AH28" i="18"/>
  <c r="AT37" i="18"/>
  <c r="AL37" i="18"/>
  <c r="AD37" i="18"/>
  <c r="AO28" i="18"/>
  <c r="AG28" i="18"/>
  <c r="Y28" i="18"/>
  <c r="AT38" i="18" a="1"/>
  <c r="AT38" i="18" s="1"/>
  <c r="AP38" i="18" a="1"/>
  <c r="AP38" i="18" s="1"/>
  <c r="AL38" i="18" a="1"/>
  <c r="AL38" i="18" s="1"/>
  <c r="AH38" i="18" a="1"/>
  <c r="AH38" i="18" s="1"/>
  <c r="AD38" i="18" a="1"/>
  <c r="AD38" i="18" s="1"/>
  <c r="Z38" i="18" a="1"/>
  <c r="Z38" i="18" s="1"/>
  <c r="AS37" i="18"/>
  <c r="AK37" i="18"/>
  <c r="AC37" i="18"/>
  <c r="AR29" i="18" a="1"/>
  <c r="AR29" i="18" s="1"/>
  <c r="AN29" i="18" a="1"/>
  <c r="AN29" i="18" s="1"/>
  <c r="AJ29" i="18" a="1"/>
  <c r="AJ29" i="18" s="1"/>
  <c r="AF29" i="18" a="1"/>
  <c r="AF29" i="18" s="1"/>
  <c r="AB29" i="18" a="1"/>
  <c r="AB29" i="18" s="1"/>
  <c r="X29" i="18" a="1"/>
  <c r="X29" i="18" s="1"/>
  <c r="AN28" i="18"/>
  <c r="AF28" i="18"/>
  <c r="X28" i="18"/>
  <c r="AR37" i="18"/>
  <c r="AJ37" i="18"/>
  <c r="AB37" i="18"/>
  <c r="AU28" i="18"/>
  <c r="AM28" i="18"/>
  <c r="AE28" i="18"/>
  <c r="AS38" i="18" a="1"/>
  <c r="AS38" i="18" s="1"/>
  <c r="AO38" i="18" a="1"/>
  <c r="AO38" i="18" s="1"/>
  <c r="AK38" i="18" a="1"/>
  <c r="AK38" i="18" s="1"/>
  <c r="AG38" i="18" a="1"/>
  <c r="AG38" i="18" s="1"/>
  <c r="AC38" i="18" a="1"/>
  <c r="AC38" i="18" s="1"/>
  <c r="Y38" i="18" a="1"/>
  <c r="Y38" i="18" s="1"/>
  <c r="AQ37" i="18"/>
  <c r="AI37" i="18"/>
  <c r="AA37" i="18"/>
  <c r="AU29" i="18" a="1"/>
  <c r="AU29" i="18" s="1"/>
  <c r="AQ29" i="18" a="1"/>
  <c r="AQ29" i="18" s="1"/>
  <c r="AM29" i="18" a="1"/>
  <c r="AM29" i="18" s="1"/>
  <c r="AI29" i="18" a="1"/>
  <c r="AI29" i="18" s="1"/>
  <c r="AE29" i="18" a="1"/>
  <c r="AE29" i="18" s="1"/>
  <c r="AA29" i="18" a="1"/>
  <c r="AA29" i="18" s="1"/>
  <c r="AY37" i="18"/>
  <c r="AP37" i="18"/>
  <c r="AH37" i="18"/>
  <c r="Z37" i="18"/>
  <c r="AS28" i="18"/>
  <c r="AK28" i="18"/>
  <c r="AC28" i="18"/>
  <c r="AJ38" i="18" a="1"/>
  <c r="AJ38" i="18" s="1"/>
  <c r="AG37" i="18"/>
  <c r="AL29" i="18" a="1"/>
  <c r="AL29" i="18" s="1"/>
  <c r="AQ28" i="18"/>
  <c r="AF37" i="18"/>
  <c r="AL28" i="18"/>
  <c r="AF38" i="18" a="1"/>
  <c r="AF38" i="18" s="1"/>
  <c r="Y37" i="18"/>
  <c r="AH29" i="18" a="1"/>
  <c r="AH29" i="18" s="1"/>
  <c r="AJ28" i="18"/>
  <c r="X37" i="18"/>
  <c r="AI28" i="18"/>
  <c r="AB28" i="18"/>
  <c r="AN38" i="18" a="1"/>
  <c r="AN38" i="18" s="1"/>
  <c r="X38" i="18" a="1"/>
  <c r="X38" i="18" s="1"/>
  <c r="AO37" i="18"/>
  <c r="AP29" i="18" a="1"/>
  <c r="AP29" i="18" s="1"/>
  <c r="Z29" i="18" a="1"/>
  <c r="Z29" i="18" s="1"/>
  <c r="AT28" i="18"/>
  <c r="AA28" i="18"/>
  <c r="BD5" i="18"/>
  <c r="BL5" i="18"/>
  <c r="BT5" i="18"/>
  <c r="AZ6" i="18"/>
  <c r="BH6" i="18"/>
  <c r="BP6" i="18"/>
  <c r="BB7" i="18"/>
  <c r="BJ7" i="18"/>
  <c r="BR7" i="18"/>
  <c r="BD8" i="18"/>
  <c r="BL8" i="18"/>
  <c r="BT8" i="18"/>
  <c r="AZ10" i="18"/>
  <c r="BH10" i="18"/>
  <c r="BP10" i="18"/>
  <c r="BB11" i="18"/>
  <c r="BJ11" i="18"/>
  <c r="BR11" i="18"/>
  <c r="BD12" i="18"/>
  <c r="BL12" i="18"/>
  <c r="BT12" i="18"/>
  <c r="BG14" i="18"/>
  <c r="BQ14" i="18"/>
  <c r="AZ18" i="18"/>
  <c r="BH11" i="18"/>
  <c r="BI7" i="18"/>
  <c r="BA11" i="18"/>
  <c r="BK7" i="18"/>
  <c r="BC11" i="18"/>
  <c r="BK11" i="18"/>
  <c r="BS11" i="18"/>
  <c r="BN18" i="18"/>
  <c r="BF18" i="18"/>
  <c r="AX18" i="18"/>
  <c r="BT18" i="18"/>
  <c r="BL18" i="18"/>
  <c r="BD18" i="18"/>
  <c r="BR18" i="18"/>
  <c r="BR37" i="18" s="1"/>
  <c r="BJ18" i="18"/>
  <c r="BB18" i="18"/>
  <c r="BA18" i="18"/>
  <c r="BA37" i="18" s="1"/>
  <c r="BO18" i="18"/>
  <c r="AT29" i="18" a="1"/>
  <c r="AT29" i="18" s="1"/>
  <c r="AB38" i="18" a="1"/>
  <c r="AB38" i="18" s="1"/>
  <c r="AZ7" i="18"/>
  <c r="BP7" i="18"/>
  <c r="BQ7" i="18"/>
  <c r="BI11" i="18"/>
  <c r="BQ11" i="18"/>
  <c r="BC7" i="18"/>
  <c r="BS7" i="18"/>
  <c r="AX5" i="18"/>
  <c r="BF5" i="18"/>
  <c r="BN5" i="18"/>
  <c r="BB6" i="18"/>
  <c r="BJ6" i="18"/>
  <c r="BR6" i="18"/>
  <c r="BD7" i="18"/>
  <c r="BL7" i="18"/>
  <c r="BT7" i="18"/>
  <c r="AX8" i="18"/>
  <c r="BF8" i="18"/>
  <c r="BN8" i="18"/>
  <c r="AZ9" i="18"/>
  <c r="BH9" i="18"/>
  <c r="BB10" i="18"/>
  <c r="BJ10" i="18"/>
  <c r="BR10" i="18"/>
  <c r="BD11" i="18"/>
  <c r="BL11" i="18"/>
  <c r="BT11" i="18"/>
  <c r="AX12" i="18"/>
  <c r="BF12" i="18"/>
  <c r="BN12" i="18"/>
  <c r="BT13" i="18"/>
  <c r="BL13" i="18"/>
  <c r="BP13" i="18"/>
  <c r="BH13" i="18"/>
  <c r="AZ13" i="18"/>
  <c r="BI13" i="18"/>
  <c r="BS13" i="18"/>
  <c r="AY14" i="18"/>
  <c r="BI14" i="18"/>
  <c r="BC18" i="18"/>
  <c r="BP18" i="18"/>
  <c r="Z28" i="18"/>
  <c r="BH7" i="18"/>
  <c r="BE7" i="18"/>
  <c r="BU7" i="18"/>
  <c r="AW11" i="18"/>
  <c r="BE11" i="18"/>
  <c r="BM11" i="18"/>
  <c r="BU11" i="18"/>
  <c r="BE18" i="18"/>
  <c r="BQ18" i="18"/>
  <c r="AD28" i="18"/>
  <c r="AR38" i="18" a="1"/>
  <c r="AR38" i="18" s="1"/>
  <c r="BP11" i="18"/>
  <c r="AW31" i="18"/>
  <c r="AW32" i="18" s="1"/>
  <c r="AW34" i="18"/>
  <c r="AW35" i="18" s="1"/>
  <c r="AW20" i="18"/>
  <c r="AW7" i="18"/>
  <c r="BM7" i="18"/>
  <c r="AZ5" i="18"/>
  <c r="BH5" i="18"/>
  <c r="BD6" i="18"/>
  <c r="BL6" i="18"/>
  <c r="AX7" i="18"/>
  <c r="BF7" i="18"/>
  <c r="BN7" i="18"/>
  <c r="AZ8" i="18"/>
  <c r="BH8" i="18"/>
  <c r="BD10" i="18"/>
  <c r="BL10" i="18"/>
  <c r="AX11" i="18"/>
  <c r="BF11" i="18"/>
  <c r="BN11" i="18"/>
  <c r="AZ12" i="18"/>
  <c r="BH12" i="18"/>
  <c r="BN14" i="18"/>
  <c r="BF14" i="18"/>
  <c r="AX14" i="18"/>
  <c r="BR14" i="18"/>
  <c r="BJ14" i="18"/>
  <c r="BB14" i="18"/>
  <c r="BA14" i="18"/>
  <c r="BL14" i="18"/>
  <c r="BG18" i="18"/>
  <c r="BS18" i="18"/>
  <c r="AR28" i="18"/>
  <c r="AY7" i="18"/>
  <c r="BG7" i="18"/>
  <c r="AY11" i="18"/>
  <c r="BG11" i="18"/>
  <c r="BH18" i="18"/>
  <c r="BU18" i="18"/>
  <c r="BD15" i="18"/>
  <c r="BL15" i="18"/>
  <c r="BT15" i="18"/>
  <c r="AX16" i="18"/>
  <c r="BF16" i="18"/>
  <c r="BN16" i="18"/>
  <c r="AZ17" i="18"/>
  <c r="BH17" i="18"/>
  <c r="BP17" i="18"/>
  <c r="AZ16" i="18"/>
  <c r="BH16" i="18"/>
  <c r="BP16" i="18"/>
  <c r="AZ15" i="18"/>
  <c r="BH15" i="18"/>
  <c r="BB16" i="18"/>
  <c r="BJ16" i="18"/>
  <c r="BD17" i="18"/>
  <c r="BL17" i="18"/>
  <c r="AW37" i="18" l="1"/>
  <c r="BC37" i="18"/>
  <c r="BK37" i="18"/>
  <c r="BS37" i="18"/>
  <c r="BD28" i="18"/>
  <c r="BQ37" i="18"/>
  <c r="BC28" i="18"/>
  <c r="BD34" i="18" s="1"/>
  <c r="BU37" i="18"/>
  <c r="BU40" i="18" s="1"/>
  <c r="BU41" i="18" s="1"/>
  <c r="BE37" i="18"/>
  <c r="BE39" i="18" s="1"/>
  <c r="BA29" i="18" a="1"/>
  <c r="BA29" i="18" s="1"/>
  <c r="AZ28" i="18"/>
  <c r="BA34" i="18" s="1"/>
  <c r="BN28" i="18"/>
  <c r="BT28" i="18"/>
  <c r="BT31" i="18" s="1"/>
  <c r="BT32" i="18" s="1"/>
  <c r="BG37" i="18"/>
  <c r="BG40" i="18" s="1"/>
  <c r="BG41" i="18" s="1"/>
  <c r="BG23" i="18"/>
  <c r="BF37" i="18"/>
  <c r="BG43" i="18" s="1"/>
  <c r="BG44" i="18" s="1"/>
  <c r="AZ37" i="18"/>
  <c r="AZ39" i="18" s="1"/>
  <c r="BA38" i="18" a="1"/>
  <c r="BA38" i="18" s="1"/>
  <c r="BK23" i="18"/>
  <c r="BO38" i="18" a="1"/>
  <c r="BO38" i="18" s="1"/>
  <c r="BI28" i="18"/>
  <c r="BL37" i="18"/>
  <c r="BL39" i="18" s="1"/>
  <c r="BE23" i="18"/>
  <c r="AW23" i="18"/>
  <c r="BQ23" i="18"/>
  <c r="BJ37" i="18"/>
  <c r="BP23" i="18"/>
  <c r="BD37" i="18"/>
  <c r="AY29" i="18" a="1"/>
  <c r="AY29" i="18" s="1"/>
  <c r="BB38" i="18" a="1"/>
  <c r="BB38" i="18" s="1"/>
  <c r="BI23" i="18"/>
  <c r="BJ38" i="18" a="1"/>
  <c r="BJ38" i="18" s="1"/>
  <c r="BI38" i="18" a="1"/>
  <c r="BI38" i="18" s="1"/>
  <c r="BG28" i="18"/>
  <c r="BL28" i="18"/>
  <c r="BL31" i="18" s="1"/>
  <c r="BL32" i="18" s="1"/>
  <c r="BH37" i="18"/>
  <c r="BH29" i="18" a="1"/>
  <c r="BH29" i="18" s="1"/>
  <c r="BQ29" i="18" a="1"/>
  <c r="BQ29" i="18" s="1"/>
  <c r="BJ28" i="18"/>
  <c r="BK34" i="18" s="1"/>
  <c r="BP37" i="18"/>
  <c r="BP40" i="18" s="1"/>
  <c r="BP41" i="18" s="1"/>
  <c r="AY23" i="18"/>
  <c r="BA23" i="18"/>
  <c r="AZ38" i="18" a="1"/>
  <c r="AZ38" i="18" s="1"/>
  <c r="BM23" i="18"/>
  <c r="BB23" i="18"/>
  <c r="BN37" i="18"/>
  <c r="BN40" i="18" s="1"/>
  <c r="BN41" i="18" s="1"/>
  <c r="BF29" i="18" a="1"/>
  <c r="BF29" i="18" s="1"/>
  <c r="BK22" i="18"/>
  <c r="BL25" i="18" s="1"/>
  <c r="BT29" i="18" a="1"/>
  <c r="BT29" i="18" s="1"/>
  <c r="BF28" i="18"/>
  <c r="BM22" i="18"/>
  <c r="BN25" i="18" s="1"/>
  <c r="BS22" i="18"/>
  <c r="BR38" i="18" a="1"/>
  <c r="BR38" i="18" s="1"/>
  <c r="AX38" i="18" a="1"/>
  <c r="AX38" i="18" s="1"/>
  <c r="BC22" i="18"/>
  <c r="BD25" i="18" s="1"/>
  <c r="BQ28" i="18"/>
  <c r="BR34" i="18" s="1"/>
  <c r="BL38" i="18" a="1"/>
  <c r="BL38" i="18" s="1"/>
  <c r="AW29" i="18" a="1"/>
  <c r="AW29" i="18" s="1"/>
  <c r="AX37" i="18"/>
  <c r="AX40" i="18" s="1"/>
  <c r="AX41" i="18" s="1"/>
  <c r="BS38" i="18" a="1"/>
  <c r="BS38" i="18" s="1"/>
  <c r="BK28" i="18"/>
  <c r="BL34" i="18" s="1"/>
  <c r="BP29" i="18" a="1"/>
  <c r="BP29" i="18" s="1"/>
  <c r="BD29" i="18" a="1"/>
  <c r="BD29" i="18" s="1"/>
  <c r="BB22" i="18"/>
  <c r="BC25" i="18" s="1"/>
  <c r="BC26" i="18" s="1"/>
  <c r="AX28" i="18"/>
  <c r="AY34" i="18" s="1"/>
  <c r="BO22" i="18"/>
  <c r="BU29" i="18" a="1"/>
  <c r="BU29" i="18" s="1"/>
  <c r="BB28" i="18"/>
  <c r="BT37" i="18"/>
  <c r="BU43" i="18" s="1"/>
  <c r="BH28" i="18"/>
  <c r="BH31" i="18" s="1"/>
  <c r="BH32" i="18" s="1"/>
  <c r="BU39" i="18"/>
  <c r="AZ31" i="18"/>
  <c r="AZ32" i="18" s="1"/>
  <c r="BT43" i="18"/>
  <c r="BS40" i="18"/>
  <c r="BS41" i="18" s="1"/>
  <c r="BS39" i="18"/>
  <c r="BQ39" i="18"/>
  <c r="BR43" i="18"/>
  <c r="BR44" i="18" s="1"/>
  <c r="BQ40" i="18"/>
  <c r="BQ41" i="18" s="1"/>
  <c r="BE34" i="18"/>
  <c r="BD31" i="18"/>
  <c r="BD32" i="18" s="1"/>
  <c r="BD30" i="18"/>
  <c r="BE43" i="18"/>
  <c r="BD40" i="18"/>
  <c r="BD41" i="18" s="1"/>
  <c r="BD39" i="18"/>
  <c r="BG39" i="18"/>
  <c r="BD43" i="18"/>
  <c r="BD44" i="18" s="1"/>
  <c r="BC40" i="18"/>
  <c r="BC41" i="18" s="1"/>
  <c r="BC39" i="18"/>
  <c r="BU34" i="18"/>
  <c r="BG30" i="18"/>
  <c r="BG35" i="18"/>
  <c r="BG31" i="18"/>
  <c r="BG32" i="18" s="1"/>
  <c r="BH34" i="18"/>
  <c r="BH40" i="18"/>
  <c r="BH41" i="18" s="1"/>
  <c r="BH39" i="18"/>
  <c r="BI43" i="18"/>
  <c r="BK43" i="18"/>
  <c r="BK44" i="18" s="1"/>
  <c r="BJ39" i="18"/>
  <c r="BJ40" i="18"/>
  <c r="BJ41" i="18" s="1"/>
  <c r="BF30" i="18"/>
  <c r="BG34" i="18"/>
  <c r="BF31" i="18"/>
  <c r="BF32" i="18" s="1"/>
  <c r="BT25" i="18"/>
  <c r="BS24" i="18"/>
  <c r="BS43" i="18"/>
  <c r="BS44" i="18" s="1"/>
  <c r="BR39" i="18"/>
  <c r="BR40" i="18"/>
  <c r="BR41" i="18" s="1"/>
  <c r="BC34" i="18"/>
  <c r="BB31" i="18"/>
  <c r="BB32" i="18" s="1"/>
  <c r="BB30" i="18"/>
  <c r="BN30" i="18"/>
  <c r="BO34" i="18"/>
  <c r="BO35" i="18" s="1"/>
  <c r="BN31" i="18"/>
  <c r="BN32" i="18" s="1"/>
  <c r="BP28" i="18"/>
  <c r="BK29" i="18" a="1"/>
  <c r="BK29" i="18" s="1"/>
  <c r="BR22" i="18"/>
  <c r="BN23" i="18"/>
  <c r="BN22" i="18"/>
  <c r="AW22" i="18"/>
  <c r="BC23" i="18"/>
  <c r="BE38" i="18" a="1"/>
  <c r="BE38" i="18" s="1"/>
  <c r="BR28" i="18"/>
  <c r="BQ38" i="18" a="1"/>
  <c r="BQ38" i="18" s="1"/>
  <c r="BI39" i="18"/>
  <c r="BI44" i="18"/>
  <c r="BJ43" i="18"/>
  <c r="BJ44" i="18" s="1"/>
  <c r="BI40" i="18"/>
  <c r="BI41" i="18" s="1"/>
  <c r="BE29" i="18" a="1"/>
  <c r="BE29" i="18" s="1"/>
  <c r="BB37" i="18"/>
  <c r="BA22" i="18"/>
  <c r="BS23" i="18"/>
  <c r="AY22" i="18"/>
  <c r="BD23" i="18"/>
  <c r="BD22" i="18"/>
  <c r="BB29" i="18" a="1"/>
  <c r="BB29" i="18" s="1"/>
  <c r="BJ22" i="18"/>
  <c r="BH23" i="18"/>
  <c r="BH22" i="18"/>
  <c r="BR23" i="18"/>
  <c r="BF23" i="18"/>
  <c r="BF22" i="18"/>
  <c r="BU22" i="18"/>
  <c r="BU38" i="18" a="1"/>
  <c r="BU38" i="18" s="1"/>
  <c r="AW38" i="18" a="1"/>
  <c r="AW38" i="18" s="1"/>
  <c r="BL29" i="18" a="1"/>
  <c r="BL29" i="18" s="1"/>
  <c r="BE28" i="18"/>
  <c r="BF35" i="18" s="1"/>
  <c r="BI29" i="18" a="1"/>
  <c r="BI29" i="18" s="1"/>
  <c r="AY38" i="18" a="1"/>
  <c r="AY38" i="18" s="1"/>
  <c r="BL43" i="18"/>
  <c r="BK40" i="18"/>
  <c r="BK41" i="18" s="1"/>
  <c r="BK39" i="18"/>
  <c r="BJ29" i="18" a="1"/>
  <c r="BJ29" i="18" s="1"/>
  <c r="BD38" i="18" a="1"/>
  <c r="BD38" i="18" s="1"/>
  <c r="AZ23" i="18"/>
  <c r="AZ22" i="18"/>
  <c r="AX23" i="18"/>
  <c r="AX22" i="18"/>
  <c r="BU23" i="18"/>
  <c r="BM38" i="18" a="1"/>
  <c r="BM38" i="18" s="1"/>
  <c r="BC29" i="18" a="1"/>
  <c r="BC29" i="18" s="1"/>
  <c r="AY40" i="18"/>
  <c r="AY41" i="18" s="1"/>
  <c r="AY39" i="18"/>
  <c r="AZ43" i="18"/>
  <c r="AZ44" i="18" s="1"/>
  <c r="BF38" i="18" a="1"/>
  <c r="BF38" i="18" s="1"/>
  <c r="BM28" i="18"/>
  <c r="BM29" i="18" a="1"/>
  <c r="BM29" i="18" s="1"/>
  <c r="BC38" i="18" a="1"/>
  <c r="BC38" i="18" s="1"/>
  <c r="AY28" i="18"/>
  <c r="AZ35" i="18" s="1"/>
  <c r="BN29" i="18" a="1"/>
  <c r="BN29" i="18" s="1"/>
  <c r="BN33" i="18" s="1"/>
  <c r="BH38" i="18" a="1"/>
  <c r="BH38" i="18" s="1"/>
  <c r="BJ23" i="18"/>
  <c r="BQ22" i="18"/>
  <c r="BG22" i="18"/>
  <c r="BE22" i="18"/>
  <c r="BA28" i="18"/>
  <c r="BS29" i="18" a="1"/>
  <c r="BS29" i="18" s="1"/>
  <c r="BU28" i="18"/>
  <c r="BG38" i="18" a="1"/>
  <c r="BG38" i="18" s="1"/>
  <c r="BR29" i="18" a="1"/>
  <c r="BR29" i="18" s="1"/>
  <c r="BP22" i="18"/>
  <c r="BA39" i="18"/>
  <c r="BB43" i="18"/>
  <c r="BA40" i="18"/>
  <c r="BA41" i="18" s="1"/>
  <c r="BG29" i="18" a="1"/>
  <c r="BG29" i="18" s="1"/>
  <c r="BO37" i="18"/>
  <c r="BN38" i="18" a="1"/>
  <c r="BN38" i="18" s="1"/>
  <c r="BK38" i="18" a="1"/>
  <c r="BK38" i="18" s="1"/>
  <c r="BP34" i="18"/>
  <c r="BO30" i="18"/>
  <c r="BO31" i="18"/>
  <c r="BO32" i="18" s="1"/>
  <c r="BP38" i="18" a="1"/>
  <c r="BP38" i="18" s="1"/>
  <c r="AX43" i="18"/>
  <c r="AW43" i="18"/>
  <c r="AW44" i="18" s="1"/>
  <c r="AW40" i="18"/>
  <c r="AW41" i="18" s="1"/>
  <c r="AW39" i="18"/>
  <c r="BI22" i="18"/>
  <c r="BO23" i="18"/>
  <c r="BT22" i="18"/>
  <c r="BT23" i="18"/>
  <c r="BO29" i="18" a="1"/>
  <c r="BO29" i="18" s="1"/>
  <c r="BT38" i="18" a="1"/>
  <c r="BT38" i="18" s="1"/>
  <c r="BP25" i="18"/>
  <c r="BO24" i="18"/>
  <c r="BL23" i="18"/>
  <c r="BL22" i="18"/>
  <c r="BN43" i="18"/>
  <c r="BM40" i="18"/>
  <c r="BM41" i="18" s="1"/>
  <c r="BM39" i="18"/>
  <c r="BS28" i="18"/>
  <c r="AZ29" i="18" a="1"/>
  <c r="AZ29" i="18" s="1"/>
  <c r="AX29" i="18" a="1"/>
  <c r="AX29" i="18" s="1"/>
  <c r="BC24" i="18" l="1"/>
  <c r="AZ30" i="18"/>
  <c r="BH33" i="18"/>
  <c r="BD35" i="18"/>
  <c r="BJ30" i="18"/>
  <c r="BC35" i="18"/>
  <c r="BC33" i="18"/>
  <c r="BD33" i="18"/>
  <c r="BJ31" i="18"/>
  <c r="BJ32" i="18" s="1"/>
  <c r="BC30" i="18"/>
  <c r="BK30" i="18"/>
  <c r="BF33" i="18"/>
  <c r="BT30" i="18"/>
  <c r="BC31" i="18"/>
  <c r="BC32" i="18" s="1"/>
  <c r="BO33" i="18"/>
  <c r="BG33" i="18"/>
  <c r="BA43" i="18"/>
  <c r="BA44" i="18" s="1"/>
  <c r="BE40" i="18"/>
  <c r="BE41" i="18" s="1"/>
  <c r="BQ43" i="18"/>
  <c r="BQ44" i="18" s="1"/>
  <c r="BF43" i="18"/>
  <c r="BF44" i="18" s="1"/>
  <c r="AZ40" i="18"/>
  <c r="AZ41" i="18" s="1"/>
  <c r="BU44" i="18"/>
  <c r="BE44" i="18"/>
  <c r="BH43" i="18"/>
  <c r="BH44" i="18" s="1"/>
  <c r="AZ33" i="18"/>
  <c r="BK31" i="18"/>
  <c r="BK32" i="18" s="1"/>
  <c r="BF39" i="18"/>
  <c r="BI34" i="18"/>
  <c r="BF40" i="18"/>
  <c r="BF41" i="18" s="1"/>
  <c r="AY43" i="18"/>
  <c r="AY44" i="18" s="1"/>
  <c r="BL30" i="18"/>
  <c r="AX39" i="18"/>
  <c r="BB33" i="18"/>
  <c r="BM24" i="18"/>
  <c r="BM34" i="18"/>
  <c r="BM35" i="18" s="1"/>
  <c r="BP39" i="18"/>
  <c r="AX44" i="18"/>
  <c r="BL35" i="18"/>
  <c r="BI35" i="18"/>
  <c r="BL33" i="18"/>
  <c r="BK35" i="18"/>
  <c r="BL40" i="18"/>
  <c r="BL41" i="18" s="1"/>
  <c r="BJ35" i="18"/>
  <c r="BM43" i="18"/>
  <c r="BM44" i="18" s="1"/>
  <c r="BI30" i="18"/>
  <c r="BH35" i="18"/>
  <c r="BO43" i="18"/>
  <c r="BO44" i="18" s="1"/>
  <c r="BT39" i="18"/>
  <c r="BI31" i="18"/>
  <c r="BI32" i="18" s="1"/>
  <c r="BI33" i="18" s="1"/>
  <c r="BT33" i="18"/>
  <c r="BN44" i="18"/>
  <c r="BL44" i="18"/>
  <c r="BN39" i="18"/>
  <c r="BH30" i="18"/>
  <c r="BT40" i="18"/>
  <c r="BT41" i="18" s="1"/>
  <c r="BJ34" i="18"/>
  <c r="BT44" i="18"/>
  <c r="AX31" i="18"/>
  <c r="AX32" i="18" s="1"/>
  <c r="AX33" i="18" s="1"/>
  <c r="AX35" i="18"/>
  <c r="BQ30" i="18"/>
  <c r="AX30" i="18"/>
  <c r="BQ31" i="18"/>
  <c r="BQ32" i="18" s="1"/>
  <c r="BQ33" i="18" s="1"/>
  <c r="BK24" i="18"/>
  <c r="BB24" i="18"/>
  <c r="BA25" i="18"/>
  <c r="BA26" i="18" s="1"/>
  <c r="AZ24" i="18"/>
  <c r="BO40" i="18"/>
  <c r="BO41" i="18" s="1"/>
  <c r="BO39" i="18"/>
  <c r="BP43" i="18"/>
  <c r="BP44" i="18" s="1"/>
  <c r="BL26" i="18"/>
  <c r="BM25" i="18"/>
  <c r="BM26" i="18" s="1"/>
  <c r="BL24" i="18"/>
  <c r="AZ25" i="18"/>
  <c r="AZ26" i="18" s="1"/>
  <c r="AY24" i="18"/>
  <c r="BS25" i="18"/>
  <c r="BS26" i="18" s="1"/>
  <c r="BR24" i="18"/>
  <c r="BQ25" i="18"/>
  <c r="BQ26" i="18" s="1"/>
  <c r="BP24" i="18"/>
  <c r="BP26" i="18"/>
  <c r="BQ24" i="18"/>
  <c r="BR25" i="18"/>
  <c r="BR26" i="18" s="1"/>
  <c r="AY25" i="18"/>
  <c r="AY26" i="18" s="1"/>
  <c r="AX24" i="18"/>
  <c r="BE35" i="18"/>
  <c r="BF34" i="18"/>
  <c r="BE31" i="18"/>
  <c r="BE32" i="18" s="1"/>
  <c r="BE33" i="18" s="1"/>
  <c r="BE30" i="18"/>
  <c r="BI25" i="18"/>
  <c r="BH24" i="18"/>
  <c r="BK33" i="18"/>
  <c r="BT34" i="18"/>
  <c r="BT35" i="18" s="1"/>
  <c r="BS31" i="18"/>
  <c r="BS32" i="18" s="1"/>
  <c r="BS30" i="18"/>
  <c r="BK25" i="18"/>
  <c r="BK26" i="18" s="1"/>
  <c r="BJ24" i="18"/>
  <c r="BT26" i="18"/>
  <c r="BU25" i="18"/>
  <c r="BT24" i="18"/>
  <c r="BH25" i="18"/>
  <c r="BH26" i="18" s="1"/>
  <c r="BG24" i="18"/>
  <c r="BN34" i="18"/>
  <c r="BN35" i="18" s="1"/>
  <c r="BM31" i="18"/>
  <c r="BM32" i="18" s="1"/>
  <c r="BM33" i="18" s="1"/>
  <c r="BM30" i="18"/>
  <c r="BI24" i="18"/>
  <c r="BJ25" i="18"/>
  <c r="BJ26" i="18" s="1"/>
  <c r="BI26" i="18"/>
  <c r="BJ33" i="18"/>
  <c r="BA24" i="18"/>
  <c r="BB25" i="18"/>
  <c r="BB26" i="18" s="1"/>
  <c r="BR35" i="18"/>
  <c r="BS34" i="18"/>
  <c r="BS35" i="18" s="1"/>
  <c r="BR31" i="18"/>
  <c r="BR32" i="18" s="1"/>
  <c r="BR33" i="18" s="1"/>
  <c r="BR30" i="18"/>
  <c r="BP35" i="18"/>
  <c r="BQ34" i="18"/>
  <c r="BQ35" i="18" s="1"/>
  <c r="BP31" i="18"/>
  <c r="BP32" i="18" s="1"/>
  <c r="BP33" i="18" s="1"/>
  <c r="BP30" i="18"/>
  <c r="BB35" i="18"/>
  <c r="BB44" i="18"/>
  <c r="BC43" i="18"/>
  <c r="BC44" i="18" s="1"/>
  <c r="BB39" i="18"/>
  <c r="BB40" i="18"/>
  <c r="BB41" i="18" s="1"/>
  <c r="BS33" i="18"/>
  <c r="AY35" i="18"/>
  <c r="AY31" i="18"/>
  <c r="AY32" i="18" s="1"/>
  <c r="AY33" i="18" s="1"/>
  <c r="AZ34" i="18"/>
  <c r="AY30" i="18"/>
  <c r="BU26" i="18"/>
  <c r="BU24" i="18"/>
  <c r="AX25" i="18"/>
  <c r="AX26" i="18" s="1"/>
  <c r="AW24" i="18"/>
  <c r="AW25" i="18"/>
  <c r="AW26" i="18" s="1"/>
  <c r="BA35" i="18"/>
  <c r="BB34" i="18"/>
  <c r="BA31" i="18"/>
  <c r="BA32" i="18" s="1"/>
  <c r="BA33" i="18" s="1"/>
  <c r="BA30" i="18"/>
  <c r="BG25" i="18"/>
  <c r="BG26" i="18" s="1"/>
  <c r="BF24" i="18"/>
  <c r="BE25" i="18"/>
  <c r="BE26" i="18" s="1"/>
  <c r="BD24" i="18"/>
  <c r="BD26" i="18"/>
  <c r="BO25" i="18"/>
  <c r="BO26" i="18" s="1"/>
  <c r="BN24" i="18"/>
  <c r="BN26" i="18"/>
  <c r="BU35" i="18"/>
  <c r="BU30" i="18"/>
  <c r="BF25" i="18"/>
  <c r="BF26" i="18" s="1"/>
  <c r="BE24" i="18"/>
  <c r="G5" i="17" l="1"/>
  <c r="G6" i="17"/>
  <c r="G7" i="17"/>
  <c r="I5" i="17" s="1"/>
  <c r="G8" i="17"/>
  <c r="G9" i="17"/>
  <c r="G10" i="17"/>
  <c r="G11" i="17"/>
  <c r="G12" i="17"/>
  <c r="G13" i="17"/>
  <c r="G14" i="17"/>
  <c r="G15" i="17"/>
  <c r="G16" i="17"/>
  <c r="G17" i="17"/>
  <c r="G18" i="17"/>
  <c r="G19" i="17"/>
  <c r="I18" i="17" s="1"/>
  <c r="G20" i="17"/>
  <c r="G21" i="17"/>
  <c r="I13" i="17" l="1"/>
  <c r="I16" i="17"/>
  <c r="I9" i="17"/>
  <c r="BR46" i="15" l="1"/>
  <c r="BQ46" i="15"/>
  <c r="BP46" i="15"/>
  <c r="BO46" i="15"/>
  <c r="BN46" i="15"/>
  <c r="BM46" i="15"/>
  <c r="BL46" i="15"/>
  <c r="BK46" i="15"/>
  <c r="BJ46" i="15"/>
  <c r="BI46" i="15"/>
  <c r="BH46" i="15"/>
  <c r="BR45" i="15"/>
  <c r="BQ45" i="15"/>
  <c r="BP45" i="15"/>
  <c r="BO45" i="15"/>
  <c r="BN45" i="15"/>
  <c r="BM45" i="15"/>
  <c r="BL45" i="15"/>
  <c r="BK45" i="15"/>
  <c r="BJ45" i="15"/>
  <c r="BI45" i="15"/>
  <c r="BH45" i="15"/>
  <c r="BR44" i="15"/>
  <c r="BQ44" i="15"/>
  <c r="BP44" i="15"/>
  <c r="BO44" i="15"/>
  <c r="BN44" i="15"/>
  <c r="BM44" i="15"/>
  <c r="BL44" i="15"/>
  <c r="BK44" i="15"/>
  <c r="BJ44" i="15"/>
  <c r="BI44" i="15"/>
  <c r="BH44" i="15"/>
  <c r="BR43" i="15"/>
  <c r="BQ43" i="15"/>
  <c r="BP43" i="15"/>
  <c r="BO43" i="15"/>
  <c r="BN43" i="15"/>
  <c r="BM43" i="15"/>
  <c r="BL43" i="15"/>
  <c r="BK43" i="15"/>
  <c r="BJ43" i="15"/>
  <c r="BI43" i="15"/>
  <c r="BH43" i="15"/>
  <c r="BR42" i="15"/>
  <c r="BQ42" i="15"/>
  <c r="BP42" i="15"/>
  <c r="BO42" i="15"/>
  <c r="BN42" i="15"/>
  <c r="BM42" i="15"/>
  <c r="BL42" i="15"/>
  <c r="BK42" i="15"/>
  <c r="BJ42" i="15"/>
  <c r="BI42" i="15"/>
  <c r="BH42" i="15"/>
  <c r="BR41" i="15"/>
  <c r="BQ41" i="15"/>
  <c r="BP41" i="15"/>
  <c r="BO41" i="15"/>
  <c r="BN41" i="15"/>
  <c r="BM41" i="15"/>
  <c r="BL41" i="15"/>
  <c r="BK41" i="15"/>
  <c r="BJ41" i="15"/>
  <c r="BI41" i="15"/>
  <c r="BH41" i="15"/>
  <c r="BR40" i="15"/>
  <c r="BQ40" i="15"/>
  <c r="BP40" i="15"/>
  <c r="BO40" i="15"/>
  <c r="BN40" i="15"/>
  <c r="BM40" i="15"/>
  <c r="BL40" i="15"/>
  <c r="BK40" i="15"/>
  <c r="BJ40" i="15"/>
  <c r="BI40" i="15"/>
  <c r="BH40" i="15"/>
  <c r="BR39" i="15"/>
  <c r="BQ39" i="15"/>
  <c r="BP39" i="15"/>
  <c r="BO39" i="15"/>
  <c r="BN39" i="15"/>
  <c r="BM39" i="15"/>
  <c r="BL39" i="15"/>
  <c r="BK39" i="15"/>
  <c r="BJ39" i="15"/>
  <c r="BI39" i="15"/>
  <c r="BH39" i="15"/>
  <c r="BR31" i="15"/>
  <c r="BQ31" i="15"/>
  <c r="BP31" i="15"/>
  <c r="BO31" i="15"/>
  <c r="BN31" i="15"/>
  <c r="BM31" i="15"/>
  <c r="BL31" i="15"/>
  <c r="BK31" i="15"/>
  <c r="BJ31" i="15"/>
  <c r="BI31" i="15"/>
  <c r="BH31" i="15"/>
  <c r="BR30" i="15"/>
  <c r="BQ30" i="15"/>
  <c r="BP30" i="15"/>
  <c r="BO30" i="15"/>
  <c r="BN30" i="15"/>
  <c r="BM30" i="15"/>
  <c r="BL30" i="15"/>
  <c r="BK30" i="15"/>
  <c r="BJ30" i="15"/>
  <c r="BI30" i="15"/>
  <c r="BH30" i="15"/>
  <c r="BR29" i="15"/>
  <c r="BQ29" i="15"/>
  <c r="BP29" i="15"/>
  <c r="BO29" i="15"/>
  <c r="BN29" i="15"/>
  <c r="BM29" i="15"/>
  <c r="BL29" i="15"/>
  <c r="BK29" i="15"/>
  <c r="BJ29" i="15"/>
  <c r="BI29" i="15"/>
  <c r="BH29" i="15"/>
  <c r="BR28" i="15"/>
  <c r="BQ28" i="15"/>
  <c r="BP28" i="15"/>
  <c r="BO28" i="15"/>
  <c r="BN28" i="15"/>
  <c r="BM28" i="15"/>
  <c r="CC13" i="15" s="1"/>
  <c r="BL28" i="15"/>
  <c r="BK28" i="15"/>
  <c r="BJ28" i="15"/>
  <c r="BI28" i="15"/>
  <c r="BH28" i="15"/>
  <c r="BR27" i="15"/>
  <c r="BQ27" i="15"/>
  <c r="BP27" i="15"/>
  <c r="BO27" i="15"/>
  <c r="BN27" i="15"/>
  <c r="BM27" i="15"/>
  <c r="BL27" i="15"/>
  <c r="BK27" i="15"/>
  <c r="BJ27" i="15"/>
  <c r="BI27" i="15"/>
  <c r="BH27" i="15"/>
  <c r="BR26" i="15"/>
  <c r="BQ26" i="15"/>
  <c r="BP26" i="15"/>
  <c r="BO26" i="15"/>
  <c r="BN26" i="15"/>
  <c r="BM26" i="15"/>
  <c r="BL26" i="15"/>
  <c r="BK26" i="15"/>
  <c r="BJ26" i="15"/>
  <c r="BI26" i="15"/>
  <c r="BH26" i="15"/>
  <c r="BR25" i="15"/>
  <c r="BQ25" i="15"/>
  <c r="BP25" i="15"/>
  <c r="BO25" i="15"/>
  <c r="BN25" i="15"/>
  <c r="BM25" i="15"/>
  <c r="BL25" i="15"/>
  <c r="BK25" i="15"/>
  <c r="BJ25" i="15"/>
  <c r="BI25" i="15"/>
  <c r="BH25" i="15"/>
  <c r="BR24" i="15"/>
  <c r="BQ24" i="15"/>
  <c r="BP24" i="15"/>
  <c r="BO24" i="15"/>
  <c r="BN24" i="15"/>
  <c r="BM24" i="15"/>
  <c r="BL24" i="15"/>
  <c r="BK24" i="15"/>
  <c r="BJ24" i="15"/>
  <c r="BI24" i="15"/>
  <c r="BH24" i="15"/>
  <c r="BR16" i="15"/>
  <c r="BQ16" i="15"/>
  <c r="CG16" i="15" s="1"/>
  <c r="BP16" i="15"/>
  <c r="CF16" i="15" s="1"/>
  <c r="BO16" i="15"/>
  <c r="CE16" i="15" s="1"/>
  <c r="BN16" i="15"/>
  <c r="CD16" i="15" s="1"/>
  <c r="BM16" i="15"/>
  <c r="BL16" i="15"/>
  <c r="CB16" i="15" s="1"/>
  <c r="BK16" i="15"/>
  <c r="CA16" i="15" s="1"/>
  <c r="BJ16" i="15"/>
  <c r="BI16" i="15"/>
  <c r="BY16" i="15" s="1"/>
  <c r="BH16" i="15"/>
  <c r="BX16" i="15" s="1"/>
  <c r="BR15" i="15"/>
  <c r="CH15" i="15" s="1"/>
  <c r="BQ15" i="15"/>
  <c r="CG15" i="15" s="1"/>
  <c r="BP15" i="15"/>
  <c r="BO15" i="15"/>
  <c r="BN15" i="15"/>
  <c r="BM15" i="15"/>
  <c r="BL15" i="15"/>
  <c r="BK15" i="15"/>
  <c r="CA15" i="15" s="1"/>
  <c r="BJ15" i="15"/>
  <c r="BZ15" i="15" s="1"/>
  <c r="BI15" i="15"/>
  <c r="BY15" i="15" s="1"/>
  <c r="BH15" i="15"/>
  <c r="BR14" i="15"/>
  <c r="BQ14" i="15"/>
  <c r="BP14" i="15"/>
  <c r="BO14" i="15"/>
  <c r="CE14" i="15" s="1"/>
  <c r="BN14" i="15"/>
  <c r="CD14" i="15" s="1"/>
  <c r="BM14" i="15"/>
  <c r="BL14" i="15"/>
  <c r="CB14" i="15" s="1"/>
  <c r="BK14" i="15"/>
  <c r="CA14" i="15" s="1"/>
  <c r="BJ14" i="15"/>
  <c r="BI14" i="15"/>
  <c r="BH14" i="15"/>
  <c r="BX14" i="15" s="1"/>
  <c r="BR13" i="15"/>
  <c r="BQ13" i="15"/>
  <c r="CG13" i="15" s="1"/>
  <c r="BP13" i="15"/>
  <c r="CF13" i="15" s="1"/>
  <c r="BO13" i="15"/>
  <c r="CE13" i="15" s="1"/>
  <c r="BN13" i="15"/>
  <c r="CD13" i="15" s="1"/>
  <c r="BM13" i="15"/>
  <c r="BL13" i="15"/>
  <c r="BK13" i="15"/>
  <c r="BJ13" i="15"/>
  <c r="BI13" i="15"/>
  <c r="BY13" i="15" s="1"/>
  <c r="BH13" i="15"/>
  <c r="BX13" i="15" s="1"/>
  <c r="BR12" i="15"/>
  <c r="CH12" i="15" s="1"/>
  <c r="BQ12" i="15"/>
  <c r="BP12" i="15"/>
  <c r="BO12" i="15"/>
  <c r="BN12" i="15"/>
  <c r="BM12" i="15"/>
  <c r="CC12" i="15" s="1"/>
  <c r="BL12" i="15"/>
  <c r="CB12" i="15" s="1"/>
  <c r="BK12" i="15"/>
  <c r="BJ12" i="15"/>
  <c r="BZ12" i="15" s="1"/>
  <c r="BI12" i="15"/>
  <c r="BH12" i="15"/>
  <c r="BR11" i="15"/>
  <c r="BQ11" i="15"/>
  <c r="CG11" i="15" s="1"/>
  <c r="BP11" i="15"/>
  <c r="CF11" i="15" s="1"/>
  <c r="BO11" i="15"/>
  <c r="CE11" i="15" s="1"/>
  <c r="BN11" i="15"/>
  <c r="CD11" i="15" s="1"/>
  <c r="BM11" i="15"/>
  <c r="CC11" i="15" s="1"/>
  <c r="BL11" i="15"/>
  <c r="BK11" i="15"/>
  <c r="BJ11" i="15"/>
  <c r="BI11" i="15"/>
  <c r="BH11" i="15"/>
  <c r="BX11" i="15" s="1"/>
  <c r="BR10" i="15"/>
  <c r="CH10" i="15" s="1"/>
  <c r="BQ10" i="15"/>
  <c r="BP10" i="15"/>
  <c r="CF10" i="15" s="1"/>
  <c r="BO10" i="15"/>
  <c r="CE10" i="15" s="1"/>
  <c r="BN10" i="15"/>
  <c r="BM10" i="15"/>
  <c r="CC10" i="15" s="1"/>
  <c r="BL10" i="15"/>
  <c r="BK10" i="15"/>
  <c r="BJ10" i="15"/>
  <c r="BZ10" i="15" s="1"/>
  <c r="BI10" i="15"/>
  <c r="BH10" i="15"/>
  <c r="BX10" i="15" s="1"/>
  <c r="CD9" i="15"/>
  <c r="CB9" i="15"/>
  <c r="BR9" i="15"/>
  <c r="CH9" i="15" s="1"/>
  <c r="BQ9" i="15"/>
  <c r="BP9" i="15"/>
  <c r="BO9" i="15"/>
  <c r="BN9" i="15"/>
  <c r="BM9" i="15"/>
  <c r="CC9" i="15" s="1"/>
  <c r="BL9" i="15"/>
  <c r="BK9" i="15"/>
  <c r="CA9" i="15" s="1"/>
  <c r="BJ9" i="15"/>
  <c r="BZ9" i="15" s="1"/>
  <c r="BI9" i="15"/>
  <c r="BH9" i="15"/>
  <c r="Z46" i="15"/>
  <c r="Y46" i="15"/>
  <c r="X46" i="15"/>
  <c r="W46" i="15"/>
  <c r="V46" i="15"/>
  <c r="U46" i="15"/>
  <c r="T46" i="15"/>
  <c r="S46" i="15"/>
  <c r="R46" i="15"/>
  <c r="Q46" i="15"/>
  <c r="P46" i="15"/>
  <c r="Z45" i="15"/>
  <c r="Y45" i="15"/>
  <c r="X45" i="15"/>
  <c r="W45" i="15"/>
  <c r="V45" i="15"/>
  <c r="U45" i="15"/>
  <c r="T45" i="15"/>
  <c r="S45" i="15"/>
  <c r="R45" i="15"/>
  <c r="Q45" i="15"/>
  <c r="P45" i="15"/>
  <c r="Z44" i="15"/>
  <c r="Y44" i="15"/>
  <c r="X44" i="15"/>
  <c r="W44" i="15"/>
  <c r="V44" i="15"/>
  <c r="U44" i="15"/>
  <c r="T44" i="15"/>
  <c r="S44" i="15"/>
  <c r="R44" i="15"/>
  <c r="Q44" i="15"/>
  <c r="P44" i="15"/>
  <c r="Z43" i="15"/>
  <c r="Y43" i="15"/>
  <c r="X43" i="15"/>
  <c r="W43" i="15"/>
  <c r="V43" i="15"/>
  <c r="U43" i="15"/>
  <c r="T43" i="15"/>
  <c r="S43" i="15"/>
  <c r="R43" i="15"/>
  <c r="Q43" i="15"/>
  <c r="P43" i="15"/>
  <c r="Z42" i="15"/>
  <c r="Y42" i="15"/>
  <c r="X42" i="15"/>
  <c r="W42" i="15"/>
  <c r="V42" i="15"/>
  <c r="U42" i="15"/>
  <c r="T42" i="15"/>
  <c r="S42" i="15"/>
  <c r="R42" i="15"/>
  <c r="Q42" i="15"/>
  <c r="P42" i="15"/>
  <c r="Z41" i="15"/>
  <c r="Y41" i="15"/>
  <c r="X41" i="15"/>
  <c r="W41" i="15"/>
  <c r="V41" i="15"/>
  <c r="U41" i="15"/>
  <c r="T41" i="15"/>
  <c r="S41" i="15"/>
  <c r="R41" i="15"/>
  <c r="Q41" i="15"/>
  <c r="P41" i="15"/>
  <c r="Z40" i="15"/>
  <c r="Y40" i="15"/>
  <c r="X40" i="15"/>
  <c r="W40" i="15"/>
  <c r="V40" i="15"/>
  <c r="U40" i="15"/>
  <c r="T40" i="15"/>
  <c r="S40" i="15"/>
  <c r="R40" i="15"/>
  <c r="Q40" i="15"/>
  <c r="P40" i="15"/>
  <c r="Z39" i="15"/>
  <c r="Y39" i="15"/>
  <c r="X39" i="15"/>
  <c r="W39" i="15"/>
  <c r="V39" i="15"/>
  <c r="U39" i="15"/>
  <c r="T39" i="15"/>
  <c r="S39" i="15"/>
  <c r="R39" i="15"/>
  <c r="Q39" i="15"/>
  <c r="P39" i="15"/>
  <c r="Z31" i="15"/>
  <c r="Y31" i="15"/>
  <c r="X31" i="15"/>
  <c r="W31" i="15"/>
  <c r="V31" i="15"/>
  <c r="U31" i="15"/>
  <c r="T31" i="15"/>
  <c r="S31" i="15"/>
  <c r="R31" i="15"/>
  <c r="Q31" i="15"/>
  <c r="P31" i="15"/>
  <c r="Z30" i="15"/>
  <c r="Y30" i="15"/>
  <c r="X30" i="15"/>
  <c r="W30" i="15"/>
  <c r="V30" i="15"/>
  <c r="U30" i="15"/>
  <c r="T30" i="15"/>
  <c r="S30" i="15"/>
  <c r="R30" i="15"/>
  <c r="Q30" i="15"/>
  <c r="AG15" i="15" s="1"/>
  <c r="P30" i="15"/>
  <c r="Z29" i="15"/>
  <c r="Y29" i="15"/>
  <c r="X29" i="15"/>
  <c r="W29" i="15"/>
  <c r="V29" i="15"/>
  <c r="U29" i="15"/>
  <c r="T29" i="15"/>
  <c r="S29" i="15"/>
  <c r="R29" i="15"/>
  <c r="Q29" i="15"/>
  <c r="P29" i="15"/>
  <c r="Z28" i="15"/>
  <c r="Y28" i="15"/>
  <c r="X28" i="15"/>
  <c r="W28" i="15"/>
  <c r="V28" i="15"/>
  <c r="U28" i="15"/>
  <c r="T28" i="15"/>
  <c r="S28" i="15"/>
  <c r="R28" i="15"/>
  <c r="Q28" i="15"/>
  <c r="P28" i="15"/>
  <c r="Z27" i="15"/>
  <c r="AP12" i="15" s="1"/>
  <c r="Y27" i="15"/>
  <c r="X27" i="15"/>
  <c r="W27" i="15"/>
  <c r="V27" i="15"/>
  <c r="U27" i="15"/>
  <c r="T27" i="15"/>
  <c r="S27" i="15"/>
  <c r="R27" i="15"/>
  <c r="Q27" i="15"/>
  <c r="P27" i="15"/>
  <c r="Z26" i="15"/>
  <c r="Y26" i="15"/>
  <c r="X26" i="15"/>
  <c r="W26" i="15"/>
  <c r="V26" i="15"/>
  <c r="U26" i="15"/>
  <c r="T26" i="15"/>
  <c r="S26" i="15"/>
  <c r="R26" i="15"/>
  <c r="Q26" i="15"/>
  <c r="AG11" i="15" s="1"/>
  <c r="P26" i="15"/>
  <c r="Z25" i="15"/>
  <c r="Y25" i="15"/>
  <c r="X25" i="15"/>
  <c r="W25" i="15"/>
  <c r="AM10" i="15" s="1"/>
  <c r="V25" i="15"/>
  <c r="U25" i="15"/>
  <c r="T25" i="15"/>
  <c r="S25" i="15"/>
  <c r="R25" i="15"/>
  <c r="Q25" i="15"/>
  <c r="P25" i="15"/>
  <c r="Z24" i="15"/>
  <c r="Y24" i="15"/>
  <c r="X24" i="15"/>
  <c r="W24" i="15"/>
  <c r="V24" i="15"/>
  <c r="U24" i="15"/>
  <c r="T24" i="15"/>
  <c r="S24" i="15"/>
  <c r="R24" i="15"/>
  <c r="Q24" i="15"/>
  <c r="P24" i="15"/>
  <c r="Z16" i="15"/>
  <c r="AP16" i="15" s="1"/>
  <c r="Y16" i="15"/>
  <c r="AO16" i="15" s="1"/>
  <c r="X16" i="15"/>
  <c r="AN16" i="15" s="1"/>
  <c r="W16" i="15"/>
  <c r="AM16" i="15" s="1"/>
  <c r="V16" i="15"/>
  <c r="U16" i="15"/>
  <c r="T16" i="15"/>
  <c r="S16" i="15"/>
  <c r="R16" i="15"/>
  <c r="AH16" i="15" s="1"/>
  <c r="Q16" i="15"/>
  <c r="AG16" i="15" s="1"/>
  <c r="P16" i="15"/>
  <c r="AF16" i="15" s="1"/>
  <c r="AO15" i="15"/>
  <c r="Z15" i="15"/>
  <c r="AP15" i="15" s="1"/>
  <c r="Y15" i="15"/>
  <c r="X15" i="15"/>
  <c r="W15" i="15"/>
  <c r="AM15" i="15" s="1"/>
  <c r="V15" i="15"/>
  <c r="AL15" i="15" s="1"/>
  <c r="U15" i="15"/>
  <c r="T15" i="15"/>
  <c r="AJ15" i="15" s="1"/>
  <c r="S15" i="15"/>
  <c r="AI15" i="15" s="1"/>
  <c r="R15" i="15"/>
  <c r="AH15" i="15" s="1"/>
  <c r="Q15" i="15"/>
  <c r="P15" i="15"/>
  <c r="AL14" i="15"/>
  <c r="Z14" i="15"/>
  <c r="Y14" i="15"/>
  <c r="X14" i="15"/>
  <c r="AN14" i="15" s="1"/>
  <c r="W14" i="15"/>
  <c r="AM14" i="15" s="1"/>
  <c r="V14" i="15"/>
  <c r="U14" i="15"/>
  <c r="AK14" i="15" s="1"/>
  <c r="T14" i="15"/>
  <c r="S14" i="15"/>
  <c r="R14" i="15"/>
  <c r="Q14" i="15"/>
  <c r="P14" i="15"/>
  <c r="AF14" i="15" s="1"/>
  <c r="Z13" i="15"/>
  <c r="AP13" i="15" s="1"/>
  <c r="Y13" i="15"/>
  <c r="X13" i="15"/>
  <c r="AN13" i="15" s="1"/>
  <c r="W13" i="15"/>
  <c r="V13" i="15"/>
  <c r="U13" i="15"/>
  <c r="AK13" i="15" s="1"/>
  <c r="T13" i="15"/>
  <c r="AJ13" i="15" s="1"/>
  <c r="S13" i="15"/>
  <c r="AI13" i="15" s="1"/>
  <c r="R13" i="15"/>
  <c r="AH13" i="15" s="1"/>
  <c r="Q13" i="15"/>
  <c r="P13" i="15"/>
  <c r="AF13" i="15" s="1"/>
  <c r="Z12" i="15"/>
  <c r="Y12" i="15"/>
  <c r="X12" i="15"/>
  <c r="AN12" i="15" s="1"/>
  <c r="W12" i="15"/>
  <c r="AM12" i="15" s="1"/>
  <c r="V12" i="15"/>
  <c r="AL12" i="15" s="1"/>
  <c r="U12" i="15"/>
  <c r="AK12" i="15" s="1"/>
  <c r="T12" i="15"/>
  <c r="S12" i="15"/>
  <c r="AI12" i="15" s="1"/>
  <c r="R12" i="15"/>
  <c r="Q12" i="15"/>
  <c r="P12" i="15"/>
  <c r="AF12" i="15" s="1"/>
  <c r="AO11" i="15"/>
  <c r="AN11" i="15"/>
  <c r="Z11" i="15"/>
  <c r="AP11" i="15" s="1"/>
  <c r="Y11" i="15"/>
  <c r="X11" i="15"/>
  <c r="W11" i="15"/>
  <c r="V11" i="15"/>
  <c r="AL11" i="15" s="1"/>
  <c r="U11" i="15"/>
  <c r="AK11" i="15" s="1"/>
  <c r="T11" i="15"/>
  <c r="S11" i="15"/>
  <c r="R11" i="15"/>
  <c r="AH11" i="15" s="1"/>
  <c r="Q11" i="15"/>
  <c r="P11" i="15"/>
  <c r="AF11" i="15" s="1"/>
  <c r="Z10" i="15"/>
  <c r="AP10" i="15" s="1"/>
  <c r="Y10" i="15"/>
  <c r="AO10" i="15" s="1"/>
  <c r="X10" i="15"/>
  <c r="W10" i="15"/>
  <c r="V10" i="15"/>
  <c r="AL10" i="15" s="1"/>
  <c r="U10" i="15"/>
  <c r="T10" i="15"/>
  <c r="AJ10" i="15" s="1"/>
  <c r="S10" i="15"/>
  <c r="AI10" i="15" s="1"/>
  <c r="R10" i="15"/>
  <c r="AH10" i="15" s="1"/>
  <c r="Q10" i="15"/>
  <c r="AG10" i="15" s="1"/>
  <c r="P10" i="15"/>
  <c r="Z9" i="15"/>
  <c r="Y9" i="15"/>
  <c r="AO9" i="15" s="1"/>
  <c r="X9" i="15"/>
  <c r="W9" i="15"/>
  <c r="AM9" i="15" s="1"/>
  <c r="V9" i="15"/>
  <c r="AL9" i="15" s="1"/>
  <c r="U9" i="15"/>
  <c r="AK9" i="15" s="1"/>
  <c r="T9" i="15"/>
  <c r="AJ9" i="15" s="1"/>
  <c r="S9" i="15"/>
  <c r="R9" i="15"/>
  <c r="Q9" i="15"/>
  <c r="AG9" i="15" s="1"/>
  <c r="P9" i="15"/>
  <c r="Q48" i="5"/>
  <c r="Q44" i="5"/>
  <c r="Q40" i="5"/>
  <c r="Q36" i="5"/>
  <c r="Q49" i="5" a="1"/>
  <c r="Q49" i="5" s="1"/>
  <c r="Q45" i="5" a="1"/>
  <c r="Q45" i="5" s="1"/>
  <c r="Q41" i="5"/>
  <c r="Q41" i="5" a="1"/>
  <c r="Q37" i="5" a="1"/>
  <c r="Q37" i="5" s="1"/>
  <c r="N36" i="5"/>
  <c r="J49" i="5" a="1"/>
  <c r="J49" i="5" s="1"/>
  <c r="J45" i="5" a="1"/>
  <c r="J45" i="5" s="1"/>
  <c r="J41" i="5" a="1"/>
  <c r="J41" i="5" s="1"/>
  <c r="J37" i="5" a="1"/>
  <c r="J37" i="5" s="1"/>
  <c r="J48" i="5"/>
  <c r="J44" i="5"/>
  <c r="J40" i="5"/>
  <c r="J36" i="5"/>
  <c r="CA13" i="15" l="1"/>
  <c r="CF14" i="15"/>
  <c r="BY11" i="15"/>
  <c r="CD10" i="15"/>
  <c r="CE12" i="15"/>
  <c r="BY14" i="15"/>
  <c r="CG14" i="15"/>
  <c r="CE9" i="15"/>
  <c r="CC15" i="15"/>
  <c r="CA12" i="15"/>
  <c r="BX9" i="15"/>
  <c r="CF9" i="15"/>
  <c r="CD15" i="15"/>
  <c r="CB10" i="15"/>
  <c r="AG13" i="15"/>
  <c r="BY9" i="15"/>
  <c r="CG9" i="15"/>
  <c r="CA10" i="15"/>
  <c r="CD12" i="15"/>
  <c r="BZ14" i="15"/>
  <c r="CH14" i="15"/>
  <c r="CB15" i="15"/>
  <c r="CC16" i="15"/>
  <c r="BZ11" i="15"/>
  <c r="CH11" i="15"/>
  <c r="CB13" i="15"/>
  <c r="BX12" i="15"/>
  <c r="CF12" i="15"/>
  <c r="AM11" i="15"/>
  <c r="AK15" i="15"/>
  <c r="BY12" i="15"/>
  <c r="CG12" i="15"/>
  <c r="BZ13" i="15"/>
  <c r="CH13" i="15"/>
  <c r="CC14" i="15"/>
  <c r="CE15" i="15"/>
  <c r="BX15" i="15"/>
  <c r="CF15" i="15"/>
  <c r="AF9" i="15"/>
  <c r="AN9" i="15"/>
  <c r="AK10" i="15"/>
  <c r="AH12" i="15"/>
  <c r="AJ14" i="15"/>
  <c r="AI16" i="15"/>
  <c r="BZ16" i="15"/>
  <c r="CH16" i="15"/>
  <c r="AF15" i="15"/>
  <c r="AN15" i="15"/>
  <c r="BY10" i="15"/>
  <c r="CG10" i="15"/>
  <c r="CA11" i="15"/>
  <c r="AJ12" i="15"/>
  <c r="AO13" i="15"/>
  <c r="CB11" i="15"/>
  <c r="AJ11" i="15"/>
  <c r="AM13" i="15"/>
  <c r="AH14" i="15"/>
  <c r="AP14" i="15"/>
  <c r="AL16" i="15"/>
  <c r="AI14" i="15"/>
  <c r="AH9" i="15"/>
  <c r="AP9" i="15"/>
  <c r="AG12" i="15"/>
  <c r="AO12" i="15"/>
  <c r="AI9" i="15"/>
  <c r="AJ16" i="15"/>
  <c r="AF10" i="15"/>
  <c r="AN10" i="15"/>
  <c r="AI11" i="15"/>
  <c r="AL13" i="15"/>
  <c r="AG14" i="15"/>
  <c r="AO14" i="15"/>
  <c r="AK16" i="1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W20" i="5"/>
  <c r="X20" i="5"/>
  <c r="Y20" i="5"/>
  <c r="Z20" i="5"/>
  <c r="AA20" i="5"/>
  <c r="AB20" i="5"/>
  <c r="AC20" i="5"/>
  <c r="W21" i="5"/>
  <c r="X21" i="5"/>
  <c r="Y21" i="5"/>
  <c r="Z21" i="5"/>
  <c r="AA21" i="5"/>
  <c r="AB21" i="5"/>
  <c r="AC21" i="5"/>
  <c r="W22" i="5"/>
  <c r="X22" i="5"/>
  <c r="Y22" i="5"/>
  <c r="Z22" i="5"/>
  <c r="AA22" i="5"/>
  <c r="AB22" i="5"/>
  <c r="AC22" i="5"/>
  <c r="W23" i="5"/>
  <c r="X23" i="5"/>
  <c r="Y23" i="5"/>
  <c r="Z23" i="5"/>
  <c r="AA23" i="5"/>
  <c r="AB23" i="5"/>
  <c r="AC23" i="5"/>
  <c r="W24" i="5"/>
  <c r="X24" i="5"/>
  <c r="Y24" i="5"/>
  <c r="Z24" i="5"/>
  <c r="AA24" i="5"/>
  <c r="AB24" i="5"/>
  <c r="AC24" i="5"/>
  <c r="W25" i="5"/>
  <c r="X25" i="5"/>
  <c r="Y25" i="5"/>
  <c r="Z25" i="5"/>
  <c r="AA25" i="5"/>
  <c r="AB25" i="5"/>
  <c r="AC25" i="5"/>
  <c r="W26" i="5"/>
  <c r="X26" i="5"/>
  <c r="Y26" i="5"/>
  <c r="Z26" i="5"/>
  <c r="AA26" i="5"/>
  <c r="AB26" i="5"/>
  <c r="AC26" i="5"/>
  <c r="W27" i="5"/>
  <c r="X27" i="5"/>
  <c r="Y27" i="5"/>
  <c r="Z27" i="5"/>
  <c r="AA27" i="5"/>
  <c r="AB27" i="5"/>
  <c r="AC27" i="5"/>
  <c r="W28" i="5"/>
  <c r="X28" i="5"/>
  <c r="Y28" i="5"/>
  <c r="Z28" i="5"/>
  <c r="AA28" i="5"/>
  <c r="AB28" i="5"/>
  <c r="AC28" i="5"/>
  <c r="W29" i="5"/>
  <c r="X29" i="5"/>
  <c r="Y29" i="5"/>
  <c r="Z29" i="5"/>
  <c r="AA29" i="5"/>
  <c r="AB29" i="5"/>
  <c r="AC29" i="5"/>
  <c r="W30" i="5"/>
  <c r="X30" i="5"/>
  <c r="Y30" i="5"/>
  <c r="Z30" i="5"/>
  <c r="AA30" i="5"/>
  <c r="AB30" i="5"/>
  <c r="AC30" i="5"/>
  <c r="W31" i="5"/>
  <c r="X31" i="5"/>
  <c r="Y31" i="5"/>
  <c r="Z31" i="5"/>
  <c r="AA31" i="5"/>
  <c r="AB31" i="5"/>
  <c r="AC31" i="5"/>
  <c r="W16" i="5" l="1"/>
  <c r="X16" i="5"/>
  <c r="Y16" i="5"/>
  <c r="Z16" i="5"/>
  <c r="AA16" i="5"/>
  <c r="AB16" i="5"/>
  <c r="AC16" i="5"/>
  <c r="W19" i="5"/>
  <c r="Z19" i="5"/>
  <c r="AA19" i="5"/>
  <c r="AB19" i="5"/>
  <c r="AC19" i="5"/>
  <c r="J6" i="12"/>
  <c r="M6" i="12" s="1"/>
  <c r="J4" i="12"/>
  <c r="M4" i="12" s="1"/>
  <c r="J16" i="12"/>
  <c r="M16" i="12" s="1"/>
  <c r="M15" i="12"/>
  <c r="M5" i="12"/>
  <c r="M7" i="12"/>
  <c r="J18" i="12"/>
  <c r="M18" i="12" s="1"/>
  <c r="J15" i="12"/>
  <c r="J17" i="12"/>
  <c r="M17" i="12" s="1"/>
  <c r="J14" i="12"/>
  <c r="M14" i="12" s="1"/>
  <c r="J11" i="12"/>
  <c r="M11" i="12" s="1"/>
  <c r="J10" i="12"/>
  <c r="M10" i="12" s="1"/>
  <c r="J13" i="12"/>
  <c r="M13" i="12" s="1"/>
  <c r="J12" i="12"/>
  <c r="M12" i="12" s="1"/>
  <c r="J9" i="12"/>
  <c r="M9" i="12" s="1"/>
  <c r="J8" i="12"/>
  <c r="M8" i="12" s="1"/>
  <c r="N9" i="12"/>
  <c r="I18" i="12"/>
  <c r="N18" i="12" s="1"/>
  <c r="K6" i="12"/>
  <c r="I15" i="12"/>
  <c r="I17" i="12"/>
  <c r="N17" i="12" s="1"/>
  <c r="I4" i="12"/>
  <c r="I14" i="12"/>
  <c r="I11" i="12"/>
  <c r="I16" i="12"/>
  <c r="N16" i="12" s="1"/>
  <c r="I10" i="12"/>
  <c r="I13" i="12"/>
  <c r="I12" i="12"/>
  <c r="I8" i="12"/>
  <c r="G7" i="12"/>
  <c r="N7" i="12" s="1"/>
  <c r="G6" i="12"/>
  <c r="N6" i="12" s="1"/>
  <c r="G5" i="12"/>
  <c r="N5" i="12" s="1"/>
  <c r="G15" i="12"/>
  <c r="G4" i="12"/>
  <c r="G14" i="12"/>
  <c r="G11" i="12"/>
  <c r="G10" i="12"/>
  <c r="G13" i="12"/>
  <c r="G12" i="12"/>
  <c r="G8" i="12"/>
  <c r="N11" i="12" l="1"/>
  <c r="N15" i="12"/>
  <c r="N12" i="12"/>
  <c r="N14" i="12"/>
  <c r="N4" i="12"/>
  <c r="N8" i="12"/>
  <c r="N13" i="12"/>
  <c r="N10" i="12"/>
  <c r="Y19" i="5"/>
  <c r="AU19" i="5" s="1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AT20" i="5"/>
  <c r="AU20" i="5"/>
  <c r="AW20" i="5"/>
  <c r="AX20" i="5"/>
  <c r="AY20" i="5"/>
  <c r="BA20" i="5"/>
  <c r="BB20" i="5"/>
  <c r="BC20" i="5"/>
  <c r="BE20" i="5"/>
  <c r="BF20" i="5"/>
  <c r="BG20" i="5"/>
  <c r="BI20" i="5"/>
  <c r="BJ20" i="5"/>
  <c r="BK20" i="5"/>
  <c r="AT23" i="5"/>
  <c r="AU23" i="5"/>
  <c r="AV23" i="5"/>
  <c r="AW23" i="5"/>
  <c r="AX23" i="5"/>
  <c r="AY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AT26" i="5"/>
  <c r="AU26" i="5"/>
  <c r="AV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I27" i="5"/>
  <c r="BJ27" i="5"/>
  <c r="BK27" i="5"/>
  <c r="BL27" i="5"/>
  <c r="BM27" i="5"/>
  <c r="AT30" i="5"/>
  <c r="AU30" i="5"/>
  <c r="AV30" i="5"/>
  <c r="AW30" i="5"/>
  <c r="AX30" i="5"/>
  <c r="AY30" i="5"/>
  <c r="AZ30" i="5"/>
  <c r="BB30" i="5"/>
  <c r="BC30" i="5"/>
  <c r="BD30" i="5"/>
  <c r="BE30" i="5"/>
  <c r="BG30" i="5"/>
  <c r="BH30" i="5"/>
  <c r="BI30" i="5"/>
  <c r="BJ30" i="5"/>
  <c r="BK30" i="5"/>
  <c r="BL30" i="5"/>
  <c r="BM30" i="5"/>
  <c r="AT31" i="5"/>
  <c r="AU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AS19" i="5"/>
  <c r="AV19" i="5"/>
  <c r="AW19" i="5"/>
  <c r="AX19" i="5"/>
  <c r="AS20" i="5"/>
  <c r="AV20" i="5"/>
  <c r="AZ20" i="5"/>
  <c r="BD20" i="5"/>
  <c r="BH20" i="5"/>
  <c r="BL20" i="5"/>
  <c r="BM20" i="5"/>
  <c r="AS22" i="5"/>
  <c r="AS23" i="5"/>
  <c r="AZ23" i="5"/>
  <c r="BM23" i="5"/>
  <c r="AS24" i="5"/>
  <c r="AS26" i="5"/>
  <c r="AW26" i="5"/>
  <c r="BM26" i="5"/>
  <c r="AS27" i="5"/>
  <c r="BH27" i="5"/>
  <c r="AS28" i="5"/>
  <c r="AS30" i="5"/>
  <c r="BA30" i="5"/>
  <c r="BF30" i="5"/>
  <c r="AS31" i="5"/>
  <c r="AV31" i="5"/>
  <c r="BL31" i="5"/>
  <c r="BM31" i="5"/>
  <c r="S19" i="5"/>
  <c r="N19" i="5"/>
  <c r="O19" i="5" s="1"/>
  <c r="X19" i="5" l="1"/>
  <c r="AT19" i="5" s="1"/>
  <c r="AS25" i="5"/>
  <c r="AS21" i="5"/>
  <c r="AS29" i="5"/>
  <c r="R19" i="5"/>
  <c r="T18" i="5" l="1"/>
  <c r="U17" i="5"/>
  <c r="T15" i="5"/>
  <c r="T14" i="5"/>
  <c r="T13" i="5"/>
  <c r="T12" i="5"/>
  <c r="T11" i="5"/>
  <c r="T10" i="5"/>
  <c r="T9" i="5"/>
  <c r="T8" i="5"/>
  <c r="T7" i="5"/>
  <c r="T5" i="5"/>
  <c r="AA5" i="5" l="1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A18" i="5"/>
  <c r="AB18" i="5"/>
  <c r="AC18" i="5"/>
  <c r="AQ36" i="5" l="1"/>
  <c r="AS42" i="5"/>
  <c r="BN50" i="5" a="1"/>
  <c r="BN50" i="5" s="1"/>
  <c r="BN49" i="5" a="1"/>
  <c r="BN49" i="5" s="1"/>
  <c r="BN48" i="5"/>
  <c r="BN46" i="5" a="1"/>
  <c r="BN46" i="5" s="1"/>
  <c r="BN45" i="5" a="1"/>
  <c r="BN45" i="5" s="1"/>
  <c r="BN44" i="5"/>
  <c r="AT42" i="5"/>
  <c r="BN41" i="5" a="1"/>
  <c r="BN41" i="5" s="1"/>
  <c r="BN40" i="5"/>
  <c r="BN37" i="5" a="1"/>
  <c r="BN37" i="5" s="1"/>
  <c r="BN36" i="5"/>
  <c r="BN34" i="5"/>
  <c r="BN33" i="5"/>
  <c r="Z18" i="5"/>
  <c r="Z17" i="5"/>
  <c r="Z15" i="5"/>
  <c r="Z14" i="5"/>
  <c r="Z13" i="5"/>
  <c r="Z11" i="5"/>
  <c r="Z10" i="5"/>
  <c r="Z9" i="5"/>
  <c r="Z8" i="5"/>
  <c r="Z7" i="5"/>
  <c r="Z5" i="5"/>
  <c r="AQ48" i="5" l="1"/>
  <c r="AQ44" i="5"/>
  <c r="AQ40" i="5"/>
  <c r="Y18" i="5"/>
  <c r="Y17" i="5"/>
  <c r="Y15" i="5"/>
  <c r="Y14" i="5"/>
  <c r="Y13" i="5"/>
  <c r="Y12" i="5"/>
  <c r="Y11" i="5"/>
  <c r="Y10" i="5"/>
  <c r="Y9" i="5"/>
  <c r="Y8" i="5"/>
  <c r="Y7" i="5"/>
  <c r="Y6" i="5"/>
  <c r="Y5" i="5"/>
  <c r="X18" i="5"/>
  <c r="X17" i="5"/>
  <c r="X15" i="5"/>
  <c r="X14" i="5"/>
  <c r="X13" i="5"/>
  <c r="X12" i="5"/>
  <c r="X11" i="5"/>
  <c r="X10" i="5"/>
  <c r="X9" i="5"/>
  <c r="X8" i="5"/>
  <c r="X7" i="5"/>
  <c r="X6" i="5"/>
  <c r="X5" i="5" l="1"/>
  <c r="W6" i="5" l="1"/>
  <c r="W7" i="5"/>
  <c r="W8" i="5"/>
  <c r="W9" i="5"/>
  <c r="W10" i="5"/>
  <c r="W11" i="5"/>
  <c r="W12" i="5"/>
  <c r="W13" i="5"/>
  <c r="W14" i="5"/>
  <c r="W15" i="5"/>
  <c r="W17" i="5"/>
  <c r="W18" i="5"/>
  <c r="W5" i="5"/>
  <c r="W37" i="5" s="1" a="1"/>
  <c r="W37" i="5" s="1"/>
  <c r="R6" i="5"/>
  <c r="R10" i="5"/>
  <c r="R36" i="5" s="1"/>
  <c r="R14" i="5"/>
  <c r="R15" i="5"/>
  <c r="R18" i="5"/>
  <c r="P8" i="5"/>
  <c r="P7" i="5"/>
  <c r="N17" i="5"/>
  <c r="R17" i="5" s="1"/>
  <c r="N16" i="5"/>
  <c r="R16" i="5" s="1"/>
  <c r="N15" i="5"/>
  <c r="N13" i="5"/>
  <c r="N12" i="5"/>
  <c r="R12" i="5" s="1"/>
  <c r="N11" i="5"/>
  <c r="R11" i="5" s="1"/>
  <c r="N9" i="5"/>
  <c r="R9" i="5" s="1"/>
  <c r="N8" i="5"/>
  <c r="R8" i="5" s="1"/>
  <c r="N7" i="5"/>
  <c r="N40" i="5" s="1"/>
  <c r="N5" i="5"/>
  <c r="R13" i="5" l="1"/>
  <c r="R48" i="5" s="1"/>
  <c r="N48" i="5" a="1"/>
  <c r="N48" i="5" s="1"/>
  <c r="R7" i="5"/>
  <c r="R40" i="5" s="1"/>
  <c r="R5" i="5"/>
  <c r="N49" i="5" a="1"/>
  <c r="N49" i="5" s="1"/>
  <c r="N45" i="5" a="1"/>
  <c r="N45" i="5" s="1"/>
  <c r="N37" i="5" a="1"/>
  <c r="N37" i="5" s="1"/>
  <c r="N41" i="5" a="1"/>
  <c r="N41" i="5" s="1"/>
  <c r="N44" i="5"/>
  <c r="AT17" i="5"/>
  <c r="AS17" i="5"/>
  <c r="AX17" i="5"/>
  <c r="BD17" i="5"/>
  <c r="BK17" i="5"/>
  <c r="AU17" i="5"/>
  <c r="BB17" i="5"/>
  <c r="BA17" i="5"/>
  <c r="BH17" i="5"/>
  <c r="BF17" i="5"/>
  <c r="AZ17" i="5"/>
  <c r="BG17" i="5"/>
  <c r="BM17" i="5"/>
  <c r="AW17" i="5"/>
  <c r="AV17" i="5"/>
  <c r="BC17" i="5"/>
  <c r="BI17" i="5"/>
  <c r="BL17" i="5"/>
  <c r="AY17" i="5"/>
  <c r="BJ17" i="5"/>
  <c r="BE17" i="5"/>
  <c r="AT13" i="5"/>
  <c r="AS13" i="5"/>
  <c r="BF13" i="5"/>
  <c r="AX13" i="5"/>
  <c r="BL13" i="5"/>
  <c r="BC13" i="5"/>
  <c r="BI13" i="5"/>
  <c r="BD13" i="5"/>
  <c r="AY13" i="5"/>
  <c r="BJ13" i="5"/>
  <c r="BE13" i="5"/>
  <c r="BH13" i="5"/>
  <c r="AV13" i="5"/>
  <c r="BK13" i="5"/>
  <c r="AU13" i="5"/>
  <c r="BB13" i="5"/>
  <c r="BA13" i="5"/>
  <c r="AZ13" i="5"/>
  <c r="BG13" i="5"/>
  <c r="BM13" i="5"/>
  <c r="AW13" i="5"/>
  <c r="AT9" i="5"/>
  <c r="AS9" i="5"/>
  <c r="BF9" i="5"/>
  <c r="AX9" i="5"/>
  <c r="BK9" i="5"/>
  <c r="AU9" i="5"/>
  <c r="BD9" i="5"/>
  <c r="BA9" i="5"/>
  <c r="BG9" i="5"/>
  <c r="BM9" i="5"/>
  <c r="AW9" i="5"/>
  <c r="BH9" i="5"/>
  <c r="AV9" i="5"/>
  <c r="BC9" i="5"/>
  <c r="BJ9" i="5"/>
  <c r="BI9" i="5"/>
  <c r="AZ9" i="5"/>
  <c r="AY9" i="5"/>
  <c r="BL9" i="5"/>
  <c r="BB9" i="5"/>
  <c r="BE9" i="5"/>
  <c r="AS5" i="5"/>
  <c r="AT5" i="5"/>
  <c r="BC5" i="5"/>
  <c r="BD5" i="5"/>
  <c r="BF5" i="5"/>
  <c r="BI5" i="5"/>
  <c r="BL5" i="5"/>
  <c r="AY5" i="5"/>
  <c r="AV5" i="5"/>
  <c r="BB5" i="5"/>
  <c r="BE5" i="5"/>
  <c r="AZ5" i="5"/>
  <c r="BK5" i="5"/>
  <c r="AU5" i="5"/>
  <c r="AX5" i="5"/>
  <c r="BA5" i="5"/>
  <c r="BG5" i="5"/>
  <c r="BH5" i="5"/>
  <c r="BJ5" i="5"/>
  <c r="BM5" i="5"/>
  <c r="AW5" i="5"/>
  <c r="AS16" i="5"/>
  <c r="AX16" i="5"/>
  <c r="BF16" i="5"/>
  <c r="AZ16" i="5"/>
  <c r="BH16" i="5"/>
  <c r="BD16" i="5"/>
  <c r="BJ16" i="5"/>
  <c r="AV16" i="5"/>
  <c r="BL16" i="5"/>
  <c r="BB16" i="5"/>
  <c r="AY16" i="5"/>
  <c r="AU16" i="5"/>
  <c r="BA16" i="5"/>
  <c r="AT16" i="5"/>
  <c r="BM16" i="5"/>
  <c r="AW16" i="5"/>
  <c r="BK16" i="5"/>
  <c r="BI16" i="5"/>
  <c r="BG16" i="5"/>
  <c r="BC16" i="5"/>
  <c r="BE16" i="5"/>
  <c r="AS12" i="5"/>
  <c r="AX12" i="5"/>
  <c r="BF12" i="5"/>
  <c r="AZ12" i="5"/>
  <c r="BH12" i="5"/>
  <c r="BD12" i="5"/>
  <c r="BJ12" i="5"/>
  <c r="AV12" i="5"/>
  <c r="BL12" i="5"/>
  <c r="BB12" i="5"/>
  <c r="AY12" i="5"/>
  <c r="BG12" i="5"/>
  <c r="BC12" i="5"/>
  <c r="BM12" i="5"/>
  <c r="AT12" i="5"/>
  <c r="AU12" i="5"/>
  <c r="BE12" i="5"/>
  <c r="BI12" i="5"/>
  <c r="BK12" i="5"/>
  <c r="AW12" i="5"/>
  <c r="BA12" i="5"/>
  <c r="AS8" i="5"/>
  <c r="AX8" i="5"/>
  <c r="BF8" i="5"/>
  <c r="AZ8" i="5"/>
  <c r="BH8" i="5"/>
  <c r="BD8" i="5"/>
  <c r="BJ8" i="5"/>
  <c r="AV8" i="5"/>
  <c r="BL8" i="5"/>
  <c r="BB8" i="5"/>
  <c r="AY8" i="5"/>
  <c r="BE8" i="5"/>
  <c r="BK8" i="5"/>
  <c r="BA8" i="5"/>
  <c r="BC8" i="5"/>
  <c r="AW8" i="5"/>
  <c r="BM8" i="5"/>
  <c r="AT8" i="5"/>
  <c r="BG8" i="5"/>
  <c r="AU8" i="5"/>
  <c r="BI8" i="5"/>
  <c r="AT15" i="5"/>
  <c r="AS15" i="5"/>
  <c r="AZ15" i="5"/>
  <c r="BA15" i="5"/>
  <c r="AV15" i="5"/>
  <c r="BC15" i="5"/>
  <c r="BJ15" i="5"/>
  <c r="AX15" i="5"/>
  <c r="BM15" i="5"/>
  <c r="AW15" i="5"/>
  <c r="AY15" i="5"/>
  <c r="BF15" i="5"/>
  <c r="BB15" i="5"/>
  <c r="BH15" i="5"/>
  <c r="BI15" i="5"/>
  <c r="BL15" i="5"/>
  <c r="BK15" i="5"/>
  <c r="AU15" i="5"/>
  <c r="BE15" i="5"/>
  <c r="BD15" i="5"/>
  <c r="BG15" i="5"/>
  <c r="AT11" i="5"/>
  <c r="BH11" i="5"/>
  <c r="AZ11" i="5"/>
  <c r="AS11" i="5"/>
  <c r="BB11" i="5"/>
  <c r="BI11" i="5"/>
  <c r="BD11" i="5"/>
  <c r="BK11" i="5"/>
  <c r="AU11" i="5"/>
  <c r="AX11" i="5"/>
  <c r="BE11" i="5"/>
  <c r="AV11" i="5"/>
  <c r="BG11" i="5"/>
  <c r="BA11" i="5"/>
  <c r="BC11" i="5"/>
  <c r="BF11" i="5"/>
  <c r="BJ11" i="5"/>
  <c r="BM11" i="5"/>
  <c r="AW11" i="5"/>
  <c r="BL11" i="5"/>
  <c r="AY11" i="5"/>
  <c r="AT7" i="5"/>
  <c r="AS7" i="5"/>
  <c r="BH7" i="5"/>
  <c r="AZ7" i="5"/>
  <c r="BF7" i="5"/>
  <c r="AX7" i="5"/>
  <c r="BA7" i="5"/>
  <c r="BL7" i="5"/>
  <c r="BC7" i="5"/>
  <c r="BJ7" i="5"/>
  <c r="BM7" i="5"/>
  <c r="AW7" i="5"/>
  <c r="BD7" i="5"/>
  <c r="AY7" i="5"/>
  <c r="BB7" i="5"/>
  <c r="BI7" i="5"/>
  <c r="AV7" i="5"/>
  <c r="BK7" i="5"/>
  <c r="AU7" i="5"/>
  <c r="BE7" i="5"/>
  <c r="BG7" i="5"/>
  <c r="AS18" i="5"/>
  <c r="AX18" i="5"/>
  <c r="BF18" i="5"/>
  <c r="AZ18" i="5"/>
  <c r="BH18" i="5"/>
  <c r="AV18" i="5"/>
  <c r="BL18" i="5"/>
  <c r="BB18" i="5"/>
  <c r="BD18" i="5"/>
  <c r="BJ18" i="5"/>
  <c r="AT18" i="5"/>
  <c r="AW18" i="5"/>
  <c r="BC18" i="5"/>
  <c r="BI18" i="5"/>
  <c r="AY18" i="5"/>
  <c r="BM18" i="5"/>
  <c r="BA18" i="5"/>
  <c r="BK18" i="5"/>
  <c r="AU18" i="5"/>
  <c r="BE18" i="5"/>
  <c r="BG18" i="5"/>
  <c r="AS14" i="5"/>
  <c r="AX14" i="5"/>
  <c r="BF14" i="5"/>
  <c r="AZ14" i="5"/>
  <c r="BH14" i="5"/>
  <c r="AV14" i="5"/>
  <c r="BL14" i="5"/>
  <c r="BB14" i="5"/>
  <c r="BD14" i="5"/>
  <c r="BJ14" i="5"/>
  <c r="BE14" i="5"/>
  <c r="AU14" i="5"/>
  <c r="BC14" i="5"/>
  <c r="AT14" i="5"/>
  <c r="AW14" i="5"/>
  <c r="AY14" i="5"/>
  <c r="BI14" i="5"/>
  <c r="BM14" i="5"/>
  <c r="BA14" i="5"/>
  <c r="BG14" i="5"/>
  <c r="BK14" i="5"/>
  <c r="AS10" i="5"/>
  <c r="AX10" i="5"/>
  <c r="BF10" i="5"/>
  <c r="AZ10" i="5"/>
  <c r="BH10" i="5"/>
  <c r="AV10" i="5"/>
  <c r="BL10" i="5"/>
  <c r="BB10" i="5"/>
  <c r="BD10" i="5"/>
  <c r="BJ10" i="5"/>
  <c r="AT10" i="5"/>
  <c r="BE10" i="5"/>
  <c r="BK10" i="5"/>
  <c r="BG10" i="5"/>
  <c r="BA10" i="5"/>
  <c r="AW10" i="5"/>
  <c r="BC10" i="5"/>
  <c r="AU10" i="5"/>
  <c r="BM10" i="5"/>
  <c r="AY10" i="5"/>
  <c r="BI10" i="5"/>
  <c r="AX6" i="5"/>
  <c r="AS6" i="5"/>
  <c r="AV6" i="5"/>
  <c r="BF6" i="5"/>
  <c r="AZ6" i="5"/>
  <c r="BH6" i="5"/>
  <c r="BL6" i="5"/>
  <c r="BB6" i="5"/>
  <c r="BD6" i="5"/>
  <c r="BJ6" i="5"/>
  <c r="BE6" i="5"/>
  <c r="BI6" i="5"/>
  <c r="BC6" i="5"/>
  <c r="BA6" i="5"/>
  <c r="AY6" i="5"/>
  <c r="AW6" i="5"/>
  <c r="AT6" i="5"/>
  <c r="AU6" i="5"/>
  <c r="BM6" i="5"/>
  <c r="BG6" i="5"/>
  <c r="BK6" i="5"/>
  <c r="W40" i="5"/>
  <c r="W36" i="5"/>
  <c r="W48" i="5"/>
  <c r="W41" i="5" a="1"/>
  <c r="W41" i="5" s="1"/>
  <c r="W33" i="5" a="1"/>
  <c r="W33" i="5" s="1"/>
  <c r="W44" i="5"/>
  <c r="W34" i="5"/>
  <c r="W45" i="5" a="1"/>
  <c r="W45" i="5" s="1"/>
  <c r="O5" i="5"/>
  <c r="S5" i="5"/>
  <c r="O6" i="5"/>
  <c r="S6" i="5"/>
  <c r="O7" i="5"/>
  <c r="S7" i="5"/>
  <c r="O8" i="5"/>
  <c r="S8" i="5"/>
  <c r="O9" i="5"/>
  <c r="S9" i="5"/>
  <c r="O10" i="5"/>
  <c r="S10" i="5"/>
  <c r="O11" i="5"/>
  <c r="S11" i="5"/>
  <c r="O12" i="5"/>
  <c r="S12" i="5"/>
  <c r="O13" i="5"/>
  <c r="S13" i="5"/>
  <c r="O14" i="5"/>
  <c r="S14" i="5"/>
  <c r="O15" i="5"/>
  <c r="S15" i="5"/>
  <c r="O16" i="5"/>
  <c r="S16" i="5"/>
  <c r="O17" i="5"/>
  <c r="S17" i="5"/>
  <c r="O18" i="5"/>
  <c r="S18" i="5"/>
  <c r="R37" i="5" l="1" a="1"/>
  <c r="R37" i="5" s="1"/>
  <c r="R41" i="5" a="1"/>
  <c r="R41" i="5" s="1"/>
  <c r="R44" i="5"/>
  <c r="R49" i="5" a="1"/>
  <c r="R49" i="5" s="1"/>
  <c r="R45" i="5" a="1"/>
  <c r="R45" i="5" s="1"/>
  <c r="W49" i="5" a="1"/>
  <c r="W49" i="5" s="1"/>
  <c r="AM48" i="5"/>
  <c r="AI48" i="5"/>
  <c r="AE48" i="5"/>
  <c r="AA48" i="5"/>
  <c r="AP36" i="5"/>
  <c r="AL36" i="5"/>
  <c r="AH36" i="5"/>
  <c r="AD36" i="5"/>
  <c r="AO40" i="5"/>
  <c r="AK40" i="5"/>
  <c r="AG40" i="5"/>
  <c r="AC40" i="5"/>
  <c r="AM44" i="5"/>
  <c r="AI44" i="5"/>
  <c r="AE44" i="5"/>
  <c r="AA44" i="5"/>
  <c r="AP48" i="5"/>
  <c r="AL48" i="5"/>
  <c r="AH48" i="5"/>
  <c r="AD48" i="5"/>
  <c r="AO36" i="5"/>
  <c r="AK36" i="5"/>
  <c r="AG36" i="5"/>
  <c r="AC36" i="5"/>
  <c r="AN40" i="5"/>
  <c r="AJ40" i="5"/>
  <c r="AF40" i="5"/>
  <c r="AB40" i="5"/>
  <c r="AP44" i="5"/>
  <c r="AL44" i="5"/>
  <c r="AH44" i="5"/>
  <c r="AD44" i="5"/>
  <c r="AO48" i="5"/>
  <c r="AK48" i="5"/>
  <c r="AG48" i="5"/>
  <c r="AC48" i="5"/>
  <c r="Y48" i="5"/>
  <c r="AN36" i="5"/>
  <c r="AJ36" i="5"/>
  <c r="AF36" i="5"/>
  <c r="AB36" i="5"/>
  <c r="AM40" i="5"/>
  <c r="AI40" i="5"/>
  <c r="AE40" i="5"/>
  <c r="AA40" i="5"/>
  <c r="AO44" i="5"/>
  <c r="AK44" i="5"/>
  <c r="AG44" i="5"/>
  <c r="AC44" i="5"/>
  <c r="AN48" i="5"/>
  <c r="AJ48" i="5"/>
  <c r="AF48" i="5"/>
  <c r="AB48" i="5"/>
  <c r="X48" i="5"/>
  <c r="AM36" i="5"/>
  <c r="AI36" i="5"/>
  <c r="AE36" i="5"/>
  <c r="AA36" i="5"/>
  <c r="AP40" i="5"/>
  <c r="AL40" i="5"/>
  <c r="AH40" i="5"/>
  <c r="AD40" i="5"/>
  <c r="AN44" i="5"/>
  <c r="AJ44" i="5"/>
  <c r="AF44" i="5"/>
  <c r="AB44" i="5"/>
  <c r="Z40" i="5"/>
  <c r="X44" i="5"/>
  <c r="Z48" i="5"/>
  <c r="Y36" i="5"/>
  <c r="X40" i="5"/>
  <c r="Y44" i="5"/>
  <c r="X36" i="5"/>
  <c r="Z36" i="5"/>
  <c r="Y40" i="5"/>
  <c r="Z44" i="5"/>
  <c r="BL3" i="5"/>
  <c r="BK3" i="5"/>
  <c r="BL48" i="5" l="1"/>
  <c r="BL44" i="5"/>
  <c r="BL40" i="5"/>
  <c r="BL36" i="5"/>
  <c r="BM22" i="5"/>
  <c r="BM21" i="5" l="1"/>
  <c r="AQ33" i="5"/>
  <c r="AQ34" i="5"/>
  <c r="AO4" i="5"/>
  <c r="BK4" i="5" s="1"/>
  <c r="BK36" i="5" l="1"/>
  <c r="BK40" i="5"/>
  <c r="BK48" i="5"/>
  <c r="BK44" i="5"/>
  <c r="BL22" i="5"/>
  <c r="BK22" i="5"/>
  <c r="AP4" i="5"/>
  <c r="BL4" i="5" s="1"/>
  <c r="BK21" i="5" l="1"/>
  <c r="AO34" i="5"/>
  <c r="AO33" i="5"/>
  <c r="BL21" i="5"/>
  <c r="AP33" i="5"/>
  <c r="AP34" i="5"/>
  <c r="AT22" i="5" l="1"/>
  <c r="AT21" i="5" l="1"/>
  <c r="AU21" i="5"/>
  <c r="BD3" i="5" l="1"/>
  <c r="AT3" i="5"/>
  <c r="AU3" i="5"/>
  <c r="AV3" i="5"/>
  <c r="AW3" i="5"/>
  <c r="AX3" i="5"/>
  <c r="AY3" i="5"/>
  <c r="AZ3" i="5"/>
  <c r="BA3" i="5"/>
  <c r="BB3" i="5"/>
  <c r="BC3" i="5"/>
  <c r="BE3" i="5"/>
  <c r="BF3" i="5"/>
  <c r="BG3" i="5"/>
  <c r="BH3" i="5"/>
  <c r="BI3" i="5"/>
  <c r="BJ3" i="5"/>
  <c r="BM3" i="5"/>
  <c r="X4" i="5"/>
  <c r="AT4" i="5" s="1"/>
  <c r="Y4" i="5"/>
  <c r="AU4" i="5" s="1"/>
  <c r="Z4" i="5"/>
  <c r="AV4" i="5" s="1"/>
  <c r="AA4" i="5"/>
  <c r="AW4" i="5" s="1"/>
  <c r="AB4" i="5"/>
  <c r="AX4" i="5" s="1"/>
  <c r="AC4" i="5"/>
  <c r="AY4" i="5" s="1"/>
  <c r="AD4" i="5"/>
  <c r="AZ4" i="5" s="1"/>
  <c r="AE4" i="5"/>
  <c r="BA4" i="5" s="1"/>
  <c r="AF4" i="5"/>
  <c r="BB4" i="5" s="1"/>
  <c r="AG4" i="5"/>
  <c r="BC4" i="5" s="1"/>
  <c r="AH4" i="5"/>
  <c r="BD4" i="5" s="1"/>
  <c r="AI4" i="5"/>
  <c r="BE4" i="5" s="1"/>
  <c r="AJ4" i="5"/>
  <c r="BF4" i="5" s="1"/>
  <c r="AK4" i="5"/>
  <c r="BG4" i="5" s="1"/>
  <c r="AL4" i="5"/>
  <c r="BH4" i="5" s="1"/>
  <c r="AM4" i="5"/>
  <c r="BI4" i="5" s="1"/>
  <c r="AN4" i="5"/>
  <c r="BJ4" i="5" s="1"/>
  <c r="AQ4" i="5"/>
  <c r="BM4" i="5" s="1"/>
  <c r="AS4" i="5"/>
  <c r="AS3" i="5"/>
  <c r="AX40" i="5"/>
  <c r="AZ40" i="5"/>
  <c r="BB40" i="5"/>
  <c r="AV21" i="5"/>
  <c r="AW21" i="5"/>
  <c r="AX21" i="5"/>
  <c r="AY21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E21" i="5" l="1"/>
  <c r="AI34" i="5"/>
  <c r="AI33" i="5"/>
  <c r="BA21" i="5"/>
  <c r="AE33" i="5"/>
  <c r="AE34" i="5"/>
  <c r="BD21" i="5"/>
  <c r="AH34" i="5"/>
  <c r="AH33" i="5"/>
  <c r="AZ21" i="5"/>
  <c r="AD34" i="5"/>
  <c r="AD33" i="5"/>
  <c r="BJ21" i="5"/>
  <c r="AN34" i="5"/>
  <c r="AN33" i="5"/>
  <c r="BF21" i="5"/>
  <c r="AJ33" i="5"/>
  <c r="AJ34" i="5"/>
  <c r="BB21" i="5"/>
  <c r="AF33" i="5"/>
  <c r="AF34" i="5"/>
  <c r="BI21" i="5"/>
  <c r="AM34" i="5"/>
  <c r="AM33" i="5"/>
  <c r="BH21" i="5"/>
  <c r="AL34" i="5"/>
  <c r="AL33" i="5"/>
  <c r="BG21" i="5"/>
  <c r="AK34" i="5"/>
  <c r="AK33" i="5"/>
  <c r="BC21" i="5"/>
  <c r="AG33" i="5"/>
  <c r="AG34" i="5"/>
  <c r="AS36" i="5"/>
  <c r="AS48" i="5"/>
  <c r="BA48" i="5"/>
  <c r="AW48" i="5"/>
  <c r="BC36" i="5"/>
  <c r="AY36" i="5"/>
  <c r="BD36" i="5"/>
  <c r="BD44" i="5"/>
  <c r="AZ44" i="5"/>
  <c r="BH48" i="5"/>
  <c r="BI36" i="5"/>
  <c r="BE36" i="5"/>
  <c r="BJ40" i="5"/>
  <c r="BF40" i="5"/>
  <c r="BH44" i="5"/>
  <c r="AZ48" i="5"/>
  <c r="BB36" i="5"/>
  <c r="AX36" i="5"/>
  <c r="BD48" i="5"/>
  <c r="BA40" i="5"/>
  <c r="AW40" i="5"/>
  <c r="BC44" i="5"/>
  <c r="AY44" i="5"/>
  <c r="BM48" i="5"/>
  <c r="BG48" i="5"/>
  <c r="BH36" i="5"/>
  <c r="BI40" i="5"/>
  <c r="BE40" i="5"/>
  <c r="BG44" i="5"/>
  <c r="BC48" i="5"/>
  <c r="AY48" i="5"/>
  <c r="AU48" i="5"/>
  <c r="BA36" i="5"/>
  <c r="AW36" i="5"/>
  <c r="BD40" i="5"/>
  <c r="BB44" i="5"/>
  <c r="AX44" i="5"/>
  <c r="BJ48" i="5"/>
  <c r="BF48" i="5"/>
  <c r="BM36" i="5"/>
  <c r="BG36" i="5"/>
  <c r="BH40" i="5"/>
  <c r="BJ44" i="5"/>
  <c r="BF44" i="5"/>
  <c r="BB48" i="5"/>
  <c r="AX48" i="5"/>
  <c r="AZ36" i="5"/>
  <c r="BC40" i="5"/>
  <c r="AY40" i="5"/>
  <c r="BA44" i="5"/>
  <c r="AW44" i="5"/>
  <c r="BI48" i="5"/>
  <c r="BE48" i="5"/>
  <c r="BJ36" i="5"/>
  <c r="BF36" i="5"/>
  <c r="BG40" i="5"/>
  <c r="BI44" i="5"/>
  <c r="BE44" i="5"/>
  <c r="BM44" i="5"/>
  <c r="BM40" i="5"/>
  <c r="AT36" i="5"/>
  <c r="AV44" i="5"/>
  <c r="AU44" i="5"/>
  <c r="AU36" i="5"/>
  <c r="AT40" i="5"/>
  <c r="AV48" i="5"/>
  <c r="AT48" i="5"/>
  <c r="AV36" i="5"/>
  <c r="AV40" i="5"/>
  <c r="AU40" i="5"/>
  <c r="AT44" i="5"/>
  <c r="BM25" i="5"/>
  <c r="BM28" i="5"/>
  <c r="BM29" i="5"/>
  <c r="BL28" i="5"/>
  <c r="BL25" i="5"/>
  <c r="BL29" i="5"/>
  <c r="BK28" i="5"/>
  <c r="BK25" i="5"/>
  <c r="BK29" i="5"/>
  <c r="AS40" i="5"/>
  <c r="AW25" i="5"/>
  <c r="BA28" i="5"/>
  <c r="AV29" i="5"/>
  <c r="AU28" i="5"/>
  <c r="BH29" i="5"/>
  <c r="BB25" i="5"/>
  <c r="BG28" i="5"/>
  <c r="BB28" i="5"/>
  <c r="BE29" i="5"/>
  <c r="BG25" i="5"/>
  <c r="BA25" i="5"/>
  <c r="BH25" i="5"/>
  <c r="BF28" i="5"/>
  <c r="BI28" i="5"/>
  <c r="BB29" i="5"/>
  <c r="BH28" i="5"/>
  <c r="AX29" i="5"/>
  <c r="AY25" i="5"/>
  <c r="BE25" i="5"/>
  <c r="AU29" i="5"/>
  <c r="AT28" i="5"/>
  <c r="BG29" i="5"/>
  <c r="BC25" i="5"/>
  <c r="AZ29" i="5"/>
  <c r="AY29" i="5"/>
  <c r="BD25" i="5"/>
  <c r="BD29" i="5"/>
  <c r="BJ28" i="5"/>
  <c r="AW29" i="5"/>
  <c r="AV25" i="5"/>
  <c r="AT29" i="5"/>
  <c r="AX25" i="5"/>
  <c r="BD28" i="5"/>
  <c r="BA29" i="5"/>
  <c r="BJ25" i="5"/>
  <c r="BF29" i="5"/>
  <c r="AZ28" i="5"/>
  <c r="AZ25" i="5"/>
  <c r="BC29" i="5"/>
  <c r="AW28" i="5"/>
  <c r="BI25" i="5"/>
  <c r="BI29" i="5"/>
  <c r="BF25" i="5"/>
  <c r="AV28" i="5"/>
  <c r="BC28" i="5"/>
  <c r="AU25" i="5"/>
  <c r="AY28" i="5"/>
  <c r="AT25" i="5"/>
  <c r="BE28" i="5"/>
  <c r="BJ29" i="5"/>
  <c r="AX28" i="5"/>
  <c r="BJ24" i="5" l="1"/>
  <c r="AN45" i="5" a="1"/>
  <c r="AN45" i="5" s="1"/>
  <c r="AN41" i="5" a="1"/>
  <c r="AN41" i="5" s="1"/>
  <c r="AN37" i="5" a="1"/>
  <c r="AN37" i="5" s="1"/>
  <c r="AN49" i="5" a="1"/>
  <c r="AN49" i="5" s="1"/>
  <c r="BE24" i="5"/>
  <c r="AI37" i="5" a="1"/>
  <c r="AI37" i="5" s="1"/>
  <c r="AI41" i="5" a="1"/>
  <c r="AI41" i="5" s="1"/>
  <c r="AI45" i="5" a="1"/>
  <c r="AI45" i="5" s="1"/>
  <c r="AI49" i="5" a="1"/>
  <c r="AI49" i="5" s="1"/>
  <c r="AZ24" i="5"/>
  <c r="AD45" i="5" a="1"/>
  <c r="AD45" i="5" s="1"/>
  <c r="AD41" i="5" a="1"/>
  <c r="AD41" i="5" s="1"/>
  <c r="AD37" i="5" a="1"/>
  <c r="AD37" i="5" s="1"/>
  <c r="AD49" i="5" a="1"/>
  <c r="AD49" i="5" s="1"/>
  <c r="BH24" i="5"/>
  <c r="AL45" i="5" a="1"/>
  <c r="AL45" i="5" s="1"/>
  <c r="AL37" i="5" a="1"/>
  <c r="AL37" i="5" s="1"/>
  <c r="AL41" i="5" a="1"/>
  <c r="AL41" i="5" s="1"/>
  <c r="AL49" i="5" a="1"/>
  <c r="AL49" i="5" s="1"/>
  <c r="BB24" i="5"/>
  <c r="AF37" i="5" a="1"/>
  <c r="AF37" i="5" s="1"/>
  <c r="AF41" i="5" a="1"/>
  <c r="AF41" i="5" s="1"/>
  <c r="AF45" i="5" a="1"/>
  <c r="AF45" i="5" s="1"/>
  <c r="AF49" i="5" a="1"/>
  <c r="AF49" i="5" s="1"/>
  <c r="AW24" i="5"/>
  <c r="AA37" i="5" a="1"/>
  <c r="AA37" i="5" s="1"/>
  <c r="AA45" i="5" a="1"/>
  <c r="AA45" i="5" s="1"/>
  <c r="AA41" i="5" a="1"/>
  <c r="AA41" i="5" s="1"/>
  <c r="AA33" i="5"/>
  <c r="AA34" i="5"/>
  <c r="AU24" i="5"/>
  <c r="Y34" i="5"/>
  <c r="Y33" i="5" a="1"/>
  <c r="Y33" i="5" s="1"/>
  <c r="Y37" i="5" a="1"/>
  <c r="Y37" i="5" s="1"/>
  <c r="Y41" i="5" a="1"/>
  <c r="Y41" i="5" s="1"/>
  <c r="Y45" i="5" a="1"/>
  <c r="Y45" i="5" s="1"/>
  <c r="AT24" i="5"/>
  <c r="X37" i="5" a="1"/>
  <c r="X37" i="5" s="1"/>
  <c r="X33" i="5" a="1"/>
  <c r="X33" i="5" s="1"/>
  <c r="X41" i="5" a="1"/>
  <c r="X41" i="5" s="1"/>
  <c r="X34" i="5" a="1"/>
  <c r="X34" i="5" s="1"/>
  <c r="X45" i="5" a="1"/>
  <c r="X45" i="5" s="1"/>
  <c r="AY24" i="5"/>
  <c r="AC37" i="5" a="1"/>
  <c r="AC37" i="5" s="1"/>
  <c r="AC33" i="5"/>
  <c r="AC34" i="5"/>
  <c r="AC45" i="5" a="1"/>
  <c r="AC45" i="5" s="1"/>
  <c r="AC41" i="5" a="1"/>
  <c r="AC41" i="5" s="1"/>
  <c r="BA24" i="5"/>
  <c r="AE45" i="5" a="1"/>
  <c r="AE45" i="5" s="1"/>
  <c r="AE41" i="5" a="1"/>
  <c r="AE41" i="5" s="1"/>
  <c r="AE37" i="5" a="1"/>
  <c r="AE37" i="5" s="1"/>
  <c r="AE49" i="5" a="1"/>
  <c r="AE49" i="5" s="1"/>
  <c r="AV24" i="5"/>
  <c r="Z37" i="5" a="1"/>
  <c r="Z37" i="5" s="1"/>
  <c r="Z45" i="5" a="1"/>
  <c r="Z45" i="5" s="1"/>
  <c r="Z34" i="5"/>
  <c r="Z33" i="5"/>
  <c r="Z41" i="5" a="1"/>
  <c r="Z41" i="5" s="1"/>
  <c r="BK24" i="5"/>
  <c r="AO45" i="5" a="1"/>
  <c r="AO45" i="5" s="1"/>
  <c r="AO41" i="5" a="1"/>
  <c r="AO41" i="5" s="1"/>
  <c r="AO37" i="5" a="1"/>
  <c r="AO37" i="5" s="1"/>
  <c r="AO49" i="5" a="1"/>
  <c r="AO49" i="5" s="1"/>
  <c r="BG24" i="5"/>
  <c r="AK37" i="5" a="1"/>
  <c r="AK37" i="5" s="1"/>
  <c r="AK41" i="5" a="1"/>
  <c r="AK41" i="5" s="1"/>
  <c r="AK45" i="5" a="1"/>
  <c r="AK45" i="5" s="1"/>
  <c r="AK49" i="5" a="1"/>
  <c r="AK49" i="5" s="1"/>
  <c r="AX24" i="5"/>
  <c r="AB45" i="5" a="1"/>
  <c r="AB45" i="5" s="1"/>
  <c r="AB34" i="5"/>
  <c r="AB41" i="5" a="1"/>
  <c r="AB41" i="5" s="1"/>
  <c r="AB33" i="5"/>
  <c r="AB37" i="5" a="1"/>
  <c r="AB37" i="5" s="1"/>
  <c r="BC24" i="5"/>
  <c r="AG41" i="5" a="1"/>
  <c r="AG41" i="5" s="1"/>
  <c r="AG45" i="5" a="1"/>
  <c r="AG45" i="5" s="1"/>
  <c r="AG37" i="5" a="1"/>
  <c r="AG37" i="5" s="1"/>
  <c r="AG49" i="5" a="1"/>
  <c r="AG49" i="5" s="1"/>
  <c r="BI24" i="5"/>
  <c r="AM45" i="5" a="1"/>
  <c r="AM45" i="5" s="1"/>
  <c r="AM41" i="5" a="1"/>
  <c r="AM41" i="5" s="1"/>
  <c r="AM37" i="5" a="1"/>
  <c r="AM37" i="5" s="1"/>
  <c r="AM49" i="5" a="1"/>
  <c r="AM49" i="5" s="1"/>
  <c r="BD24" i="5"/>
  <c r="AH41" i="5" a="1"/>
  <c r="AH41" i="5" s="1"/>
  <c r="AH45" i="5" a="1"/>
  <c r="AH45" i="5" s="1"/>
  <c r="AH37" i="5" a="1"/>
  <c r="AH37" i="5" s="1"/>
  <c r="AH49" i="5" a="1"/>
  <c r="AH49" i="5" s="1"/>
  <c r="BF24" i="5"/>
  <c r="AJ45" i="5" a="1"/>
  <c r="AJ45" i="5" s="1"/>
  <c r="AJ41" i="5" a="1"/>
  <c r="AJ41" i="5" s="1"/>
  <c r="AJ37" i="5" a="1"/>
  <c r="AJ37" i="5" s="1"/>
  <c r="AJ49" i="5" a="1"/>
  <c r="AJ49" i="5" s="1"/>
  <c r="BL24" i="5"/>
  <c r="AP37" i="5" a="1"/>
  <c r="AP37" i="5" s="1"/>
  <c r="AP45" i="5" a="1"/>
  <c r="AP45" i="5" s="1"/>
  <c r="AP41" i="5" a="1"/>
  <c r="AP41" i="5" s="1"/>
  <c r="AP49" i="5" a="1"/>
  <c r="AP49" i="5" s="1"/>
  <c r="BM24" i="5"/>
  <c r="AQ37" i="5" a="1"/>
  <c r="AQ37" i="5" s="1"/>
  <c r="AQ45" i="5" a="1"/>
  <c r="AQ45" i="5" s="1"/>
  <c r="AQ41" i="5" a="1"/>
  <c r="AQ41" i="5" s="1"/>
  <c r="AQ49" i="5" a="1"/>
  <c r="AQ49" i="5" s="1"/>
  <c r="AS37" i="5" a="1"/>
  <c r="AS37" i="5" s="1"/>
  <c r="AS41" i="5" a="1"/>
  <c r="AS41" i="5" s="1"/>
  <c r="AS45" i="5" a="1"/>
  <c r="AS45" i="5" s="1"/>
  <c r="AS49" i="5" a="1"/>
  <c r="AS49" i="5" s="1"/>
  <c r="AS33" i="5"/>
  <c r="AS38" i="5" a="1"/>
  <c r="AS38" i="5" s="1"/>
  <c r="AS34" i="5"/>
  <c r="AS46" i="5" a="1"/>
  <c r="AS46" i="5" s="1"/>
  <c r="AS50" i="5" a="1"/>
  <c r="AS50" i="5" s="1"/>
  <c r="AS44" i="5"/>
  <c r="Y49" i="5" l="1" a="1"/>
  <c r="Y49" i="5" s="1"/>
  <c r="X49" i="5" a="1"/>
  <c r="X49" i="5" s="1"/>
  <c r="AA49" i="5" a="1"/>
  <c r="AA49" i="5" s="1"/>
  <c r="AC49" i="5" a="1"/>
  <c r="AC49" i="5" s="1"/>
  <c r="AB49" i="5" a="1"/>
  <c r="AB49" i="5" s="1"/>
  <c r="Z49" i="5" a="1"/>
  <c r="Z49" i="5" s="1"/>
  <c r="BM38" i="5" a="1"/>
  <c r="BM38" i="5" s="1"/>
  <c r="BM46" i="5" a="1"/>
  <c r="BM46" i="5" s="1"/>
  <c r="BM49" i="5" a="1"/>
  <c r="BM49" i="5" s="1"/>
  <c r="BM42" i="5" a="1"/>
  <c r="BM42" i="5" s="1"/>
  <c r="BM41" i="5" a="1"/>
  <c r="BM41" i="5" s="1"/>
  <c r="BM45" i="5" a="1"/>
  <c r="BM45" i="5" s="1"/>
  <c r="BM37" i="5" a="1"/>
  <c r="BM37" i="5" s="1"/>
  <c r="BM33" i="5"/>
  <c r="BM50" i="5" a="1"/>
  <c r="BM50" i="5" s="1"/>
  <c r="BM34" i="5"/>
  <c r="BI38" i="5" a="1"/>
  <c r="BI38" i="5" s="1"/>
  <c r="BI49" i="5" a="1"/>
  <c r="BI49" i="5" s="1"/>
  <c r="BI34" i="5"/>
  <c r="BI41" i="5" a="1"/>
  <c r="BI41" i="5" s="1"/>
  <c r="BI37" i="5" a="1"/>
  <c r="BI37" i="5" s="1"/>
  <c r="BI33" i="5"/>
  <c r="BI45" i="5" a="1"/>
  <c r="BI45" i="5" s="1"/>
  <c r="BI42" i="5" a="1"/>
  <c r="BI42" i="5" s="1"/>
  <c r="BI46" i="5" a="1"/>
  <c r="BI46" i="5" s="1"/>
  <c r="BI50" i="5" a="1"/>
  <c r="BI50" i="5" s="1"/>
  <c r="BH37" i="5" a="1"/>
  <c r="BH37" i="5" s="1"/>
  <c r="BH38" i="5" a="1"/>
  <c r="BH38" i="5" s="1"/>
  <c r="BH41" i="5" a="1"/>
  <c r="BH41" i="5" s="1"/>
  <c r="BH45" i="5" a="1"/>
  <c r="BH45" i="5" s="1"/>
  <c r="BH42" i="5" a="1"/>
  <c r="BH42" i="5" s="1"/>
  <c r="BH49" i="5" a="1"/>
  <c r="BH49" i="5" s="1"/>
  <c r="BH33" i="5"/>
  <c r="BH46" i="5" a="1"/>
  <c r="BH46" i="5" s="1"/>
  <c r="BH34" i="5"/>
  <c r="BH50" i="5" a="1"/>
  <c r="BH50" i="5" s="1"/>
  <c r="AY41" i="5" a="1"/>
  <c r="AY41" i="5" s="1"/>
  <c r="AY49" i="5" a="1"/>
  <c r="AY49" i="5" s="1"/>
  <c r="AY34" i="5"/>
  <c r="AY45" i="5" a="1"/>
  <c r="AY45" i="5" s="1"/>
  <c r="AY46" i="5" a="1"/>
  <c r="AY46" i="5" s="1"/>
  <c r="AY42" i="5" a="1"/>
  <c r="AY42" i="5" s="1"/>
  <c r="AY33" i="5"/>
  <c r="AY38" i="5" a="1"/>
  <c r="AY38" i="5" s="1"/>
  <c r="AY50" i="5" a="1"/>
  <c r="AY50" i="5" s="1"/>
  <c r="AY37" i="5" a="1"/>
  <c r="AY37" i="5" s="1"/>
  <c r="BF41" i="5" a="1"/>
  <c r="BF41" i="5" s="1"/>
  <c r="BF38" i="5" a="1"/>
  <c r="BF38" i="5" s="1"/>
  <c r="BF49" i="5" a="1"/>
  <c r="BF49" i="5" s="1"/>
  <c r="BF34" i="5"/>
  <c r="BF46" i="5" a="1"/>
  <c r="BF46" i="5" s="1"/>
  <c r="BF42" i="5" a="1"/>
  <c r="BF42" i="5" s="1"/>
  <c r="BF37" i="5" a="1"/>
  <c r="BF37" i="5" s="1"/>
  <c r="BF50" i="5" a="1"/>
  <c r="BF50" i="5" s="1"/>
  <c r="BF33" i="5"/>
  <c r="BF45" i="5" a="1"/>
  <c r="BF45" i="5" s="1"/>
  <c r="BK42" i="5" a="1"/>
  <c r="BK42" i="5" s="1"/>
  <c r="BK34" i="5"/>
  <c r="BK49" i="5" a="1"/>
  <c r="BK49" i="5" s="1"/>
  <c r="BK50" i="5" a="1"/>
  <c r="BK50" i="5" s="1"/>
  <c r="BK46" i="5" a="1"/>
  <c r="BK46" i="5" s="1"/>
  <c r="BK38" i="5" a="1"/>
  <c r="BK38" i="5" s="1"/>
  <c r="BK41" i="5" a="1"/>
  <c r="BK41" i="5" s="1"/>
  <c r="BK45" i="5" a="1"/>
  <c r="BK45" i="5" s="1"/>
  <c r="BK37" i="5" a="1"/>
  <c r="BK37" i="5" s="1"/>
  <c r="BK33" i="5"/>
  <c r="BA33" i="5"/>
  <c r="BA42" i="5" a="1"/>
  <c r="BA42" i="5" s="1"/>
  <c r="BA34" i="5"/>
  <c r="BA50" i="5" a="1"/>
  <c r="BA50" i="5" s="1"/>
  <c r="BA37" i="5" a="1"/>
  <c r="BA37" i="5" s="1"/>
  <c r="BA46" i="5" a="1"/>
  <c r="BA46" i="5" s="1"/>
  <c r="BA49" i="5" a="1"/>
  <c r="BA49" i="5" s="1"/>
  <c r="BA38" i="5" a="1"/>
  <c r="BA38" i="5" s="1"/>
  <c r="BA41" i="5" a="1"/>
  <c r="BA41" i="5" s="1"/>
  <c r="BA45" i="5" a="1"/>
  <c r="BA45" i="5" s="1"/>
  <c r="AW42" i="5" a="1"/>
  <c r="AW42" i="5" s="1"/>
  <c r="AW37" i="5" a="1"/>
  <c r="AW37" i="5" s="1"/>
  <c r="AW33" i="5"/>
  <c r="AW34" i="5"/>
  <c r="AW38" i="5" a="1"/>
  <c r="AW38" i="5" s="1"/>
  <c r="AW50" i="5" a="1"/>
  <c r="AW50" i="5" s="1"/>
  <c r="AW46" i="5" a="1"/>
  <c r="AW46" i="5" s="1"/>
  <c r="AW49" i="5" a="1"/>
  <c r="AW49" i="5" s="1"/>
  <c r="AW45" i="5" a="1"/>
  <c r="AW45" i="5" s="1"/>
  <c r="AW41" i="5" a="1"/>
  <c r="AW41" i="5" s="1"/>
  <c r="BE42" i="5" a="1"/>
  <c r="BE42" i="5" s="1"/>
  <c r="BE33" i="5"/>
  <c r="BE37" i="5" a="1"/>
  <c r="BE37" i="5" s="1"/>
  <c r="BE38" i="5" a="1"/>
  <c r="BE38" i="5" s="1"/>
  <c r="BE49" i="5" a="1"/>
  <c r="BE49" i="5" s="1"/>
  <c r="BE34" i="5"/>
  <c r="BE46" i="5" a="1"/>
  <c r="BE46" i="5" s="1"/>
  <c r="BE41" i="5" a="1"/>
  <c r="BE41" i="5" s="1"/>
  <c r="BE45" i="5" a="1"/>
  <c r="BE45" i="5" s="1"/>
  <c r="BE50" i="5" a="1"/>
  <c r="BE50" i="5" s="1"/>
  <c r="AX38" i="5" a="1"/>
  <c r="AX38" i="5" s="1"/>
  <c r="AX49" i="5" a="1"/>
  <c r="AX49" i="5" s="1"/>
  <c r="AX50" i="5" a="1"/>
  <c r="AX50" i="5" s="1"/>
  <c r="AX46" i="5" a="1"/>
  <c r="AX46" i="5" s="1"/>
  <c r="AX37" i="5" a="1"/>
  <c r="AX37" i="5" s="1"/>
  <c r="AX34" i="5"/>
  <c r="AX41" i="5" a="1"/>
  <c r="AX41" i="5" s="1"/>
  <c r="AX33" i="5"/>
  <c r="AX42" i="5" a="1"/>
  <c r="AX42" i="5" s="1"/>
  <c r="AX45" i="5" a="1"/>
  <c r="AX45" i="5" s="1"/>
  <c r="AT41" i="5" a="1"/>
  <c r="AT41" i="5" s="1"/>
  <c r="AT49" i="5" a="1"/>
  <c r="AT49" i="5" s="1"/>
  <c r="AT45" i="5" a="1"/>
  <c r="AT45" i="5" s="1"/>
  <c r="AT50" i="5" a="1"/>
  <c r="AT50" i="5" s="1"/>
  <c r="AT33" i="5"/>
  <c r="AT46" i="5" a="1"/>
  <c r="AT46" i="5" s="1"/>
  <c r="AT38" i="5" a="1"/>
  <c r="AT38" i="5" s="1"/>
  <c r="AT37" i="5" a="1"/>
  <c r="AT37" i="5" s="1"/>
  <c r="AT34" i="5"/>
  <c r="BL45" i="5" a="1"/>
  <c r="BL45" i="5" s="1"/>
  <c r="BL50" i="5" a="1"/>
  <c r="BL50" i="5" s="1"/>
  <c r="BL42" i="5" a="1"/>
  <c r="BL42" i="5" s="1"/>
  <c r="BL37" i="5" a="1"/>
  <c r="BL37" i="5" s="1"/>
  <c r="BL49" i="5" a="1"/>
  <c r="BL49" i="5" s="1"/>
  <c r="BL34" i="5"/>
  <c r="BL33" i="5"/>
  <c r="BL41" i="5" a="1"/>
  <c r="BL41" i="5" s="1"/>
  <c r="BL46" i="5" a="1"/>
  <c r="BL46" i="5" s="1"/>
  <c r="BL38" i="5" a="1"/>
  <c r="BL38" i="5" s="1"/>
  <c r="BC45" i="5" a="1"/>
  <c r="BC45" i="5" s="1"/>
  <c r="BC38" i="5" a="1"/>
  <c r="BC38" i="5" s="1"/>
  <c r="BC50" i="5" a="1"/>
  <c r="BC50" i="5" s="1"/>
  <c r="BC33" i="5"/>
  <c r="BC37" i="5" a="1"/>
  <c r="BC37" i="5" s="1"/>
  <c r="BC41" i="5" a="1"/>
  <c r="BC41" i="5" s="1"/>
  <c r="BC49" i="5" a="1"/>
  <c r="BC49" i="5" s="1"/>
  <c r="BC46" i="5" a="1"/>
  <c r="BC46" i="5" s="1"/>
  <c r="BC34" i="5"/>
  <c r="BC42" i="5" a="1"/>
  <c r="BC42" i="5" s="1"/>
  <c r="BG45" i="5" a="1"/>
  <c r="BG45" i="5" s="1"/>
  <c r="BG41" i="5" a="1"/>
  <c r="BG41" i="5" s="1"/>
  <c r="BG37" i="5" a="1"/>
  <c r="BG37" i="5" s="1"/>
  <c r="BG49" i="5" a="1"/>
  <c r="BG49" i="5" s="1"/>
  <c r="BG33" i="5"/>
  <c r="BG38" i="5" a="1"/>
  <c r="BG38" i="5" s="1"/>
  <c r="BG34" i="5"/>
  <c r="BG46" i="5" a="1"/>
  <c r="BG46" i="5" s="1"/>
  <c r="BG42" i="5" a="1"/>
  <c r="BG42" i="5" s="1"/>
  <c r="BG50" i="5" a="1"/>
  <c r="BG50" i="5" s="1"/>
  <c r="AV46" i="5" a="1"/>
  <c r="AV46" i="5" s="1"/>
  <c r="AV45" i="5" a="1"/>
  <c r="AV45" i="5" s="1"/>
  <c r="AV49" i="5" a="1"/>
  <c r="AV49" i="5" s="1"/>
  <c r="AV42" i="5" a="1"/>
  <c r="AV42" i="5" s="1"/>
  <c r="AV50" i="5" a="1"/>
  <c r="AV50" i="5" s="1"/>
  <c r="AV38" i="5" a="1"/>
  <c r="AV38" i="5" s="1"/>
  <c r="AV41" i="5" a="1"/>
  <c r="AV41" i="5" s="1"/>
  <c r="AV34" i="5"/>
  <c r="AV33" i="5"/>
  <c r="AV37" i="5" a="1"/>
  <c r="AV37" i="5" s="1"/>
  <c r="AZ38" i="5" a="1"/>
  <c r="AZ38" i="5" s="1"/>
  <c r="AZ34" i="5"/>
  <c r="AZ50" i="5" a="1"/>
  <c r="AZ50" i="5" s="1"/>
  <c r="AZ46" i="5" a="1"/>
  <c r="AZ46" i="5" s="1"/>
  <c r="AZ33" i="5"/>
  <c r="AZ42" i="5" a="1"/>
  <c r="AZ42" i="5" s="1"/>
  <c r="AZ45" i="5" a="1"/>
  <c r="AZ45" i="5" s="1"/>
  <c r="AZ49" i="5" a="1"/>
  <c r="AZ49" i="5" s="1"/>
  <c r="AZ37" i="5" a="1"/>
  <c r="AZ37" i="5" s="1"/>
  <c r="AZ41" i="5" a="1"/>
  <c r="AZ41" i="5" s="1"/>
  <c r="BD33" i="5"/>
  <c r="BD41" i="5" a="1"/>
  <c r="BD41" i="5" s="1"/>
  <c r="BD49" i="5" a="1"/>
  <c r="BD49" i="5" s="1"/>
  <c r="BD37" i="5" a="1"/>
  <c r="BD37" i="5" s="1"/>
  <c r="BD38" i="5" a="1"/>
  <c r="BD38" i="5" s="1"/>
  <c r="BD50" i="5" a="1"/>
  <c r="BD50" i="5" s="1"/>
  <c r="BD42" i="5" a="1"/>
  <c r="BD42" i="5" s="1"/>
  <c r="BD34" i="5"/>
  <c r="BD45" i="5" a="1"/>
  <c r="BD45" i="5" s="1"/>
  <c r="BD46" i="5" a="1"/>
  <c r="BD46" i="5" s="1"/>
  <c r="AU37" i="5" a="1"/>
  <c r="AU37" i="5" s="1"/>
  <c r="AU38" i="5" a="1"/>
  <c r="AU38" i="5" s="1"/>
  <c r="AU42" i="5" a="1"/>
  <c r="AU42" i="5" s="1"/>
  <c r="AU49" i="5" a="1"/>
  <c r="AU49" i="5" s="1"/>
  <c r="AU41" i="5" a="1"/>
  <c r="AU41" i="5" s="1"/>
  <c r="AU45" i="5" a="1"/>
  <c r="AU45" i="5" s="1"/>
  <c r="AU34" i="5"/>
  <c r="AU33" i="5"/>
  <c r="AU46" i="5" a="1"/>
  <c r="AU46" i="5" s="1"/>
  <c r="AU50" i="5" a="1"/>
  <c r="AU50" i="5" s="1"/>
  <c r="BB33" i="5"/>
  <c r="BB42" i="5" a="1"/>
  <c r="BB42" i="5" s="1"/>
  <c r="BB38" i="5" a="1"/>
  <c r="BB38" i="5" s="1"/>
  <c r="BB34" i="5"/>
  <c r="BB41" i="5" a="1"/>
  <c r="BB41" i="5" s="1"/>
  <c r="BB50" i="5" a="1"/>
  <c r="BB50" i="5" s="1"/>
  <c r="BB49" i="5" a="1"/>
  <c r="BB49" i="5" s="1"/>
  <c r="BB45" i="5" a="1"/>
  <c r="BB45" i="5" s="1"/>
  <c r="BB37" i="5" a="1"/>
  <c r="BB37" i="5" s="1"/>
  <c r="BB46" i="5" a="1"/>
  <c r="BB46" i="5" s="1"/>
  <c r="BJ45" i="5" a="1"/>
  <c r="BJ45" i="5" s="1"/>
  <c r="BJ49" i="5" a="1"/>
  <c r="BJ49" i="5" s="1"/>
  <c r="BJ41" i="5" a="1"/>
  <c r="BJ41" i="5" s="1"/>
  <c r="BJ37" i="5" a="1"/>
  <c r="BJ37" i="5" s="1"/>
  <c r="BJ46" i="5" a="1"/>
  <c r="BJ46" i="5" s="1"/>
  <c r="BJ38" i="5" a="1"/>
  <c r="BJ38" i="5" s="1"/>
  <c r="BJ33" i="5"/>
  <c r="BJ42" i="5" a="1"/>
  <c r="BJ42" i="5" s="1"/>
  <c r="BJ34" i="5"/>
  <c r="BJ50" i="5" a="1"/>
  <c r="BJ50" i="5" s="1"/>
</calcChain>
</file>

<file path=xl/sharedStrings.xml><?xml version="1.0" encoding="utf-8"?>
<sst xmlns="http://schemas.openxmlformats.org/spreadsheetml/2006/main" count="566" uniqueCount="125">
  <si>
    <t>ADMINISTRATION DATA</t>
  </si>
  <si>
    <t>Date</t>
  </si>
  <si>
    <t>Weight</t>
  </si>
  <si>
    <t>K/X</t>
  </si>
  <si>
    <t>Tumor Volume</t>
  </si>
  <si>
    <t>ELP inj. Vol.</t>
  </si>
  <si>
    <t>Calc. Activity</t>
  </si>
  <si>
    <t>Tumor Flux</t>
  </si>
  <si>
    <t>CAGE</t>
  </si>
  <si>
    <t>MOUSE</t>
  </si>
  <si>
    <t>Unique Sample ID</t>
  </si>
  <si>
    <t>DAY:</t>
  </si>
  <si>
    <t>Avg:</t>
  </si>
  <si>
    <t>Group</t>
  </si>
  <si>
    <t>Std:</t>
  </si>
  <si>
    <r>
      <rPr>
        <b/>
        <vertAlign val="superscript"/>
        <sz val="10"/>
        <color theme="1"/>
        <rFont val="Times New Roman"/>
        <family val="1"/>
      </rPr>
      <t>131</t>
    </r>
    <r>
      <rPr>
        <b/>
        <sz val="10"/>
        <color theme="1"/>
        <rFont val="Times New Roman"/>
        <family val="1"/>
      </rPr>
      <t>I Activity</t>
    </r>
  </si>
  <si>
    <t>INOCULATION 
DATA</t>
  </si>
  <si>
    <t>DATE:</t>
  </si>
  <si>
    <t>Time</t>
  </si>
  <si>
    <t>Trial</t>
  </si>
  <si>
    <r>
      <rPr>
        <b/>
        <vertAlign val="superscript"/>
        <sz val="20"/>
        <color theme="1"/>
        <rFont val="Times New Roman"/>
        <family val="1"/>
      </rPr>
      <t>131</t>
    </r>
    <r>
      <rPr>
        <b/>
        <sz val="20"/>
        <color theme="1"/>
        <rFont val="Times New Roman"/>
        <family val="1"/>
      </rPr>
      <t>I-Radiotherapy</t>
    </r>
  </si>
  <si>
    <t xml:space="preserve">       TUMOR SIZE</t>
  </si>
  <si>
    <t xml:space="preserve">       RADIOACTIVITY</t>
  </si>
  <si>
    <t>Dose:Tumor</t>
  </si>
  <si>
    <t>% Dose</t>
  </si>
  <si>
    <t>Total</t>
  </si>
  <si>
    <t>Theoretical</t>
  </si>
  <si>
    <t>Diff:</t>
  </si>
  <si>
    <t>Theoretical:</t>
  </si>
  <si>
    <t xml:space="preserve">     FOLD CHANGE</t>
  </si>
  <si>
    <t xml:space="preserve">       FOLD CHANGE</t>
  </si>
  <si>
    <t>Tumor Size</t>
  </si>
  <si>
    <t>1D:</t>
  </si>
  <si>
    <t>D2D:</t>
  </si>
  <si>
    <r>
      <t>D2D</t>
    </r>
    <r>
      <rPr>
        <b/>
        <sz val="11"/>
        <color theme="1"/>
        <rFont val="Mathematica1"/>
        <charset val="2"/>
      </rPr>
      <t>D</t>
    </r>
    <r>
      <rPr>
        <b/>
        <sz val="11"/>
        <color theme="1"/>
        <rFont val="Times New Roman"/>
        <family val="1"/>
      </rPr>
      <t>:</t>
    </r>
  </si>
  <si>
    <r>
      <t>1D</t>
    </r>
    <r>
      <rPr>
        <b/>
        <sz val="11"/>
        <color theme="1"/>
        <rFont val="Mathematica1"/>
        <charset val="2"/>
      </rPr>
      <t>D:</t>
    </r>
  </si>
  <si>
    <t>Depot Radioactivity</t>
  </si>
  <si>
    <t>Excision Size</t>
  </si>
  <si>
    <r>
      <rPr>
        <b/>
        <vertAlign val="superscript"/>
        <sz val="10"/>
        <color theme="1"/>
        <rFont val="Times New Roman"/>
        <family val="1"/>
      </rPr>
      <t>131</t>
    </r>
    <r>
      <rPr>
        <b/>
        <sz val="10"/>
        <color theme="1"/>
        <rFont val="Times New Roman"/>
        <family val="1"/>
      </rPr>
      <t>I Dose (uCi/mm3)</t>
    </r>
  </si>
  <si>
    <t>ELP Loading</t>
  </si>
  <si>
    <r>
      <t>t</t>
    </r>
    <r>
      <rPr>
        <b/>
        <vertAlign val="subscript"/>
        <sz val="11"/>
        <color theme="1"/>
        <rFont val="Times New Roman"/>
        <family val="1"/>
      </rPr>
      <t>1/2</t>
    </r>
  </si>
  <si>
    <t>r</t>
  </si>
  <si>
    <r>
      <t>t</t>
    </r>
    <r>
      <rPr>
        <b/>
        <vertAlign val="subscript"/>
        <sz val="11"/>
        <color theme="1"/>
        <rFont val="Times New Roman"/>
        <family val="1"/>
      </rPr>
      <t>1/2 StDev</t>
    </r>
  </si>
  <si>
    <t>Pilot</t>
  </si>
  <si>
    <r>
      <t xml:space="preserve">i.t. PTX + </t>
    </r>
    <r>
      <rPr>
        <vertAlign val="superscript"/>
        <sz val="10"/>
        <color theme="1"/>
        <rFont val="Times New Roman"/>
        <family val="1"/>
      </rPr>
      <t>131</t>
    </r>
    <r>
      <rPr>
        <sz val="10"/>
        <color theme="1"/>
        <rFont val="Times New Roman"/>
        <family val="1"/>
      </rPr>
      <t>I Depot</t>
    </r>
  </si>
  <si>
    <t>i.t. PTX + ELP Depot</t>
  </si>
  <si>
    <r>
      <t xml:space="preserve">I.V. PTX + </t>
    </r>
    <r>
      <rPr>
        <vertAlign val="superscript"/>
        <sz val="10"/>
        <color theme="1"/>
        <rFont val="Times New Roman"/>
        <family val="1"/>
      </rPr>
      <t>131</t>
    </r>
    <r>
      <rPr>
        <sz val="10"/>
        <color theme="1"/>
        <rFont val="Times New Roman"/>
        <family val="1"/>
      </rPr>
      <t>I Depot</t>
    </r>
  </si>
  <si>
    <t>I.V. PTX only</t>
  </si>
  <si>
    <t>n/a</t>
  </si>
  <si>
    <t>I.V. PTX + 131I Depot</t>
  </si>
  <si>
    <t>i.t. PTX + 131I Depot</t>
  </si>
  <si>
    <t>Median:</t>
  </si>
  <si>
    <t>Excision Mass (mg)</t>
  </si>
  <si>
    <t>Excision Size (mm3)</t>
  </si>
  <si>
    <t>Flux</t>
  </si>
  <si>
    <t>Vol_initial</t>
  </si>
  <si>
    <t>Vol_final</t>
  </si>
  <si>
    <t>Mass_final</t>
  </si>
  <si>
    <t>% Volume</t>
  </si>
  <si>
    <t>Flux_final</t>
  </si>
  <si>
    <t>% Flux Change</t>
  </si>
  <si>
    <r>
      <t xml:space="preserve"> Pilot Study: </t>
    </r>
    <r>
      <rPr>
        <b/>
        <vertAlign val="superscript"/>
        <sz val="20"/>
        <color theme="1"/>
        <rFont val="Times New Roman"/>
        <family val="1"/>
      </rPr>
      <t>131</t>
    </r>
    <r>
      <rPr>
        <b/>
        <sz val="20"/>
        <color theme="1"/>
        <rFont val="Times New Roman"/>
        <family val="1"/>
      </rPr>
      <t xml:space="preserve">I-ELP Synergy </t>
    </r>
  </si>
  <si>
    <t>CP-PTX</t>
  </si>
  <si>
    <t>Plate</t>
  </si>
  <si>
    <t>Repeat</t>
  </si>
  <si>
    <t>End time</t>
  </si>
  <si>
    <t>Start temp.</t>
  </si>
  <si>
    <t>End temp.</t>
  </si>
  <si>
    <t>BarCode</t>
  </si>
  <si>
    <t xml:space="preserve"> </t>
  </si>
  <si>
    <t>N/A</t>
  </si>
  <si>
    <t>Absorbance @ 490 (0.1s) (A)</t>
  </si>
  <si>
    <t>0.000</t>
  </si>
  <si>
    <t>DMEM</t>
  </si>
  <si>
    <t>A</t>
  </si>
  <si>
    <t>B</t>
  </si>
  <si>
    <t>C</t>
  </si>
  <si>
    <t>D</t>
  </si>
  <si>
    <t>free PTX</t>
  </si>
  <si>
    <t>E</t>
  </si>
  <si>
    <t>F</t>
  </si>
  <si>
    <t>G</t>
  </si>
  <si>
    <t>H</t>
  </si>
  <si>
    <t>Abraxane</t>
  </si>
  <si>
    <t>3:39:20 PM</t>
  </si>
  <si>
    <t>3:39:59 PM</t>
  </si>
  <si>
    <t>3:40:40 PM</t>
  </si>
  <si>
    <t>Figure 1c: MTT Cellular Cytotoxicity Assay for BxPc3-luc2 Cells</t>
  </si>
  <si>
    <t>3:42:55 PM</t>
  </si>
  <si>
    <t>3:43:34 PM</t>
  </si>
  <si>
    <t>3:44:14 PM</t>
  </si>
  <si>
    <t>No</t>
  </si>
  <si>
    <t>Yes</t>
  </si>
  <si>
    <t>Avg. Retention</t>
  </si>
  <si>
    <t>% Retained</t>
  </si>
  <si>
    <t>Tumor activity</t>
  </si>
  <si>
    <t>Body Activity</t>
  </si>
  <si>
    <t>Inj. Activity</t>
  </si>
  <si>
    <t>Time point</t>
  </si>
  <si>
    <t>Mouse</t>
  </si>
  <si>
    <t>BioD - Retained Tumor Activity</t>
  </si>
  <si>
    <t>Blood</t>
  </si>
  <si>
    <t>Elapsed Time (d)</t>
  </si>
  <si>
    <t>Measure
Time</t>
  </si>
  <si>
    <t>Measure Date</t>
  </si>
  <si>
    <t>% Tumor Activity</t>
  </si>
  <si>
    <t>Tumor Actvity (uCi)</t>
  </si>
  <si>
    <t>BioD Body
Activity (uCi)</t>
  </si>
  <si>
    <t>Include</t>
  </si>
  <si>
    <t>BW
(g)</t>
  </si>
  <si>
    <t>Sacrifice
Date</t>
  </si>
  <si>
    <t>Injected Activity (uCi)</t>
  </si>
  <si>
    <t>Timepoint
(h)</t>
  </si>
  <si>
    <t>Inj.
Time</t>
  </si>
  <si>
    <t>Inj.
 Date</t>
  </si>
  <si>
    <t>Tissue Mass</t>
  </si>
  <si>
    <t>Raw Gamma CPM</t>
  </si>
  <si>
    <t>Decay Corrected %ID</t>
  </si>
  <si>
    <t>%ID per g</t>
  </si>
  <si>
    <r>
      <rPr>
        <b/>
        <sz val="10"/>
        <color theme="1"/>
        <rFont val="Calibri"/>
        <family val="2"/>
      </rPr>
      <t>µ</t>
    </r>
    <r>
      <rPr>
        <b/>
        <sz val="10"/>
        <color theme="1"/>
        <rFont val="Calibri"/>
        <family val="2"/>
        <scheme val="minor"/>
      </rPr>
      <t>Ci per g 
Tissue</t>
    </r>
  </si>
  <si>
    <t>Summary</t>
  </si>
  <si>
    <t xml:space="preserve">        Averages</t>
  </si>
  <si>
    <t>Time point (h)</t>
  </si>
  <si>
    <t>µCi per g 
Tissue</t>
  </si>
  <si>
    <t>Figure 1g Biodistribution Analysis - Circulating Blood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</si>
</sst>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E+00"/>
    <numFmt numFmtId="165" formatCode="0.0"/>
    <numFmt numFmtId="166" formatCode="[$-F400]h:mm:ss\ AM/PM"/>
    <numFmt numFmtId="167" formatCode="[$-409]d\-mmm;@"/>
    <numFmt numFmtId="168" formatCode="0.000"/>
    <numFmt numFmtId="169" formatCode="0.0%"/>
    <numFmt numFmtId="170" formatCode="0.00000"/>
    <numFmt numFmtId="171" formatCode="0.0000"/>
    <numFmt numFmtId="172" formatCode="0.000%"/>
  </numFmts>
  <fonts count="3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6"/>
      <color theme="4" tint="-0.249977111117893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vertAlign val="superscript"/>
      <sz val="20"/>
      <color theme="1"/>
      <name val="Times New Roman"/>
      <family val="1"/>
    </font>
    <font>
      <b/>
      <sz val="12"/>
      <color rgb="FF00CC00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C00000"/>
      <name val="Times New Roman"/>
      <family val="1"/>
    </font>
    <font>
      <b/>
      <sz val="11"/>
      <color theme="1"/>
      <name val="Mathematica1"/>
      <charset val="2"/>
    </font>
    <font>
      <b/>
      <vertAlign val="sub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thin">
        <color indexed="64"/>
      </right>
      <top style="dotted">
        <color theme="0" tint="-0.2499465926084170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thin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  <border>
      <left/>
      <right style="dotted">
        <color theme="0" tint="-0.14996795556505021"/>
      </right>
      <top/>
      <bottom style="dotted">
        <color theme="0" tint="-0.14996795556505021"/>
      </bottom>
      <diagonal/>
    </border>
    <border>
      <left style="dotted">
        <color theme="0" tint="-0.14993743705557422"/>
      </left>
      <right style="thin">
        <color indexed="64"/>
      </right>
      <top/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thin">
        <color indexed="64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thin">
        <color indexed="64"/>
      </bottom>
      <diagonal/>
    </border>
    <border>
      <left style="dotted">
        <color theme="0" tint="-0.14993743705557422"/>
      </left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 style="dotted">
        <color theme="0" tint="-0.14996795556505021"/>
      </left>
      <right/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/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thin">
        <color indexed="64"/>
      </right>
      <top style="medium">
        <color indexed="64"/>
      </top>
      <bottom style="dotted">
        <color theme="0" tint="-0.14996795556505021"/>
      </bottom>
      <diagonal/>
    </border>
    <border>
      <left/>
      <right/>
      <top/>
      <bottom style="medium">
        <color indexed="64"/>
      </bottom>
      <diagonal/>
    </border>
    <border>
      <left style="dotted">
        <color theme="0" tint="-0.14993743705557422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theme="0" tint="-0.14996795556505021"/>
      </left>
      <right style="thin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 style="dotted">
        <color theme="0" tint="-0.14996795556505021"/>
      </left>
      <right style="thin">
        <color indexed="64"/>
      </right>
      <top/>
      <bottom style="dotted">
        <color theme="0" tint="-0.1499679555650502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theme="0" tint="-0.14996795556505021"/>
      </left>
      <right style="medium">
        <color indexed="64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/>
      <right style="thin">
        <color indexed="64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3743705557422"/>
      </left>
      <right style="dotted">
        <color theme="0" tint="-0.14990691854609822"/>
      </right>
      <top style="dotted">
        <color theme="0" tint="-0.14996795556505021"/>
      </top>
      <bottom style="medium">
        <color indexed="64"/>
      </bottom>
      <diagonal/>
    </border>
    <border>
      <left/>
      <right style="dotted">
        <color theme="0" tint="-0.14993743705557422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dotted">
        <color theme="0" tint="-0.14996795556505021"/>
      </right>
      <top style="dotted">
        <color theme="0" tint="-0.14996795556505021"/>
      </top>
      <bottom style="medium">
        <color indexed="64"/>
      </bottom>
      <diagonal/>
    </border>
    <border>
      <left style="dotted">
        <color theme="0" tint="-0.14996795556505021"/>
      </left>
      <right style="medium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indexed="64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dotted">
        <color theme="0" tint="-0.14993743705557422"/>
      </right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indexed="64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0691854609822"/>
      </left>
      <right style="thin">
        <color indexed="64"/>
      </right>
      <top style="dotted">
        <color theme="0" tint="-0.1498764000366222"/>
      </top>
      <bottom style="dotted">
        <color theme="0" tint="-0.14996795556505021"/>
      </bottom>
      <diagonal/>
    </border>
    <border>
      <left style="dotted">
        <color theme="0" tint="-0.14993743705557422"/>
      </left>
      <right style="dotted">
        <color theme="0" tint="-0.14990691854609822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indexed="64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0691854609822"/>
      </left>
      <right style="thin">
        <color indexed="64"/>
      </right>
      <top style="medium">
        <color indexed="64"/>
      </top>
      <bottom style="dotted">
        <color theme="0" tint="-0.1498764000366222"/>
      </bottom>
      <diagonal/>
    </border>
    <border>
      <left style="dotted">
        <color theme="0" tint="-0.14993743705557422"/>
      </left>
      <right style="dotted">
        <color theme="0" tint="-0.14990691854609822"/>
      </right>
      <top style="medium">
        <color indexed="64"/>
      </top>
      <bottom style="dotted">
        <color theme="0" tint="-0.14996795556505021"/>
      </bottom>
      <diagonal/>
    </border>
    <border>
      <left/>
      <right style="dotted">
        <color theme="0" tint="-0.14993743705557422"/>
      </right>
      <top style="medium">
        <color indexed="64"/>
      </top>
      <bottom style="dotted">
        <color theme="0" tint="-0.14996795556505021"/>
      </bottom>
      <diagonal/>
    </border>
    <border>
      <left style="medium">
        <color indexed="64"/>
      </left>
      <right style="dotted">
        <color theme="0" tint="-0.14996795556505021"/>
      </right>
      <top style="medium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auto="1"/>
      </right>
      <top/>
      <bottom style="medium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/>
      <bottom style="medium">
        <color indexed="64"/>
      </bottom>
      <diagonal/>
    </border>
    <border>
      <left style="dotted">
        <color theme="0" tint="-0.14996795556505021"/>
      </left>
      <right style="thin">
        <color auto="1"/>
      </right>
      <top style="medium">
        <color indexed="64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indexed="64"/>
      </top>
      <bottom/>
      <diagonal/>
    </border>
    <border>
      <left/>
      <right/>
      <top/>
      <bottom style="dotted">
        <color auto="1"/>
      </bottom>
      <diagonal/>
    </border>
  </borders>
  <cellStyleXfs count="4">
    <xf numFmtId="0" fontId="0" fillId="0" borderId="0"/>
    <xf numFmtId="9" fontId="16" fillId="0" borderId="0" applyFont="0" applyFill="0" applyBorder="0" applyAlignment="0" applyProtection="0"/>
    <xf numFmtId="0" fontId="27" fillId="0" borderId="0"/>
    <xf numFmtId="13" fontId="25" fillId="0" borderId="0" applyFont="0" applyFill="0" applyProtection="0"/>
  </cellStyleXfs>
  <cellXfs count="4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/>
    <xf numFmtId="0" fontId="2" fillId="0" borderId="2" xfId="0" applyFont="1" applyBorder="1"/>
    <xf numFmtId="164" fontId="1" fillId="0" borderId="0" xfId="0" applyNumberFormat="1" applyFont="1"/>
    <xf numFmtId="165" fontId="1" fillId="0" borderId="0" xfId="0" applyNumberFormat="1" applyFont="1"/>
    <xf numFmtId="14" fontId="1" fillId="0" borderId="0" xfId="0" applyNumberFormat="1" applyFont="1"/>
    <xf numFmtId="0" fontId="4" fillId="0" borderId="3" xfId="0" applyFont="1" applyBorder="1" applyAlignment="1">
      <alignment horizontal="center"/>
    </xf>
    <xf numFmtId="166" fontId="1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0" fontId="4" fillId="0" borderId="2" xfId="0" applyFont="1" applyBorder="1"/>
    <xf numFmtId="165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14" fontId="1" fillId="0" borderId="2" xfId="0" applyNumberFormat="1" applyFont="1" applyBorder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14" fontId="12" fillId="0" borderId="0" xfId="0" applyNumberFormat="1" applyFont="1" applyProtection="1">
      <protection locked="0"/>
    </xf>
    <xf numFmtId="165" fontId="12" fillId="0" borderId="0" xfId="0" applyNumberFormat="1" applyFont="1" applyProtection="1">
      <protection locked="0"/>
    </xf>
    <xf numFmtId="166" fontId="12" fillId="0" borderId="0" xfId="0" applyNumberFormat="1" applyFont="1" applyProtection="1">
      <protection locked="0"/>
    </xf>
    <xf numFmtId="164" fontId="12" fillId="0" borderId="0" xfId="0" applyNumberFormat="1" applyFo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165" fontId="2" fillId="0" borderId="8" xfId="0" applyNumberFormat="1" applyFont="1" applyBorder="1" applyProtection="1">
      <protection locked="0"/>
    </xf>
    <xf numFmtId="166" fontId="2" fillId="0" borderId="0" xfId="0" applyNumberFormat="1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14" fontId="1" fillId="0" borderId="9" xfId="0" applyNumberFormat="1" applyFont="1" applyBorder="1" applyProtection="1">
      <protection locked="0"/>
    </xf>
    <xf numFmtId="165" fontId="1" fillId="0" borderId="4" xfId="0" applyNumberFormat="1" applyFont="1" applyBorder="1" applyProtection="1">
      <protection locked="0"/>
    </xf>
    <xf numFmtId="165" fontId="1" fillId="0" borderId="10" xfId="0" applyNumberFormat="1" applyFont="1" applyBorder="1" applyProtection="1">
      <protection locked="0"/>
    </xf>
    <xf numFmtId="166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4" fontId="1" fillId="0" borderId="11" xfId="0" applyNumberFormat="1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165" fontId="1" fillId="0" borderId="12" xfId="0" applyNumberFormat="1" applyFont="1" applyBorder="1" applyProtection="1">
      <protection locked="0"/>
    </xf>
    <xf numFmtId="166" fontId="1" fillId="0" borderId="6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165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14" fontId="1" fillId="0" borderId="2" xfId="0" applyNumberFormat="1" applyFont="1" applyBorder="1" applyAlignment="1" applyProtection="1"/>
    <xf numFmtId="0" fontId="7" fillId="0" borderId="2" xfId="0" applyFont="1" applyBorder="1" applyAlignme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7" fontId="2" fillId="2" borderId="5" xfId="0" applyNumberFormat="1" applyFont="1" applyFill="1" applyBorder="1" applyAlignment="1">
      <alignment horizontal="center"/>
    </xf>
    <xf numFmtId="167" fontId="4" fillId="0" borderId="0" xfId="0" applyNumberFormat="1" applyFont="1" applyBorder="1" applyAlignment="1" applyProtection="1">
      <alignment horizontal="left"/>
      <protection locked="0"/>
    </xf>
    <xf numFmtId="167" fontId="4" fillId="0" borderId="0" xfId="0" applyNumberFormat="1" applyFont="1" applyBorder="1" applyAlignment="1" applyProtection="1">
      <alignment horizontal="center"/>
      <protection locked="0"/>
    </xf>
    <xf numFmtId="167" fontId="6" fillId="0" borderId="0" xfId="0" applyNumberFormat="1" applyFont="1" applyBorder="1" applyProtection="1">
      <protection locked="0"/>
    </xf>
    <xf numFmtId="167" fontId="2" fillId="2" borderId="5" xfId="0" applyNumberFormat="1" applyFont="1" applyFill="1" applyBorder="1" applyAlignment="1" applyProtection="1">
      <alignment horizontal="center"/>
      <protection locked="0"/>
    </xf>
    <xf numFmtId="167" fontId="2" fillId="2" borderId="9" xfId="0" applyNumberFormat="1" applyFont="1" applyFill="1" applyBorder="1" applyAlignment="1" applyProtection="1">
      <alignment horizontal="center"/>
      <protection locked="0"/>
    </xf>
    <xf numFmtId="167" fontId="4" fillId="0" borderId="2" xfId="0" applyNumberFormat="1" applyFont="1" applyBorder="1" applyProtection="1">
      <protection locked="0"/>
    </xf>
    <xf numFmtId="167" fontId="4" fillId="0" borderId="0" xfId="0" applyNumberFormat="1" applyFont="1" applyProtection="1">
      <protection locked="0"/>
    </xf>
    <xf numFmtId="165" fontId="12" fillId="0" borderId="0" xfId="0" applyNumberFormat="1" applyFont="1" applyBorder="1" applyProtection="1">
      <protection locked="0"/>
    </xf>
    <xf numFmtId="168" fontId="12" fillId="0" borderId="0" xfId="0" applyNumberFormat="1" applyFont="1" applyBorder="1" applyProtection="1">
      <protection locked="0"/>
    </xf>
    <xf numFmtId="168" fontId="1" fillId="0" borderId="0" xfId="0" applyNumberFormat="1" applyFont="1" applyBorder="1" applyProtection="1">
      <protection locked="0"/>
    </xf>
    <xf numFmtId="9" fontId="12" fillId="0" borderId="0" xfId="1" applyFont="1" applyBorder="1" applyAlignment="1" applyProtection="1">
      <alignment horizontal="center"/>
      <protection locked="0"/>
    </xf>
    <xf numFmtId="9" fontId="1" fillId="0" borderId="0" xfId="1" applyFont="1" applyBorder="1" applyAlignment="1" applyProtection="1">
      <alignment horizontal="center"/>
      <protection locked="0"/>
    </xf>
    <xf numFmtId="165" fontId="1" fillId="0" borderId="0" xfId="0" applyNumberFormat="1" applyFont="1" applyBorder="1"/>
    <xf numFmtId="168" fontId="2" fillId="0" borderId="8" xfId="0" applyNumberFormat="1" applyFont="1" applyBorder="1" applyAlignment="1" applyProtection="1">
      <alignment horizontal="left"/>
      <protection locked="0"/>
    </xf>
    <xf numFmtId="9" fontId="1" fillId="0" borderId="4" xfId="1" applyFont="1" applyBorder="1" applyProtection="1"/>
    <xf numFmtId="9" fontId="12" fillId="0" borderId="0" xfId="1" applyFont="1" applyBorder="1" applyProtection="1"/>
    <xf numFmtId="9" fontId="2" fillId="0" borderId="0" xfId="1" applyFont="1" applyBorder="1" applyProtection="1"/>
    <xf numFmtId="9" fontId="1" fillId="0" borderId="0" xfId="1" applyFont="1" applyBorder="1"/>
    <xf numFmtId="168" fontId="1" fillId="0" borderId="0" xfId="0" applyNumberFormat="1" applyFont="1"/>
    <xf numFmtId="0" fontId="3" fillId="0" borderId="8" xfId="0" applyFont="1" applyBorder="1" applyAlignment="1" applyProtection="1">
      <alignment horizontal="center"/>
      <protection locked="0"/>
    </xf>
    <xf numFmtId="11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center"/>
    </xf>
    <xf numFmtId="11" fontId="8" fillId="0" borderId="0" xfId="0" applyNumberFormat="1" applyFont="1"/>
    <xf numFmtId="11" fontId="1" fillId="0" borderId="0" xfId="0" applyNumberFormat="1" applyFont="1"/>
    <xf numFmtId="11" fontId="1" fillId="0" borderId="0" xfId="0" applyNumberFormat="1" applyFont="1" applyBorder="1" applyAlignment="1">
      <alignment horizontal="center"/>
    </xf>
    <xf numFmtId="11" fontId="3" fillId="0" borderId="8" xfId="0" applyNumberFormat="1" applyFont="1" applyBorder="1" applyAlignment="1" applyProtection="1">
      <alignment horizontal="center"/>
      <protection locked="0"/>
    </xf>
    <xf numFmtId="11" fontId="1" fillId="0" borderId="0" xfId="0" applyNumberFormat="1" applyFont="1" applyBorder="1" applyAlignment="1" applyProtection="1">
      <alignment horizontal="center"/>
      <protection locked="0"/>
    </xf>
    <xf numFmtId="169" fontId="1" fillId="0" borderId="4" xfId="1" applyNumberFormat="1" applyFont="1" applyBorder="1" applyAlignment="1" applyProtection="1">
      <alignment horizontal="center"/>
      <protection locked="0"/>
    </xf>
    <xf numFmtId="169" fontId="1" fillId="0" borderId="16" xfId="1" applyNumberFormat="1" applyFont="1" applyBorder="1" applyAlignment="1" applyProtection="1">
      <alignment horizontal="center"/>
      <protection locked="0"/>
    </xf>
    <xf numFmtId="169" fontId="1" fillId="0" borderId="0" xfId="1" applyNumberFormat="1" applyFont="1" applyBorder="1" applyAlignment="1" applyProtection="1">
      <alignment horizontal="center"/>
      <protection locked="0"/>
    </xf>
    <xf numFmtId="169" fontId="1" fillId="0" borderId="0" xfId="0" applyNumberFormat="1" applyFont="1" applyBorder="1" applyAlignment="1">
      <alignment horizontal="center"/>
    </xf>
    <xf numFmtId="169" fontId="1" fillId="0" borderId="0" xfId="0" applyNumberFormat="1" applyFont="1"/>
    <xf numFmtId="169" fontId="1" fillId="0" borderId="14" xfId="1" applyNumberFormat="1" applyFont="1" applyBorder="1" applyAlignment="1" applyProtection="1">
      <alignment horizontal="center"/>
      <protection locked="0"/>
    </xf>
    <xf numFmtId="169" fontId="1" fillId="0" borderId="1" xfId="1" applyNumberFormat="1" applyFont="1" applyBorder="1" applyAlignment="1" applyProtection="1">
      <alignment horizontal="center"/>
      <protection locked="0"/>
    </xf>
    <xf numFmtId="169" fontId="1" fillId="0" borderId="2" xfId="1" applyNumberFormat="1" applyFont="1" applyBorder="1"/>
    <xf numFmtId="169" fontId="1" fillId="0" borderId="0" xfId="1" applyNumberFormat="1" applyFont="1" applyBorder="1" applyAlignment="1">
      <alignment horizontal="center"/>
    </xf>
    <xf numFmtId="169" fontId="1" fillId="0" borderId="0" xfId="1" applyNumberFormat="1" applyFont="1"/>
    <xf numFmtId="169" fontId="1" fillId="0" borderId="2" xfId="1" applyNumberFormat="1" applyFont="1" applyBorder="1" applyAlignment="1" applyProtection="1">
      <alignment horizontal="center"/>
      <protection locked="0"/>
    </xf>
    <xf numFmtId="169" fontId="1" fillId="0" borderId="0" xfId="1" applyNumberFormat="1" applyFont="1" applyBorder="1"/>
    <xf numFmtId="165" fontId="1" fillId="0" borderId="9" xfId="0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5" xfId="0" applyNumberFormat="1" applyFont="1" applyBorder="1" applyAlignment="1" applyProtection="1">
      <alignment horizontal="center"/>
      <protection locked="0"/>
    </xf>
    <xf numFmtId="165" fontId="1" fillId="0" borderId="16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Border="1" applyAlignment="1" applyProtection="1">
      <alignment horizontal="center"/>
      <protection locked="0"/>
    </xf>
    <xf numFmtId="169" fontId="1" fillId="0" borderId="6" xfId="1" applyNumberFormat="1" applyFont="1" applyBorder="1" applyAlignment="1" applyProtection="1">
      <alignment horizontal="center"/>
      <protection locked="0"/>
    </xf>
    <xf numFmtId="165" fontId="1" fillId="0" borderId="6" xfId="0" applyNumberFormat="1" applyFont="1" applyBorder="1" applyAlignment="1" applyProtection="1">
      <alignment horizontal="center"/>
      <protection locked="0"/>
    </xf>
    <xf numFmtId="164" fontId="1" fillId="0" borderId="16" xfId="0" applyNumberFormat="1" applyFont="1" applyBorder="1" applyAlignment="1" applyProtection="1">
      <alignment horizontal="center"/>
      <protection locked="0"/>
    </xf>
    <xf numFmtId="0" fontId="8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165" fontId="1" fillId="0" borderId="0" xfId="0" applyNumberFormat="1" applyFont="1" applyFill="1" applyBorder="1" applyProtection="1">
      <protection locked="0"/>
    </xf>
    <xf numFmtId="169" fontId="12" fillId="0" borderId="0" xfId="1" applyNumberFormat="1" applyFont="1" applyBorder="1" applyAlignment="1">
      <alignment horizontal="center"/>
    </xf>
    <xf numFmtId="169" fontId="5" fillId="0" borderId="2" xfId="1" applyNumberFormat="1" applyFont="1" applyBorder="1" applyAlignment="1"/>
    <xf numFmtId="169" fontId="2" fillId="2" borderId="9" xfId="1" applyNumberFormat="1" applyFont="1" applyFill="1" applyBorder="1" applyAlignment="1">
      <alignment horizontal="center"/>
    </xf>
    <xf numFmtId="169" fontId="2" fillId="2" borderId="2" xfId="1" applyNumberFormat="1" applyFont="1" applyFill="1" applyBorder="1" applyAlignment="1">
      <alignment horizontal="center"/>
    </xf>
    <xf numFmtId="169" fontId="1" fillId="2" borderId="9" xfId="1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/>
    <xf numFmtId="165" fontId="1" fillId="0" borderId="0" xfId="0" applyNumberFormat="1" applyFont="1" applyBorder="1" applyAlignment="1" applyProtection="1"/>
    <xf numFmtId="169" fontId="1" fillId="0" borderId="0" xfId="1" applyNumberFormat="1" applyFont="1" applyFill="1" applyBorder="1" applyAlignment="1" applyProtection="1">
      <alignment horizontal="center"/>
      <protection locked="0"/>
    </xf>
    <xf numFmtId="9" fontId="1" fillId="0" borderId="13" xfId="1" applyFont="1" applyFill="1" applyBorder="1" applyProtection="1"/>
    <xf numFmtId="0" fontId="1" fillId="0" borderId="13" xfId="0" applyFont="1" applyFill="1" applyBorder="1" applyAlignment="1" applyProtection="1">
      <alignment horizontal="center"/>
      <protection locked="0"/>
    </xf>
    <xf numFmtId="169" fontId="1" fillId="0" borderId="13" xfId="1" applyNumberFormat="1" applyFont="1" applyFill="1" applyBorder="1" applyAlignment="1" applyProtection="1">
      <alignment horizontal="center"/>
      <protection locked="0"/>
    </xf>
    <xf numFmtId="10" fontId="1" fillId="0" borderId="0" xfId="1" applyNumberFormat="1" applyFont="1" applyFill="1" applyBorder="1" applyAlignment="1" applyProtection="1">
      <alignment horizontal="center"/>
      <protection locked="0"/>
    </xf>
    <xf numFmtId="11" fontId="17" fillId="0" borderId="0" xfId="0" applyNumberFormat="1" applyFont="1" applyAlignment="1" applyProtection="1">
      <alignment horizontal="left" vertical="top"/>
      <protection locked="0"/>
    </xf>
    <xf numFmtId="0" fontId="18" fillId="0" borderId="0" xfId="0" applyFont="1"/>
    <xf numFmtId="0" fontId="3" fillId="0" borderId="8" xfId="0" applyFont="1" applyBorder="1" applyProtection="1"/>
    <xf numFmtId="0" fontId="3" fillId="0" borderId="0" xfId="0" applyFont="1"/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167" fontId="19" fillId="0" borderId="0" xfId="0" applyNumberFormat="1" applyFont="1" applyBorder="1" applyAlignment="1" applyProtection="1">
      <alignment horizontal="center"/>
      <protection locked="0"/>
    </xf>
    <xf numFmtId="167" fontId="19" fillId="0" borderId="0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3" fillId="0" borderId="8" xfId="0" applyFont="1" applyBorder="1" applyAlignment="1" applyProtection="1"/>
    <xf numFmtId="165" fontId="1" fillId="0" borderId="13" xfId="0" applyNumberFormat="1" applyFont="1" applyFill="1" applyBorder="1" applyAlignment="1" applyProtection="1">
      <alignment horizontal="center"/>
      <protection locked="0"/>
    </xf>
    <xf numFmtId="165" fontId="1" fillId="0" borderId="0" xfId="0" applyNumberFormat="1" applyFont="1" applyAlignment="1">
      <alignment horizontal="center"/>
    </xf>
    <xf numFmtId="165" fontId="18" fillId="0" borderId="0" xfId="0" applyNumberFormat="1" applyFont="1" applyBorder="1" applyProtection="1">
      <protection locked="0"/>
    </xf>
    <xf numFmtId="168" fontId="18" fillId="0" borderId="0" xfId="0" applyNumberFormat="1" applyFont="1" applyBorder="1" applyProtection="1">
      <protection locked="0"/>
    </xf>
    <xf numFmtId="9" fontId="18" fillId="0" borderId="0" xfId="1" applyFont="1" applyBorder="1" applyAlignment="1" applyProtection="1">
      <alignment horizontal="center"/>
      <protection locked="0"/>
    </xf>
    <xf numFmtId="14" fontId="3" fillId="0" borderId="0" xfId="0" applyNumberFormat="1" applyFont="1" applyBorder="1" applyAlignment="1" applyProtection="1"/>
    <xf numFmtId="165" fontId="18" fillId="0" borderId="0" xfId="0" applyNumberFormat="1" applyFont="1" applyBorder="1" applyProtection="1"/>
    <xf numFmtId="164" fontId="18" fillId="0" borderId="0" xfId="0" applyNumberFormat="1" applyFont="1" applyBorder="1" applyProtection="1"/>
    <xf numFmtId="14" fontId="18" fillId="0" borderId="0" xfId="0" applyNumberFormat="1" applyFont="1" applyBorder="1" applyProtection="1"/>
    <xf numFmtId="11" fontId="18" fillId="0" borderId="0" xfId="0" applyNumberFormat="1" applyFont="1" applyBorder="1"/>
    <xf numFmtId="11" fontId="18" fillId="0" borderId="0" xfId="1" applyNumberFormat="1" applyFont="1" applyBorder="1" applyAlignment="1" applyProtection="1">
      <alignment horizontal="center"/>
      <protection locked="0"/>
    </xf>
    <xf numFmtId="11" fontId="18" fillId="0" borderId="0" xfId="0" applyNumberFormat="1" applyFont="1" applyBorder="1" applyProtection="1">
      <protection locked="0"/>
    </xf>
    <xf numFmtId="169" fontId="1" fillId="0" borderId="9" xfId="1" applyNumberFormat="1" applyFont="1" applyBorder="1" applyAlignment="1" applyProtection="1">
      <alignment horizontal="center"/>
      <protection locked="0"/>
    </xf>
    <xf numFmtId="169" fontId="1" fillId="0" borderId="10" xfId="1" applyNumberFormat="1" applyFont="1" applyBorder="1" applyAlignment="1" applyProtection="1">
      <alignment horizontal="center"/>
      <protection locked="0"/>
    </xf>
    <xf numFmtId="169" fontId="1" fillId="0" borderId="15" xfId="1" applyNumberFormat="1" applyFont="1" applyBorder="1" applyAlignment="1" applyProtection="1">
      <alignment horizontal="center"/>
      <protection locked="0"/>
    </xf>
    <xf numFmtId="169" fontId="1" fillId="0" borderId="17" xfId="1" applyNumberFormat="1" applyFont="1" applyBorder="1" applyAlignment="1" applyProtection="1">
      <alignment horizontal="center"/>
      <protection locked="0"/>
    </xf>
    <xf numFmtId="165" fontId="1" fillId="0" borderId="11" xfId="0" applyNumberFormat="1" applyFont="1" applyBorder="1" applyAlignment="1" applyProtection="1">
      <alignment horizontal="center"/>
      <protection locked="0"/>
    </xf>
    <xf numFmtId="165" fontId="1" fillId="0" borderId="9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0" fontId="1" fillId="0" borderId="8" xfId="1" applyNumberFormat="1" applyFont="1" applyFill="1" applyBorder="1" applyAlignment="1" applyProtection="1">
      <alignment horizontal="center"/>
      <protection locked="0"/>
    </xf>
    <xf numFmtId="169" fontId="3" fillId="0" borderId="8" xfId="1" applyNumberFormat="1" applyFont="1" applyBorder="1" applyAlignment="1" applyProtection="1">
      <alignment horizontal="right"/>
      <protection locked="0"/>
    </xf>
    <xf numFmtId="169" fontId="1" fillId="0" borderId="11" xfId="1" applyNumberFormat="1" applyFont="1" applyBorder="1" applyAlignment="1" applyProtection="1">
      <alignment horizontal="center"/>
      <protection locked="0"/>
    </xf>
    <xf numFmtId="169" fontId="1" fillId="0" borderId="12" xfId="1" applyNumberFormat="1" applyFont="1" applyBorder="1" applyAlignment="1" applyProtection="1">
      <alignment horizontal="center"/>
      <protection locked="0"/>
    </xf>
    <xf numFmtId="169" fontId="1" fillId="0" borderId="11" xfId="1" applyNumberFormat="1" applyFont="1" applyBorder="1" applyAlignment="1">
      <alignment horizontal="center"/>
    </xf>
    <xf numFmtId="169" fontId="1" fillId="0" borderId="6" xfId="1" applyNumberFormat="1" applyFont="1" applyBorder="1" applyAlignment="1">
      <alignment horizontal="center"/>
    </xf>
    <xf numFmtId="169" fontId="1" fillId="0" borderId="11" xfId="0" applyNumberFormat="1" applyFont="1" applyBorder="1" applyAlignment="1">
      <alignment horizontal="center"/>
    </xf>
    <xf numFmtId="169" fontId="1" fillId="0" borderId="6" xfId="0" applyNumberFormat="1" applyFont="1" applyBorder="1" applyAlignment="1">
      <alignment horizontal="center"/>
    </xf>
    <xf numFmtId="169" fontId="1" fillId="0" borderId="12" xfId="1" applyNumberFormat="1" applyFont="1" applyBorder="1" applyAlignment="1">
      <alignment horizontal="center"/>
    </xf>
    <xf numFmtId="169" fontId="1" fillId="0" borderId="12" xfId="0" applyNumberFormat="1" applyFont="1" applyBorder="1" applyAlignment="1">
      <alignment horizontal="center"/>
    </xf>
    <xf numFmtId="169" fontId="1" fillId="0" borderId="15" xfId="0" applyNumberFormat="1" applyFont="1" applyBorder="1" applyAlignment="1">
      <alignment horizontal="center"/>
    </xf>
    <xf numFmtId="169" fontId="1" fillId="0" borderId="16" xfId="0" applyNumberFormat="1" applyFont="1" applyBorder="1" applyAlignment="1">
      <alignment horizontal="center"/>
    </xf>
    <xf numFmtId="169" fontId="1" fillId="0" borderId="17" xfId="0" applyNumberFormat="1" applyFont="1" applyBorder="1" applyAlignment="1">
      <alignment horizontal="center"/>
    </xf>
    <xf numFmtId="168" fontId="2" fillId="0" borderId="0" xfId="0" applyNumberFormat="1" applyFont="1" applyBorder="1" applyAlignment="1" applyProtection="1">
      <alignment horizontal="left"/>
      <protection locked="0"/>
    </xf>
    <xf numFmtId="14" fontId="1" fillId="0" borderId="13" xfId="0" applyNumberFormat="1" applyFont="1" applyFill="1" applyBorder="1" applyProtection="1">
      <protection locked="0"/>
    </xf>
    <xf numFmtId="165" fontId="1" fillId="0" borderId="13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left"/>
      <protection locked="0"/>
    </xf>
    <xf numFmtId="166" fontId="1" fillId="0" borderId="13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9" fontId="1" fillId="0" borderId="13" xfId="1" applyFont="1" applyFill="1" applyBorder="1" applyAlignment="1" applyProtection="1">
      <alignment horizontal="center"/>
      <protection locked="0"/>
    </xf>
    <xf numFmtId="168" fontId="1" fillId="0" borderId="13" xfId="0" applyNumberFormat="1" applyFont="1" applyFill="1" applyBorder="1" applyProtection="1">
      <protection locked="0"/>
    </xf>
    <xf numFmtId="165" fontId="3" fillId="0" borderId="0" xfId="0" applyNumberFormat="1" applyFont="1" applyBorder="1" applyAlignment="1" applyProtection="1">
      <alignment horizontal="left" vertical="top"/>
      <protection locked="0"/>
    </xf>
    <xf numFmtId="2" fontId="1" fillId="0" borderId="4" xfId="1" applyNumberFormat="1" applyFont="1" applyBorder="1" applyAlignment="1" applyProtection="1">
      <alignment horizontal="center"/>
      <protection locked="0"/>
    </xf>
    <xf numFmtId="11" fontId="3" fillId="0" borderId="0" xfId="0" applyNumberFormat="1" applyFont="1" applyBorder="1" applyAlignment="1" applyProtection="1">
      <alignment horizontal="center"/>
      <protection locked="0"/>
    </xf>
    <xf numFmtId="168" fontId="1" fillId="0" borderId="6" xfId="1" applyNumberFormat="1" applyFont="1" applyBorder="1" applyAlignment="1" applyProtection="1">
      <alignment horizontal="center"/>
      <protection locked="0"/>
    </xf>
    <xf numFmtId="170" fontId="1" fillId="0" borderId="6" xfId="1" applyNumberFormat="1" applyFont="1" applyBorder="1" applyAlignment="1" applyProtection="1">
      <alignment horizontal="center"/>
      <protection locked="0"/>
    </xf>
    <xf numFmtId="170" fontId="1" fillId="0" borderId="12" xfId="1" applyNumberFormat="1" applyFont="1" applyBorder="1" applyAlignment="1" applyProtection="1">
      <alignment horizontal="center"/>
      <protection locked="0"/>
    </xf>
    <xf numFmtId="168" fontId="1" fillId="0" borderId="12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right"/>
      <protection locked="0"/>
    </xf>
    <xf numFmtId="167" fontId="4" fillId="0" borderId="8" xfId="0" applyNumberFormat="1" applyFont="1" applyBorder="1" applyAlignment="1" applyProtection="1">
      <alignment horizontal="right"/>
      <protection locked="0"/>
    </xf>
    <xf numFmtId="0" fontId="1" fillId="0" borderId="10" xfId="0" applyFont="1" applyBorder="1" applyAlignment="1" applyProtection="1">
      <alignment horizontal="right"/>
      <protection locked="0"/>
    </xf>
    <xf numFmtId="0" fontId="1" fillId="0" borderId="12" xfId="0" applyFont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left"/>
      <protection locked="0"/>
    </xf>
    <xf numFmtId="169" fontId="1" fillId="0" borderId="4" xfId="0" applyNumberFormat="1" applyFont="1" applyBorder="1" applyAlignment="1" applyProtection="1">
      <alignment horizontal="center"/>
      <protection locked="0"/>
    </xf>
    <xf numFmtId="11" fontId="3" fillId="0" borderId="0" xfId="0" applyNumberFormat="1" applyFont="1" applyBorder="1" applyAlignment="1" applyProtection="1">
      <alignment horizontal="left" vertical="top"/>
      <protection locked="0"/>
    </xf>
    <xf numFmtId="10" fontId="3" fillId="0" borderId="8" xfId="0" applyNumberFormat="1" applyFont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169" fontId="1" fillId="0" borderId="18" xfId="1" applyNumberFormat="1" applyFont="1" applyBorder="1" applyAlignment="1" applyProtection="1">
      <alignment horizontal="center"/>
      <protection locked="0"/>
    </xf>
    <xf numFmtId="165" fontId="1" fillId="0" borderId="12" xfId="0" applyNumberFormat="1" applyFont="1" applyBorder="1" applyAlignment="1" applyProtection="1">
      <alignment horizontal="center"/>
      <protection locked="0"/>
    </xf>
    <xf numFmtId="165" fontId="1" fillId="0" borderId="10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165" fontId="1" fillId="0" borderId="18" xfId="0" applyNumberFormat="1" applyFont="1" applyBorder="1" applyAlignment="1" applyProtection="1">
      <alignment horizontal="center"/>
      <protection locked="0"/>
    </xf>
    <xf numFmtId="9" fontId="1" fillId="0" borderId="6" xfId="1" applyFont="1" applyBorder="1" applyProtection="1"/>
    <xf numFmtId="169" fontId="1" fillId="0" borderId="6" xfId="0" applyNumberFormat="1" applyFont="1" applyBorder="1" applyAlignment="1" applyProtection="1">
      <alignment horizontal="center"/>
      <protection locked="0"/>
    </xf>
    <xf numFmtId="169" fontId="1" fillId="0" borderId="12" xfId="0" applyNumberFormat="1" applyFont="1" applyBorder="1" applyAlignment="1" applyProtection="1">
      <alignment horizontal="center"/>
      <protection locked="0"/>
    </xf>
    <xf numFmtId="169" fontId="1" fillId="0" borderId="10" xfId="0" applyNumberFormat="1" applyFont="1" applyBorder="1" applyAlignment="1" applyProtection="1">
      <alignment horizontal="center"/>
      <protection locked="0"/>
    </xf>
    <xf numFmtId="11" fontId="3" fillId="0" borderId="0" xfId="0" applyNumberFormat="1" applyFont="1" applyBorder="1" applyAlignment="1" applyProtection="1">
      <alignment horizontal="left" vertical="top"/>
      <protection locked="0"/>
    </xf>
    <xf numFmtId="169" fontId="0" fillId="0" borderId="0" xfId="1" applyNumberFormat="1" applyFont="1"/>
    <xf numFmtId="11" fontId="3" fillId="0" borderId="0" xfId="0" applyNumberFormat="1" applyFont="1" applyBorder="1" applyAlignment="1" applyProtection="1">
      <alignment vertical="top"/>
      <protection locked="0"/>
    </xf>
    <xf numFmtId="165" fontId="18" fillId="0" borderId="0" xfId="0" applyNumberFormat="1" applyFont="1" applyBorder="1" applyAlignment="1" applyProtection="1">
      <alignment vertical="top"/>
      <protection locked="0"/>
    </xf>
    <xf numFmtId="0" fontId="24" fillId="0" borderId="0" xfId="0" applyFont="1"/>
    <xf numFmtId="0" fontId="24" fillId="0" borderId="1" xfId="0" applyFont="1" applyBorder="1"/>
    <xf numFmtId="0" fontId="26" fillId="0" borderId="0" xfId="0" applyFont="1"/>
    <xf numFmtId="0" fontId="0" fillId="0" borderId="1" xfId="0" applyBorder="1"/>
    <xf numFmtId="0" fontId="27" fillId="0" borderId="0" xfId="2" applyAlignment="1">
      <alignment horizontal="right"/>
    </xf>
    <xf numFmtId="0" fontId="27" fillId="0" borderId="0" xfId="2"/>
    <xf numFmtId="0" fontId="28" fillId="0" borderId="0" xfId="2" applyFont="1" applyAlignment="1">
      <alignment horizontal="center"/>
    </xf>
    <xf numFmtId="11" fontId="28" fillId="0" borderId="0" xfId="2" applyNumberFormat="1" applyFont="1" applyAlignment="1">
      <alignment horizontal="center"/>
    </xf>
    <xf numFmtId="0" fontId="27" fillId="0" borderId="20" xfId="2" applyBorder="1"/>
    <xf numFmtId="0" fontId="28" fillId="0" borderId="0" xfId="2" applyFont="1" applyAlignment="1">
      <alignment horizontal="right"/>
    </xf>
    <xf numFmtId="168" fontId="27" fillId="0" borderId="20" xfId="2" applyNumberFormat="1" applyBorder="1"/>
    <xf numFmtId="0" fontId="0" fillId="0" borderId="0" xfId="0" applyAlignment="1">
      <alignment horizontal="center"/>
    </xf>
    <xf numFmtId="165" fontId="29" fillId="0" borderId="21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165" fontId="29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165" fontId="29" fillId="0" borderId="2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4" fillId="0" borderId="31" xfId="0" applyFont="1" applyBorder="1" applyAlignment="1">
      <alignment horizontal="center"/>
    </xf>
    <xf numFmtId="2" fontId="29" fillId="0" borderId="21" xfId="0" applyNumberFormat="1" applyFont="1" applyBorder="1" applyAlignment="1">
      <alignment horizontal="center"/>
    </xf>
    <xf numFmtId="0" fontId="29" fillId="0" borderId="33" xfId="0" applyFont="1" applyBorder="1" applyAlignment="1">
      <alignment horizontal="center"/>
    </xf>
    <xf numFmtId="165" fontId="29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26" fillId="0" borderId="0" xfId="0" applyFont="1" applyAlignment="1">
      <alignment horizontal="left"/>
    </xf>
    <xf numFmtId="169" fontId="29" fillId="0" borderId="39" xfId="1" applyNumberFormat="1" applyFont="1" applyBorder="1" applyAlignment="1">
      <alignment horizontal="center"/>
    </xf>
    <xf numFmtId="169" fontId="29" fillId="0" borderId="40" xfId="1" applyNumberFormat="1" applyFont="1" applyBorder="1" applyAlignment="1">
      <alignment horizontal="center"/>
    </xf>
    <xf numFmtId="169" fontId="29" fillId="0" borderId="41" xfId="1" applyNumberFormat="1" applyFont="1" applyBorder="1" applyAlignment="1">
      <alignment horizontal="center"/>
    </xf>
    <xf numFmtId="169" fontId="29" fillId="0" borderId="42" xfId="1" applyNumberFormat="1" applyFont="1" applyBorder="1" applyAlignment="1">
      <alignment horizontal="center"/>
    </xf>
    <xf numFmtId="169" fontId="0" fillId="0" borderId="2" xfId="0" applyNumberFormat="1" applyBorder="1"/>
    <xf numFmtId="0" fontId="0" fillId="0" borderId="2" xfId="0" applyBorder="1"/>
    <xf numFmtId="0" fontId="0" fillId="0" borderId="19" xfId="0" applyBorder="1"/>
    <xf numFmtId="0" fontId="24" fillId="0" borderId="37" xfId="0" applyFont="1" applyBorder="1" applyAlignment="1">
      <alignment horizontal="center" vertical="top" wrapText="1"/>
    </xf>
    <xf numFmtId="0" fontId="24" fillId="0" borderId="36" xfId="0" applyFont="1" applyBorder="1" applyAlignment="1">
      <alignment horizontal="center" vertical="top" wrapText="1"/>
    </xf>
    <xf numFmtId="0" fontId="24" fillId="0" borderId="38" xfId="0" applyFont="1" applyBorder="1" applyAlignment="1">
      <alignment horizontal="center" vertical="top" wrapText="1"/>
    </xf>
    <xf numFmtId="0" fontId="24" fillId="0" borderId="43" xfId="0" applyFont="1" applyBorder="1" applyAlignment="1">
      <alignment horizontal="center" vertical="top" wrapText="1"/>
    </xf>
    <xf numFmtId="0" fontId="11" fillId="0" borderId="0" xfId="0" applyFont="1"/>
    <xf numFmtId="14" fontId="12" fillId="0" borderId="0" xfId="0" applyNumberFormat="1" applyFont="1"/>
    <xf numFmtId="165" fontId="12" fillId="0" borderId="0" xfId="0" applyNumberFormat="1" applyFont="1"/>
    <xf numFmtId="166" fontId="12" fillId="0" borderId="0" xfId="0" applyNumberFormat="1" applyFont="1"/>
    <xf numFmtId="164" fontId="12" fillId="0" borderId="0" xfId="0" applyNumberFormat="1" applyFont="1"/>
    <xf numFmtId="168" fontId="12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8" xfId="0" applyFont="1" applyBorder="1"/>
    <xf numFmtId="0" fontId="4" fillId="0" borderId="8" xfId="0" applyFont="1" applyBorder="1" applyAlignment="1">
      <alignment horizontal="left" vertical="top"/>
    </xf>
    <xf numFmtId="0" fontId="15" fillId="0" borderId="0" xfId="0" applyFont="1"/>
    <xf numFmtId="0" fontId="15" fillId="0" borderId="8" xfId="0" applyFont="1" applyBorder="1"/>
    <xf numFmtId="167" fontId="6" fillId="0" borderId="0" xfId="0" applyNumberFormat="1" applyFont="1"/>
    <xf numFmtId="167" fontId="2" fillId="0" borderId="8" xfId="0" applyNumberFormat="1" applyFont="1" applyBorder="1" applyAlignment="1">
      <alignment horizontal="center"/>
    </xf>
    <xf numFmtId="167" fontId="19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/>
    <xf numFmtId="0" fontId="2" fillId="0" borderId="8" xfId="0" applyFont="1" applyBorder="1"/>
    <xf numFmtId="14" fontId="2" fillId="0" borderId="2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6" fontId="2" fillId="0" borderId="0" xfId="0" applyNumberFormat="1" applyFont="1"/>
    <xf numFmtId="164" fontId="2" fillId="0" borderId="0" xfId="0" applyNumberFormat="1" applyFont="1"/>
    <xf numFmtId="168" fontId="2" fillId="0" borderId="0" xfId="0" applyNumberFormat="1" applyFont="1"/>
    <xf numFmtId="168" fontId="2" fillId="0" borderId="8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8" fillId="0" borderId="4" xfId="0" applyFont="1" applyBorder="1"/>
    <xf numFmtId="0" fontId="1" fillId="0" borderId="10" xfId="0" applyFont="1" applyBorder="1"/>
    <xf numFmtId="14" fontId="1" fillId="0" borderId="9" xfId="0" applyNumberFormat="1" applyFont="1" applyBorder="1"/>
    <xf numFmtId="165" fontId="1" fillId="0" borderId="4" xfId="0" applyNumberFormat="1" applyFont="1" applyBorder="1"/>
    <xf numFmtId="165" fontId="1" fillId="0" borderId="10" xfId="0" applyNumberFormat="1" applyFont="1" applyBorder="1"/>
    <xf numFmtId="166" fontId="1" fillId="0" borderId="4" xfId="0" applyNumberFormat="1" applyFont="1" applyBorder="1"/>
    <xf numFmtId="164" fontId="1" fillId="0" borderId="4" xfId="0" applyNumberFormat="1" applyFont="1" applyBorder="1"/>
    <xf numFmtId="168" fontId="1" fillId="0" borderId="4" xfId="0" applyNumberFormat="1" applyFont="1" applyBorder="1"/>
    <xf numFmtId="168" fontId="1" fillId="0" borderId="10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8" fillId="0" borderId="6" xfId="0" applyFont="1" applyBorder="1"/>
    <xf numFmtId="0" fontId="1" fillId="0" borderId="12" xfId="0" applyFont="1" applyBorder="1"/>
    <xf numFmtId="14" fontId="1" fillId="0" borderId="11" xfId="0" applyNumberFormat="1" applyFont="1" applyBorder="1"/>
    <xf numFmtId="165" fontId="1" fillId="0" borderId="6" xfId="0" applyNumberFormat="1" applyFont="1" applyBorder="1"/>
    <xf numFmtId="165" fontId="1" fillId="0" borderId="12" xfId="0" applyNumberFormat="1" applyFont="1" applyBorder="1"/>
    <xf numFmtId="166" fontId="1" fillId="0" borderId="6" xfId="0" applyNumberFormat="1" applyFont="1" applyBorder="1"/>
    <xf numFmtId="164" fontId="1" fillId="0" borderId="6" xfId="0" applyNumberFormat="1" applyFont="1" applyBorder="1"/>
    <xf numFmtId="168" fontId="1" fillId="0" borderId="6" xfId="0" applyNumberFormat="1" applyFont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8" fillId="0" borderId="13" xfId="0" applyFont="1" applyBorder="1"/>
    <xf numFmtId="0" fontId="1" fillId="0" borderId="13" xfId="0" applyFont="1" applyBorder="1"/>
    <xf numFmtId="14" fontId="1" fillId="0" borderId="13" xfId="0" applyNumberFormat="1" applyFont="1" applyBorder="1"/>
    <xf numFmtId="165" fontId="1" fillId="0" borderId="13" xfId="0" applyNumberFormat="1" applyFont="1" applyBorder="1"/>
    <xf numFmtId="166" fontId="1" fillId="0" borderId="13" xfId="0" applyNumberFormat="1" applyFont="1" applyBorder="1"/>
    <xf numFmtId="164" fontId="1" fillId="0" borderId="13" xfId="0" applyNumberFormat="1" applyFont="1" applyBorder="1"/>
    <xf numFmtId="168" fontId="1" fillId="0" borderId="13" xfId="0" applyNumberFormat="1" applyFont="1" applyBorder="1"/>
    <xf numFmtId="0" fontId="1" fillId="0" borderId="13" xfId="0" applyFont="1" applyBorder="1" applyAlignment="1" applyProtection="1">
      <alignment horizontal="center"/>
      <protection locked="0"/>
    </xf>
    <xf numFmtId="11" fontId="3" fillId="0" borderId="0" xfId="0" applyNumberFormat="1" applyFont="1" applyProtection="1">
      <protection locked="0"/>
    </xf>
    <xf numFmtId="11" fontId="17" fillId="0" borderId="0" xfId="0" applyNumberFormat="1" applyFont="1" applyAlignment="1" applyProtection="1">
      <alignment vertical="top"/>
      <protection locked="0"/>
    </xf>
    <xf numFmtId="11" fontId="4" fillId="0" borderId="0" xfId="0" applyNumberFormat="1" applyFont="1" applyProtection="1">
      <protection locked="0"/>
    </xf>
    <xf numFmtId="11" fontId="3" fillId="0" borderId="0" xfId="0" applyNumberFormat="1" applyFont="1" applyAlignment="1" applyProtection="1">
      <alignment horizontal="right"/>
      <protection locked="0"/>
    </xf>
    <xf numFmtId="14" fontId="1" fillId="0" borderId="2" xfId="0" applyNumberFormat="1" applyFont="1" applyBorder="1"/>
    <xf numFmtId="14" fontId="3" fillId="0" borderId="0" xfId="0" applyNumberFormat="1" applyFont="1"/>
    <xf numFmtId="2" fontId="1" fillId="0" borderId="0" xfId="0" applyNumberFormat="1" applyFont="1" applyProtection="1">
      <protection locked="0"/>
    </xf>
    <xf numFmtId="11" fontId="1" fillId="0" borderId="0" xfId="0" applyNumberFormat="1" applyFont="1" applyProtection="1">
      <protection locked="0"/>
    </xf>
    <xf numFmtId="0" fontId="18" fillId="0" borderId="8" xfId="0" applyFont="1" applyBorder="1"/>
    <xf numFmtId="0" fontId="3" fillId="0" borderId="8" xfId="0" applyFont="1" applyBorder="1"/>
    <xf numFmtId="2" fontId="1" fillId="0" borderId="0" xfId="0" applyNumberFormat="1" applyFont="1" applyAlignment="1" applyProtection="1">
      <alignment horizontal="center"/>
      <protection locked="0"/>
    </xf>
    <xf numFmtId="11" fontId="1" fillId="0" borderId="0" xfId="0" applyNumberFormat="1" applyFont="1" applyAlignment="1" applyProtection="1">
      <alignment horizontal="center"/>
      <protection locked="0"/>
    </xf>
    <xf numFmtId="171" fontId="29" fillId="0" borderId="0" xfId="0" applyNumberFormat="1" applyFont="1"/>
    <xf numFmtId="10" fontId="29" fillId="0" borderId="0" xfId="1" applyNumberFormat="1" applyFont="1"/>
    <xf numFmtId="0" fontId="29" fillId="0" borderId="0" xfId="0" applyFont="1"/>
    <xf numFmtId="165" fontId="29" fillId="0" borderId="0" xfId="0" applyNumberFormat="1" applyFont="1"/>
    <xf numFmtId="0" fontId="24" fillId="0" borderId="0" xfId="0" applyFont="1" applyAlignment="1">
      <alignment horizontal="center"/>
    </xf>
    <xf numFmtId="171" fontId="29" fillId="0" borderId="44" xfId="0" applyNumberFormat="1" applyFont="1" applyBorder="1"/>
    <xf numFmtId="171" fontId="29" fillId="0" borderId="45" xfId="0" applyNumberFormat="1" applyFont="1" applyBorder="1"/>
    <xf numFmtId="171" fontId="29" fillId="0" borderId="46" xfId="0" applyNumberFormat="1" applyFont="1" applyBorder="1"/>
    <xf numFmtId="168" fontId="29" fillId="0" borderId="47" xfId="0" applyNumberFormat="1" applyFont="1" applyBorder="1"/>
    <xf numFmtId="0" fontId="29" fillId="0" borderId="48" xfId="0" applyFont="1" applyBorder="1"/>
    <xf numFmtId="16" fontId="29" fillId="0" borderId="49" xfId="0" applyNumberFormat="1" applyFont="1" applyBorder="1"/>
    <xf numFmtId="169" fontId="29" fillId="0" borderId="50" xfId="1" applyNumberFormat="1" applyFont="1" applyBorder="1"/>
    <xf numFmtId="0" fontId="29" fillId="0" borderId="45" xfId="0" applyFont="1" applyBorder="1"/>
    <xf numFmtId="165" fontId="29" fillId="0" borderId="45" xfId="0" applyNumberFormat="1" applyFont="1" applyBorder="1"/>
    <xf numFmtId="0" fontId="0" fillId="0" borderId="45" xfId="0" applyBorder="1" applyAlignment="1">
      <alignment horizontal="center"/>
    </xf>
    <xf numFmtId="0" fontId="0" fillId="0" borderId="45" xfId="0" applyBorder="1"/>
    <xf numFmtId="0" fontId="24" fillId="0" borderId="51" xfId="0" applyFont="1" applyBorder="1" applyAlignment="1">
      <alignment horizontal="center"/>
    </xf>
    <xf numFmtId="171" fontId="29" fillId="0" borderId="52" xfId="0" applyNumberFormat="1" applyFont="1" applyBorder="1"/>
    <xf numFmtId="171" fontId="29" fillId="0" borderId="21" xfId="0" applyNumberFormat="1" applyFont="1" applyBorder="1"/>
    <xf numFmtId="171" fontId="29" fillId="0" borderId="24" xfId="0" applyNumberFormat="1" applyFont="1" applyBorder="1"/>
    <xf numFmtId="16" fontId="29" fillId="0" borderId="53" xfId="0" applyNumberFormat="1" applyFont="1" applyBorder="1" applyAlignment="1">
      <alignment horizontal="right"/>
    </xf>
    <xf numFmtId="16" fontId="29" fillId="0" borderId="54" xfId="0" applyNumberFormat="1" applyFont="1" applyBorder="1" applyAlignment="1">
      <alignment horizontal="right"/>
    </xf>
    <xf numFmtId="165" fontId="29" fillId="0" borderId="21" xfId="0" applyNumberFormat="1" applyFont="1" applyBorder="1"/>
    <xf numFmtId="0" fontId="29" fillId="0" borderId="21" xfId="0" applyFont="1" applyBorder="1"/>
    <xf numFmtId="16" fontId="0" fillId="0" borderId="21" xfId="0" applyNumberFormat="1" applyBorder="1"/>
    <xf numFmtId="20" fontId="0" fillId="0" borderId="21" xfId="0" applyNumberFormat="1" applyBorder="1"/>
    <xf numFmtId="0" fontId="24" fillId="0" borderId="55" xfId="0" applyFont="1" applyBorder="1" applyAlignment="1">
      <alignment horizontal="center"/>
    </xf>
    <xf numFmtId="168" fontId="29" fillId="0" borderId="56" xfId="0" applyNumberFormat="1" applyFont="1" applyBorder="1"/>
    <xf numFmtId="21" fontId="29" fillId="0" borderId="57" xfId="0" applyNumberFormat="1" applyFont="1" applyBorder="1"/>
    <xf numFmtId="16" fontId="29" fillId="0" borderId="54" xfId="0" applyNumberFormat="1" applyFont="1" applyBorder="1"/>
    <xf numFmtId="169" fontId="29" fillId="0" borderId="23" xfId="1" applyNumberFormat="1" applyFont="1" applyBorder="1"/>
    <xf numFmtId="171" fontId="29" fillId="0" borderId="58" xfId="0" applyNumberFormat="1" applyFont="1" applyBorder="1"/>
    <xf numFmtId="171" fontId="29" fillId="0" borderId="33" xfId="0" applyNumberFormat="1" applyFont="1" applyBorder="1"/>
    <xf numFmtId="171" fontId="29" fillId="0" borderId="34" xfId="0" applyNumberFormat="1" applyFont="1" applyBorder="1"/>
    <xf numFmtId="168" fontId="29" fillId="0" borderId="59" xfId="0" applyNumberFormat="1" applyFont="1" applyBorder="1"/>
    <xf numFmtId="21" fontId="29" fillId="0" borderId="60" xfId="0" applyNumberFormat="1" applyFont="1" applyBorder="1"/>
    <xf numFmtId="16" fontId="29" fillId="0" borderId="61" xfId="0" applyNumberFormat="1" applyFont="1" applyBorder="1"/>
    <xf numFmtId="169" fontId="29" fillId="0" borderId="32" xfId="1" applyNumberFormat="1" applyFont="1" applyBorder="1"/>
    <xf numFmtId="0" fontId="29" fillId="0" borderId="33" xfId="0" applyFont="1" applyBorder="1"/>
    <xf numFmtId="165" fontId="29" fillId="0" borderId="33" xfId="0" applyNumberFormat="1" applyFont="1" applyBorder="1"/>
    <xf numFmtId="16" fontId="0" fillId="0" borderId="33" xfId="0" applyNumberFormat="1" applyBorder="1"/>
    <xf numFmtId="0" fontId="0" fillId="0" borderId="33" xfId="0" applyBorder="1" applyAlignment="1">
      <alignment horizontal="center"/>
    </xf>
    <xf numFmtId="20" fontId="0" fillId="0" borderId="33" xfId="0" applyNumberFormat="1" applyBorder="1"/>
    <xf numFmtId="0" fontId="24" fillId="0" borderId="62" xfId="0" applyFont="1" applyBorder="1" applyAlignment="1">
      <alignment horizontal="center"/>
    </xf>
    <xf numFmtId="0" fontId="24" fillId="0" borderId="0" xfId="0" applyFont="1" applyAlignment="1">
      <alignment vertical="top" wrapText="1"/>
    </xf>
    <xf numFmtId="171" fontId="30" fillId="2" borderId="44" xfId="0" applyNumberFormat="1" applyFont="1" applyFill="1" applyBorder="1" applyAlignment="1">
      <alignment horizontal="center" vertical="center" wrapText="1"/>
    </xf>
    <xf numFmtId="171" fontId="30" fillId="2" borderId="45" xfId="0" applyNumberFormat="1" applyFont="1" applyFill="1" applyBorder="1" applyAlignment="1">
      <alignment horizontal="center" vertical="center" wrapText="1"/>
    </xf>
    <xf numFmtId="171" fontId="30" fillId="2" borderId="46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172" fontId="29" fillId="0" borderId="33" xfId="1" applyNumberFormat="1" applyFont="1" applyBorder="1"/>
    <xf numFmtId="172" fontId="29" fillId="0" borderId="21" xfId="1" applyNumberFormat="1" applyFont="1" applyBorder="1"/>
    <xf numFmtId="1" fontId="29" fillId="0" borderId="0" xfId="1" applyNumberFormat="1" applyFont="1"/>
    <xf numFmtId="11" fontId="29" fillId="0" borderId="0" xfId="1" applyNumberFormat="1" applyFont="1"/>
    <xf numFmtId="171" fontId="29" fillId="0" borderId="0" xfId="1" applyNumberFormat="1" applyFont="1"/>
    <xf numFmtId="165" fontId="29" fillId="0" borderId="0" xfId="1" applyNumberFormat="1" applyFont="1"/>
    <xf numFmtId="172" fontId="29" fillId="0" borderId="0" xfId="1" applyNumberFormat="1" applyFont="1"/>
    <xf numFmtId="171" fontId="24" fillId="0" borderId="0" xfId="0" applyNumberFormat="1" applyFont="1" applyBorder="1" applyAlignment="1"/>
    <xf numFmtId="171" fontId="30" fillId="0" borderId="0" xfId="0" applyNumberFormat="1" applyFont="1" applyBorder="1" applyAlignment="1">
      <alignment horizontal="center" vertical="center" wrapText="1"/>
    </xf>
    <xf numFmtId="171" fontId="30" fillId="0" borderId="1" xfId="0" applyNumberFormat="1" applyFont="1" applyBorder="1" applyAlignment="1">
      <alignment horizontal="center" wrapText="1"/>
    </xf>
    <xf numFmtId="171" fontId="30" fillId="0" borderId="1" xfId="0" applyNumberFormat="1" applyFont="1" applyBorder="1" applyAlignment="1">
      <alignment horizontal="center" vertical="center" wrapText="1"/>
    </xf>
    <xf numFmtId="171" fontId="29" fillId="0" borderId="0" xfId="0" applyNumberFormat="1" applyFont="1" applyBorder="1"/>
    <xf numFmtId="0" fontId="29" fillId="0" borderId="33" xfId="0" applyFont="1" applyBorder="1" applyAlignment="1">
      <alignment horizontal="right"/>
    </xf>
    <xf numFmtId="0" fontId="29" fillId="0" borderId="21" xfId="0" applyFont="1" applyBorder="1" applyAlignment="1">
      <alignment horizontal="right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171" fontId="24" fillId="0" borderId="67" xfId="0" applyNumberFormat="1" applyFont="1" applyBorder="1" applyAlignment="1">
      <alignment horizontal="center"/>
    </xf>
    <xf numFmtId="165" fontId="23" fillId="3" borderId="33" xfId="0" applyNumberFormat="1" applyFont="1" applyFill="1" applyBorder="1" applyAlignment="1">
      <alignment horizontal="center" vertical="center" wrapText="1"/>
    </xf>
    <xf numFmtId="165" fontId="23" fillId="3" borderId="45" xfId="0" applyNumberFormat="1" applyFont="1" applyFill="1" applyBorder="1" applyAlignment="1">
      <alignment horizontal="center" vertical="center" wrapText="1"/>
    </xf>
    <xf numFmtId="10" fontId="23" fillId="3" borderId="65" xfId="1" applyNumberFormat="1" applyFont="1" applyFill="1" applyBorder="1" applyAlignment="1">
      <alignment horizontal="center" vertical="center" wrapText="1"/>
    </xf>
    <xf numFmtId="10" fontId="23" fillId="3" borderId="63" xfId="1" applyNumberFormat="1" applyFont="1" applyFill="1" applyBorder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3" fillId="3" borderId="45" xfId="0" applyFont="1" applyFill="1" applyBorder="1" applyAlignment="1">
      <alignment horizontal="center" vertical="center" wrapText="1"/>
    </xf>
    <xf numFmtId="165" fontId="31" fillId="3" borderId="33" xfId="0" applyNumberFormat="1" applyFont="1" applyFill="1" applyBorder="1" applyAlignment="1">
      <alignment horizontal="center" vertical="center" wrapText="1"/>
    </xf>
    <xf numFmtId="165" fontId="31" fillId="3" borderId="45" xfId="0" applyNumberFormat="1" applyFont="1" applyFill="1" applyBorder="1" applyAlignment="1">
      <alignment horizontal="center" vertical="center" wrapText="1"/>
    </xf>
    <xf numFmtId="171" fontId="26" fillId="0" borderId="36" xfId="0" applyNumberFormat="1" applyFont="1" applyBorder="1" applyAlignment="1">
      <alignment horizontal="center" vertical="top" wrapText="1"/>
    </xf>
    <xf numFmtId="0" fontId="23" fillId="3" borderId="62" xfId="0" applyFont="1" applyFill="1" applyBorder="1" applyAlignment="1">
      <alignment horizontal="center" vertical="center" wrapText="1"/>
    </xf>
    <xf numFmtId="0" fontId="23" fillId="3" borderId="51" xfId="0" applyFont="1" applyFill="1" applyBorder="1" applyAlignment="1">
      <alignment horizontal="center" vertical="center" wrapText="1"/>
    </xf>
    <xf numFmtId="171" fontId="23" fillId="3" borderId="34" xfId="0" applyNumberFormat="1" applyFont="1" applyFill="1" applyBorder="1" applyAlignment="1">
      <alignment horizontal="center" vertical="top"/>
    </xf>
    <xf numFmtId="171" fontId="23" fillId="3" borderId="33" xfId="0" applyNumberFormat="1" applyFont="1" applyFill="1" applyBorder="1" applyAlignment="1">
      <alignment horizontal="center" vertical="top"/>
    </xf>
    <xf numFmtId="171" fontId="23" fillId="3" borderId="58" xfId="0" applyNumberFormat="1" applyFont="1" applyFill="1" applyBorder="1" applyAlignment="1">
      <alignment horizontal="center" vertical="top"/>
    </xf>
    <xf numFmtId="0" fontId="31" fillId="3" borderId="33" xfId="0" applyFont="1" applyFill="1" applyBorder="1" applyAlignment="1">
      <alignment horizontal="center" vertical="center" wrapText="1"/>
    </xf>
    <xf numFmtId="0" fontId="31" fillId="3" borderId="45" xfId="0" applyFont="1" applyFill="1" applyBorder="1" applyAlignment="1">
      <alignment horizontal="center" vertical="center" wrapText="1"/>
    </xf>
    <xf numFmtId="0" fontId="23" fillId="3" borderId="66" xfId="0" applyFont="1" applyFill="1" applyBorder="1" applyAlignment="1">
      <alignment horizontal="center" vertical="center" wrapText="1"/>
    </xf>
    <xf numFmtId="0" fontId="23" fillId="3" borderId="6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9DC30920-6728-45FC-8A99-5662F50A119B}"/>
    <cellStyle name="Percent" xfId="1" builtinId="5"/>
    <cellStyle name="Percent 2" xfId="3" xr:uid="{AC132DDF-AE70-4864-80FA-01183264B137}"/>
  </cellStyles>
  <dxfs count="0"/>
  <tableStyles count="0" defaultTableStyle="TableStyleMedium2" defaultPivotStyle="PivotStyleLight16"/>
  <colors>
    <mruColors>
      <color rgb="FFFF33CC"/>
      <color rgb="FF008000"/>
      <color rgb="FF000000"/>
      <color rgb="FF0000FF"/>
      <color rgb="FF00CC00"/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ke%20Files%20Backup/Chilkoti%20Lab/11.%20Synergistic%20Studies/0.%20Pilot%20PTX%20+%20I-131%20Combotherapy%20-%20Orthotopic%20BxPc3/Orthotopic%20BxPc3%20Pancreas%20-%20PTX%20+%20131I%20Brachytherapy%20Pil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mor Size"/>
      <sheetName val="Photon Flux"/>
      <sheetName val="Body Weight"/>
      <sheetName val="Radioactivity"/>
      <sheetName val="Survival"/>
      <sheetName val="Sheet1"/>
    </sheetNames>
    <sheetDataSet>
      <sheetData sheetId="0">
        <row r="5">
          <cell r="A5"/>
          <cell r="B5">
            <v>11</v>
          </cell>
          <cell r="C5"/>
          <cell r="D5" t="str">
            <v>Pilot</v>
          </cell>
          <cell r="E5" t="str">
            <v>i.t. PTX + ELP Depot</v>
          </cell>
          <cell r="F5">
            <v>42244</v>
          </cell>
          <cell r="G5">
            <v>28.1</v>
          </cell>
          <cell r="H5">
            <v>310</v>
          </cell>
          <cell r="I5">
            <v>42265</v>
          </cell>
          <cell r="J5">
            <v>30.8</v>
          </cell>
          <cell r="K5"/>
          <cell r="L5">
            <v>310</v>
          </cell>
          <cell r="M5">
            <v>2078000000</v>
          </cell>
          <cell r="N5">
            <v>87.640799999999999</v>
          </cell>
          <cell r="O5">
            <v>876.40800000000002</v>
          </cell>
          <cell r="P5">
            <v>29.2</v>
          </cell>
          <cell r="Q5">
            <v>0</v>
          </cell>
          <cell r="R5">
            <v>0</v>
          </cell>
          <cell r="S5">
            <v>0</v>
          </cell>
          <cell r="T5">
            <v>1354.925</v>
          </cell>
          <cell r="U5">
            <v>1374.3</v>
          </cell>
        </row>
        <row r="7">
          <cell r="A7"/>
          <cell r="B7">
            <v>13</v>
          </cell>
          <cell r="C7"/>
          <cell r="D7" t="str">
            <v>Pilot</v>
          </cell>
          <cell r="E7" t="str">
            <v>I.V. PTX + 131I Depot</v>
          </cell>
          <cell r="F7">
            <v>42244</v>
          </cell>
          <cell r="G7">
            <v>30.3</v>
          </cell>
          <cell r="H7">
            <v>580</v>
          </cell>
          <cell r="I7">
            <v>42265</v>
          </cell>
          <cell r="J7">
            <v>34.4</v>
          </cell>
          <cell r="K7"/>
          <cell r="L7">
            <v>340</v>
          </cell>
          <cell r="M7">
            <v>4489000000</v>
          </cell>
          <cell r="N7">
            <v>262.62080000000003</v>
          </cell>
          <cell r="O7">
            <v>2626.2080000000005</v>
          </cell>
          <cell r="P7">
            <v>83.300000000000011</v>
          </cell>
          <cell r="Q7">
            <v>227</v>
          </cell>
          <cell r="R7">
            <v>0.86436413262011225</v>
          </cell>
          <cell r="S7">
            <v>2.7250900360144055</v>
          </cell>
          <cell r="T7">
            <v>305.22492</v>
          </cell>
          <cell r="U7">
            <v>270.10000000000002</v>
          </cell>
        </row>
        <row r="8">
          <cell r="A8"/>
          <cell r="B8">
            <v>21</v>
          </cell>
          <cell r="C8"/>
          <cell r="D8" t="str">
            <v>Pilot</v>
          </cell>
          <cell r="E8" t="str">
            <v>I.V. PTX + 131I Depot</v>
          </cell>
          <cell r="F8">
            <v>42244</v>
          </cell>
          <cell r="G8">
            <v>31.4</v>
          </cell>
          <cell r="H8">
            <v>260</v>
          </cell>
          <cell r="I8">
            <v>42265</v>
          </cell>
          <cell r="J8">
            <v>32.700000000000003</v>
          </cell>
          <cell r="K8"/>
          <cell r="L8">
            <v>450</v>
          </cell>
          <cell r="M8">
            <v>129100000</v>
          </cell>
          <cell r="N8">
            <v>183.20328000000001</v>
          </cell>
          <cell r="O8">
            <v>1832.0328</v>
          </cell>
          <cell r="P8">
            <v>58.1</v>
          </cell>
          <cell r="Q8">
            <v>356</v>
          </cell>
          <cell r="R8">
            <v>1.943196650190979</v>
          </cell>
          <cell r="S8">
            <v>6.1273666092943202</v>
          </cell>
          <cell r="T8">
            <v>206.78528</v>
          </cell>
          <cell r="U8">
            <v>266</v>
          </cell>
        </row>
        <row r="9">
          <cell r="A9"/>
          <cell r="B9">
            <v>22</v>
          </cell>
          <cell r="C9"/>
          <cell r="D9" t="str">
            <v>Pilot</v>
          </cell>
          <cell r="E9" t="str">
            <v>i.t. PTX + ELP Depot</v>
          </cell>
          <cell r="F9">
            <v>42244</v>
          </cell>
          <cell r="G9">
            <v>28.8</v>
          </cell>
          <cell r="H9">
            <v>280</v>
          </cell>
          <cell r="I9">
            <v>42265</v>
          </cell>
          <cell r="J9">
            <v>30.5</v>
          </cell>
          <cell r="K9"/>
          <cell r="L9">
            <v>360</v>
          </cell>
          <cell r="M9">
            <v>261200000</v>
          </cell>
          <cell r="N9">
            <v>35.291359999999997</v>
          </cell>
          <cell r="O9">
            <v>352.91359999999997</v>
          </cell>
          <cell r="P9">
            <v>11.8</v>
          </cell>
          <cell r="Q9">
            <v>0</v>
          </cell>
          <cell r="R9">
            <v>0</v>
          </cell>
          <cell r="S9">
            <v>0</v>
          </cell>
          <cell r="T9">
            <v>738.79467999999997</v>
          </cell>
          <cell r="U9">
            <v>879.1</v>
          </cell>
        </row>
        <row r="10">
          <cell r="A10"/>
          <cell r="B10">
            <v>23</v>
          </cell>
          <cell r="C10"/>
          <cell r="D10" t="str">
            <v>Pilot</v>
          </cell>
          <cell r="E10" t="str">
            <v>I.V. PTX only</v>
          </cell>
          <cell r="F10">
            <v>42244</v>
          </cell>
          <cell r="G10">
            <v>25.8</v>
          </cell>
          <cell r="H10">
            <v>260</v>
          </cell>
          <cell r="I10">
            <v>42265</v>
          </cell>
          <cell r="J10">
            <v>27.1</v>
          </cell>
          <cell r="K10"/>
          <cell r="L10" t="str">
            <v>n/a</v>
          </cell>
          <cell r="M10">
            <v>617200000</v>
          </cell>
          <cell r="N10"/>
          <cell r="O10">
            <v>0</v>
          </cell>
          <cell r="P10">
            <v>0</v>
          </cell>
          <cell r="Q10">
            <v>0</v>
          </cell>
          <cell r="R10" t="e">
            <v>#DIV/0!</v>
          </cell>
          <cell r="S10" t="e">
            <v>#DIV/0!</v>
          </cell>
          <cell r="T10">
            <v>527.40791999999999</v>
          </cell>
          <cell r="U10">
            <v>585.5</v>
          </cell>
        </row>
        <row r="11">
          <cell r="A11"/>
          <cell r="B11">
            <v>24</v>
          </cell>
          <cell r="C11"/>
          <cell r="D11" t="str">
            <v>Pilot</v>
          </cell>
          <cell r="E11" t="str">
            <v>i.t. PTX + ELP Depot</v>
          </cell>
          <cell r="F11">
            <v>42244</v>
          </cell>
          <cell r="G11">
            <v>28.5</v>
          </cell>
          <cell r="H11">
            <v>310</v>
          </cell>
          <cell r="I11">
            <v>42265</v>
          </cell>
          <cell r="J11">
            <v>29.6</v>
          </cell>
          <cell r="K11"/>
          <cell r="L11">
            <v>350</v>
          </cell>
          <cell r="M11">
            <v>405800000</v>
          </cell>
          <cell r="N11">
            <v>74.911200000000022</v>
          </cell>
          <cell r="O11">
            <v>749.11200000000019</v>
          </cell>
          <cell r="P11">
            <v>25</v>
          </cell>
          <cell r="Q11">
            <v>0</v>
          </cell>
          <cell r="R11">
            <v>0</v>
          </cell>
          <cell r="S11">
            <v>0</v>
          </cell>
          <cell r="T11">
            <v>1167.5955199999996</v>
          </cell>
          <cell r="U11">
            <v>1111.5999999999999</v>
          </cell>
        </row>
        <row r="12">
          <cell r="A12"/>
          <cell r="B12">
            <v>31</v>
          </cell>
          <cell r="C12"/>
          <cell r="D12" t="str">
            <v>Pilot</v>
          </cell>
          <cell r="E12" t="str">
            <v>I.V. PTX + 131I Depot</v>
          </cell>
          <cell r="F12">
            <v>42244</v>
          </cell>
          <cell r="G12">
            <v>28.1</v>
          </cell>
          <cell r="H12">
            <v>280</v>
          </cell>
          <cell r="I12">
            <v>42265</v>
          </cell>
          <cell r="J12">
            <v>29.9</v>
          </cell>
          <cell r="K12"/>
          <cell r="L12" t="str">
            <v>n/a</v>
          </cell>
          <cell r="M12">
            <v>592700000</v>
          </cell>
          <cell r="N12">
            <v>70.069479999999999</v>
          </cell>
          <cell r="O12">
            <v>700.69479999999999</v>
          </cell>
          <cell r="P12">
            <v>22.2</v>
          </cell>
          <cell r="Q12">
            <v>75.5</v>
          </cell>
          <cell r="R12">
            <v>1.0775019309405465</v>
          </cell>
          <cell r="S12">
            <v>3.400900900900901</v>
          </cell>
          <cell r="T12">
            <v>138.52800000000002</v>
          </cell>
          <cell r="U12">
            <v>165.1</v>
          </cell>
        </row>
        <row r="13">
          <cell r="A13"/>
          <cell r="B13">
            <v>32</v>
          </cell>
          <cell r="C13"/>
          <cell r="D13" t="str">
            <v>Pilot</v>
          </cell>
          <cell r="E13" t="str">
            <v>i.t. PTX + 131I Depot</v>
          </cell>
          <cell r="F13">
            <v>42244</v>
          </cell>
          <cell r="G13">
            <v>29.6</v>
          </cell>
          <cell r="H13">
            <v>300</v>
          </cell>
          <cell r="I13">
            <v>42265</v>
          </cell>
          <cell r="J13">
            <v>31.3</v>
          </cell>
          <cell r="K13"/>
          <cell r="L13">
            <v>310</v>
          </cell>
          <cell r="M13">
            <v>363000000</v>
          </cell>
          <cell r="N13">
            <v>84.364800000000002</v>
          </cell>
          <cell r="O13">
            <v>843.64800000000002</v>
          </cell>
          <cell r="P13">
            <v>26.7</v>
          </cell>
          <cell r="Q13">
            <v>178</v>
          </cell>
          <cell r="R13">
            <v>2.1098846912456377</v>
          </cell>
          <cell r="S13">
            <v>6.666666666666667</v>
          </cell>
          <cell r="T13">
            <v>303.35551999999996</v>
          </cell>
          <cell r="U13">
            <v>471.6</v>
          </cell>
        </row>
        <row r="14">
          <cell r="A14"/>
          <cell r="B14">
            <v>33</v>
          </cell>
          <cell r="C14"/>
          <cell r="D14" t="str">
            <v>Pilot</v>
          </cell>
          <cell r="E14" t="str">
            <v>I.V. PTX only</v>
          </cell>
          <cell r="F14">
            <v>42244</v>
          </cell>
          <cell r="G14">
            <v>26</v>
          </cell>
          <cell r="H14">
            <v>260</v>
          </cell>
          <cell r="I14">
            <v>42265</v>
          </cell>
          <cell r="J14">
            <v>28.5</v>
          </cell>
          <cell r="K14"/>
          <cell r="L14" t="str">
            <v>n/a</v>
          </cell>
          <cell r="M14">
            <v>700100000</v>
          </cell>
          <cell r="N14"/>
          <cell r="O14">
            <v>0</v>
          </cell>
          <cell r="P14">
            <v>0</v>
          </cell>
          <cell r="Q14">
            <v>0</v>
          </cell>
          <cell r="R14" t="e">
            <v>#DIV/0!</v>
          </cell>
          <cell r="S14" t="e">
            <v>#DIV/0!</v>
          </cell>
          <cell r="T14">
            <v>213.10900000000001</v>
          </cell>
          <cell r="U14">
            <v>204.5</v>
          </cell>
        </row>
        <row r="15">
          <cell r="A15"/>
          <cell r="B15">
            <v>34</v>
          </cell>
          <cell r="C15"/>
          <cell r="D15" t="str">
            <v>Pilot</v>
          </cell>
          <cell r="E15" t="str">
            <v>I.V. PTX + 131I Depot</v>
          </cell>
          <cell r="F15">
            <v>42244</v>
          </cell>
          <cell r="G15">
            <v>26.9</v>
          </cell>
          <cell r="H15">
            <v>270</v>
          </cell>
          <cell r="I15">
            <v>42265</v>
          </cell>
          <cell r="J15">
            <v>29.4</v>
          </cell>
          <cell r="K15"/>
          <cell r="L15">
            <v>390</v>
          </cell>
          <cell r="M15">
            <v>1363000000</v>
          </cell>
          <cell r="N15">
            <v>160.99199999999999</v>
          </cell>
          <cell r="O15">
            <v>1609.9199999999998</v>
          </cell>
          <cell r="P15">
            <v>80</v>
          </cell>
          <cell r="Q15">
            <v>209</v>
          </cell>
          <cell r="R15">
            <v>1.2982011528523156</v>
          </cell>
          <cell r="S15">
            <v>2.6124999999999998</v>
          </cell>
          <cell r="T15">
            <v>273.36192</v>
          </cell>
          <cell r="U15">
            <v>447.5</v>
          </cell>
        </row>
        <row r="16">
          <cell r="A16"/>
          <cell r="B16">
            <v>41</v>
          </cell>
          <cell r="C16"/>
          <cell r="D16" t="str">
            <v>Pilot</v>
          </cell>
          <cell r="E16" t="str">
            <v>i.t. PTX + 131I Depot</v>
          </cell>
          <cell r="F16">
            <v>42244</v>
          </cell>
          <cell r="G16">
            <v>27.3</v>
          </cell>
          <cell r="H16">
            <v>270</v>
          </cell>
          <cell r="I16">
            <v>42265</v>
          </cell>
          <cell r="J16">
            <v>29.6</v>
          </cell>
          <cell r="K16"/>
          <cell r="L16">
            <v>300</v>
          </cell>
          <cell r="M16">
            <v>268900000</v>
          </cell>
          <cell r="N16">
            <v>116.75664000000002</v>
          </cell>
          <cell r="O16">
            <v>1167.5664000000002</v>
          </cell>
          <cell r="P16">
            <v>37.1</v>
          </cell>
          <cell r="Q16">
            <v>135</v>
          </cell>
          <cell r="R16">
            <v>1.1562511562511562</v>
          </cell>
          <cell r="S16">
            <v>3.6388140161725064</v>
          </cell>
          <cell r="T16"/>
          <cell r="U16"/>
        </row>
        <row r="17">
          <cell r="A17"/>
          <cell r="B17">
            <v>42</v>
          </cell>
          <cell r="C17"/>
          <cell r="D17" t="str">
            <v>Pilot</v>
          </cell>
          <cell r="E17" t="str">
            <v>i.t. PTX + 131I Depot</v>
          </cell>
          <cell r="F17">
            <v>42244</v>
          </cell>
          <cell r="G17">
            <v>29.9</v>
          </cell>
          <cell r="H17">
            <v>300</v>
          </cell>
          <cell r="I17">
            <v>42265</v>
          </cell>
          <cell r="J17">
            <v>33.799999999999997</v>
          </cell>
          <cell r="K17"/>
          <cell r="L17">
            <v>480</v>
          </cell>
          <cell r="M17">
            <v>2709000000</v>
          </cell>
          <cell r="N17">
            <v>170.40244000000001</v>
          </cell>
          <cell r="O17">
            <v>1704.0244000000002</v>
          </cell>
          <cell r="P17">
            <v>54</v>
          </cell>
          <cell r="Q17">
            <v>340</v>
          </cell>
          <cell r="R17">
            <v>1.9952765934572296</v>
          </cell>
          <cell r="S17">
            <v>6.2962962962962967</v>
          </cell>
          <cell r="T17"/>
          <cell r="U17">
            <v>562</v>
          </cell>
        </row>
        <row r="18">
          <cell r="A18"/>
          <cell r="B18">
            <v>43</v>
          </cell>
          <cell r="C18"/>
          <cell r="D18" t="str">
            <v>Pilot</v>
          </cell>
          <cell r="E18" t="str">
            <v>I.V. PTX only</v>
          </cell>
          <cell r="F18">
            <v>42244</v>
          </cell>
          <cell r="G18">
            <v>27.9</v>
          </cell>
          <cell r="H18">
            <v>280</v>
          </cell>
          <cell r="I18">
            <v>42265</v>
          </cell>
          <cell r="J18">
            <v>30</v>
          </cell>
          <cell r="K18"/>
          <cell r="L18" t="str">
            <v>n/a</v>
          </cell>
          <cell r="M18">
            <v>672600000</v>
          </cell>
          <cell r="N18"/>
          <cell r="O18">
            <v>0</v>
          </cell>
          <cell r="P18">
            <v>0</v>
          </cell>
          <cell r="Q18">
            <v>0</v>
          </cell>
          <cell r="R18" t="e">
            <v>#DIV/0!</v>
          </cell>
          <cell r="S18" t="e">
            <v>#DIV/0!</v>
          </cell>
          <cell r="T18">
            <v>373.90859999999992</v>
          </cell>
          <cell r="U18">
            <v>377</v>
          </cell>
        </row>
        <row r="19">
          <cell r="A19"/>
          <cell r="B19">
            <v>44</v>
          </cell>
          <cell r="C19"/>
          <cell r="D19" t="str">
            <v>Pilot</v>
          </cell>
          <cell r="E19" t="str">
            <v>i.t. PTX + 131I Depot</v>
          </cell>
          <cell r="F19">
            <v>42244</v>
          </cell>
          <cell r="G19">
            <v>25.4</v>
          </cell>
          <cell r="H19">
            <v>250</v>
          </cell>
          <cell r="I19">
            <v>42265</v>
          </cell>
          <cell r="J19">
            <v>28</v>
          </cell>
          <cell r="K19"/>
          <cell r="L19">
            <v>280</v>
          </cell>
          <cell r="M19">
            <v>7068000000</v>
          </cell>
          <cell r="N19">
            <v>363.80344000000002</v>
          </cell>
          <cell r="O19">
            <v>3638.0344000000005</v>
          </cell>
          <cell r="P19">
            <v>115</v>
          </cell>
          <cell r="Q19">
            <v>310</v>
          </cell>
          <cell r="R19">
            <v>0.85210849023307744</v>
          </cell>
          <cell r="S19">
            <v>2.6956521739130435</v>
          </cell>
          <cell r="T19"/>
          <cell r="U1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A34E-5ADD-4AA8-8C37-A050B2DB63A1}">
  <sheetPr>
    <pageSetUpPr fitToPage="1"/>
  </sheetPr>
  <dimension ref="A1:CI47"/>
  <sheetViews>
    <sheetView showGridLines="0" tabSelected="1" workbookViewId="0">
      <selection activeCell="F17" sqref="F17"/>
    </sheetView>
  </sheetViews>
  <sheetFormatPr defaultColWidth="7.85546875" defaultRowHeight="11.25"/>
  <cols>
    <col min="1" max="13" width="7.85546875" style="239"/>
    <col min="14" max="14" width="8.42578125" style="239" customWidth="1"/>
    <col min="15" max="15" width="3.85546875" style="239" customWidth="1"/>
    <col min="16" max="29" width="7.85546875" style="239"/>
    <col min="30" max="30" width="8.42578125" style="239" customWidth="1"/>
    <col min="31" max="31" width="3.85546875" style="239" customWidth="1"/>
    <col min="32" max="57" width="7.85546875" style="239"/>
    <col min="58" max="58" width="8.42578125" style="239" customWidth="1"/>
    <col min="59" max="59" width="3.85546875" style="239" customWidth="1"/>
    <col min="60" max="73" width="7.85546875" style="239"/>
    <col min="74" max="74" width="8.42578125" style="239" customWidth="1"/>
    <col min="75" max="75" width="3.85546875" style="239" customWidth="1"/>
    <col min="76" max="269" width="7.85546875" style="239"/>
    <col min="270" max="270" width="8.42578125" style="239" customWidth="1"/>
    <col min="271" max="271" width="3.85546875" style="239" customWidth="1"/>
    <col min="272" max="525" width="7.85546875" style="239"/>
    <col min="526" max="526" width="8.42578125" style="239" customWidth="1"/>
    <col min="527" max="527" width="3.85546875" style="239" customWidth="1"/>
    <col min="528" max="781" width="7.85546875" style="239"/>
    <col min="782" max="782" width="8.42578125" style="239" customWidth="1"/>
    <col min="783" max="783" width="3.85546875" style="239" customWidth="1"/>
    <col min="784" max="1037" width="7.85546875" style="239"/>
    <col min="1038" max="1038" width="8.42578125" style="239" customWidth="1"/>
    <col min="1039" max="1039" width="3.85546875" style="239" customWidth="1"/>
    <col min="1040" max="1293" width="7.85546875" style="239"/>
    <col min="1294" max="1294" width="8.42578125" style="239" customWidth="1"/>
    <col min="1295" max="1295" width="3.85546875" style="239" customWidth="1"/>
    <col min="1296" max="1549" width="7.85546875" style="239"/>
    <col min="1550" max="1550" width="8.42578125" style="239" customWidth="1"/>
    <col min="1551" max="1551" width="3.85546875" style="239" customWidth="1"/>
    <col min="1552" max="1805" width="7.85546875" style="239"/>
    <col min="1806" max="1806" width="8.42578125" style="239" customWidth="1"/>
    <col min="1807" max="1807" width="3.85546875" style="239" customWidth="1"/>
    <col min="1808" max="2061" width="7.85546875" style="239"/>
    <col min="2062" max="2062" width="8.42578125" style="239" customWidth="1"/>
    <col min="2063" max="2063" width="3.85546875" style="239" customWidth="1"/>
    <col min="2064" max="2317" width="7.85546875" style="239"/>
    <col min="2318" max="2318" width="8.42578125" style="239" customWidth="1"/>
    <col min="2319" max="2319" width="3.85546875" style="239" customWidth="1"/>
    <col min="2320" max="2573" width="7.85546875" style="239"/>
    <col min="2574" max="2574" width="8.42578125" style="239" customWidth="1"/>
    <col min="2575" max="2575" width="3.85546875" style="239" customWidth="1"/>
    <col min="2576" max="2829" width="7.85546875" style="239"/>
    <col min="2830" max="2830" width="8.42578125" style="239" customWidth="1"/>
    <col min="2831" max="2831" width="3.85546875" style="239" customWidth="1"/>
    <col min="2832" max="3085" width="7.85546875" style="239"/>
    <col min="3086" max="3086" width="8.42578125" style="239" customWidth="1"/>
    <col min="3087" max="3087" width="3.85546875" style="239" customWidth="1"/>
    <col min="3088" max="3341" width="7.85546875" style="239"/>
    <col min="3342" max="3342" width="8.42578125" style="239" customWidth="1"/>
    <col min="3343" max="3343" width="3.85546875" style="239" customWidth="1"/>
    <col min="3344" max="3597" width="7.85546875" style="239"/>
    <col min="3598" max="3598" width="8.42578125" style="239" customWidth="1"/>
    <col min="3599" max="3599" width="3.85546875" style="239" customWidth="1"/>
    <col min="3600" max="3853" width="7.85546875" style="239"/>
    <col min="3854" max="3854" width="8.42578125" style="239" customWidth="1"/>
    <col min="3855" max="3855" width="3.85546875" style="239" customWidth="1"/>
    <col min="3856" max="4109" width="7.85546875" style="239"/>
    <col min="4110" max="4110" width="8.42578125" style="239" customWidth="1"/>
    <col min="4111" max="4111" width="3.85546875" style="239" customWidth="1"/>
    <col min="4112" max="4365" width="7.85546875" style="239"/>
    <col min="4366" max="4366" width="8.42578125" style="239" customWidth="1"/>
    <col min="4367" max="4367" width="3.85546875" style="239" customWidth="1"/>
    <col min="4368" max="4621" width="7.85546875" style="239"/>
    <col min="4622" max="4622" width="8.42578125" style="239" customWidth="1"/>
    <col min="4623" max="4623" width="3.85546875" style="239" customWidth="1"/>
    <col min="4624" max="4877" width="7.85546875" style="239"/>
    <col min="4878" max="4878" width="8.42578125" style="239" customWidth="1"/>
    <col min="4879" max="4879" width="3.85546875" style="239" customWidth="1"/>
    <col min="4880" max="5133" width="7.85546875" style="239"/>
    <col min="5134" max="5134" width="8.42578125" style="239" customWidth="1"/>
    <col min="5135" max="5135" width="3.85546875" style="239" customWidth="1"/>
    <col min="5136" max="5389" width="7.85546875" style="239"/>
    <col min="5390" max="5390" width="8.42578125" style="239" customWidth="1"/>
    <col min="5391" max="5391" width="3.85546875" style="239" customWidth="1"/>
    <col min="5392" max="5645" width="7.85546875" style="239"/>
    <col min="5646" max="5646" width="8.42578125" style="239" customWidth="1"/>
    <col min="5647" max="5647" width="3.85546875" style="239" customWidth="1"/>
    <col min="5648" max="5901" width="7.85546875" style="239"/>
    <col min="5902" max="5902" width="8.42578125" style="239" customWidth="1"/>
    <col min="5903" max="5903" width="3.85546875" style="239" customWidth="1"/>
    <col min="5904" max="6157" width="7.85546875" style="239"/>
    <col min="6158" max="6158" width="8.42578125" style="239" customWidth="1"/>
    <col min="6159" max="6159" width="3.85546875" style="239" customWidth="1"/>
    <col min="6160" max="6413" width="7.85546875" style="239"/>
    <col min="6414" max="6414" width="8.42578125" style="239" customWidth="1"/>
    <col min="6415" max="6415" width="3.85546875" style="239" customWidth="1"/>
    <col min="6416" max="6669" width="7.85546875" style="239"/>
    <col min="6670" max="6670" width="8.42578125" style="239" customWidth="1"/>
    <col min="6671" max="6671" width="3.85546875" style="239" customWidth="1"/>
    <col min="6672" max="6925" width="7.85546875" style="239"/>
    <col min="6926" max="6926" width="8.42578125" style="239" customWidth="1"/>
    <col min="6927" max="6927" width="3.85546875" style="239" customWidth="1"/>
    <col min="6928" max="7181" width="7.85546875" style="239"/>
    <col min="7182" max="7182" width="8.42578125" style="239" customWidth="1"/>
    <col min="7183" max="7183" width="3.85546875" style="239" customWidth="1"/>
    <col min="7184" max="7437" width="7.85546875" style="239"/>
    <col min="7438" max="7438" width="8.42578125" style="239" customWidth="1"/>
    <col min="7439" max="7439" width="3.85546875" style="239" customWidth="1"/>
    <col min="7440" max="7693" width="7.85546875" style="239"/>
    <col min="7694" max="7694" width="8.42578125" style="239" customWidth="1"/>
    <col min="7695" max="7695" width="3.85546875" style="239" customWidth="1"/>
    <col min="7696" max="7949" width="7.85546875" style="239"/>
    <col min="7950" max="7950" width="8.42578125" style="239" customWidth="1"/>
    <col min="7951" max="7951" width="3.85546875" style="239" customWidth="1"/>
    <col min="7952" max="8205" width="7.85546875" style="239"/>
    <col min="8206" max="8206" width="8.42578125" style="239" customWidth="1"/>
    <col min="8207" max="8207" width="3.85546875" style="239" customWidth="1"/>
    <col min="8208" max="8461" width="7.85546875" style="239"/>
    <col min="8462" max="8462" width="8.42578125" style="239" customWidth="1"/>
    <col min="8463" max="8463" width="3.85546875" style="239" customWidth="1"/>
    <col min="8464" max="8717" width="7.85546875" style="239"/>
    <col min="8718" max="8718" width="8.42578125" style="239" customWidth="1"/>
    <col min="8719" max="8719" width="3.85546875" style="239" customWidth="1"/>
    <col min="8720" max="8973" width="7.85546875" style="239"/>
    <col min="8974" max="8974" width="8.42578125" style="239" customWidth="1"/>
    <col min="8975" max="8975" width="3.85546875" style="239" customWidth="1"/>
    <col min="8976" max="9229" width="7.85546875" style="239"/>
    <col min="9230" max="9230" width="8.42578125" style="239" customWidth="1"/>
    <col min="9231" max="9231" width="3.85546875" style="239" customWidth="1"/>
    <col min="9232" max="9485" width="7.85546875" style="239"/>
    <col min="9486" max="9486" width="8.42578125" style="239" customWidth="1"/>
    <col min="9487" max="9487" width="3.85546875" style="239" customWidth="1"/>
    <col min="9488" max="9741" width="7.85546875" style="239"/>
    <col min="9742" max="9742" width="8.42578125" style="239" customWidth="1"/>
    <col min="9743" max="9743" width="3.85546875" style="239" customWidth="1"/>
    <col min="9744" max="9997" width="7.85546875" style="239"/>
    <col min="9998" max="9998" width="8.42578125" style="239" customWidth="1"/>
    <col min="9999" max="9999" width="3.85546875" style="239" customWidth="1"/>
    <col min="10000" max="10253" width="7.85546875" style="239"/>
    <col min="10254" max="10254" width="8.42578125" style="239" customWidth="1"/>
    <col min="10255" max="10255" width="3.85546875" style="239" customWidth="1"/>
    <col min="10256" max="10509" width="7.85546875" style="239"/>
    <col min="10510" max="10510" width="8.42578125" style="239" customWidth="1"/>
    <col min="10511" max="10511" width="3.85546875" style="239" customWidth="1"/>
    <col min="10512" max="10765" width="7.85546875" style="239"/>
    <col min="10766" max="10766" width="8.42578125" style="239" customWidth="1"/>
    <col min="10767" max="10767" width="3.85546875" style="239" customWidth="1"/>
    <col min="10768" max="11021" width="7.85546875" style="239"/>
    <col min="11022" max="11022" width="8.42578125" style="239" customWidth="1"/>
    <col min="11023" max="11023" width="3.85546875" style="239" customWidth="1"/>
    <col min="11024" max="11277" width="7.85546875" style="239"/>
    <col min="11278" max="11278" width="8.42578125" style="239" customWidth="1"/>
    <col min="11279" max="11279" width="3.85546875" style="239" customWidth="1"/>
    <col min="11280" max="11533" width="7.85546875" style="239"/>
    <col min="11534" max="11534" width="8.42578125" style="239" customWidth="1"/>
    <col min="11535" max="11535" width="3.85546875" style="239" customWidth="1"/>
    <col min="11536" max="11789" width="7.85546875" style="239"/>
    <col min="11790" max="11790" width="8.42578125" style="239" customWidth="1"/>
    <col min="11791" max="11791" width="3.85546875" style="239" customWidth="1"/>
    <col min="11792" max="12045" width="7.85546875" style="239"/>
    <col min="12046" max="12046" width="8.42578125" style="239" customWidth="1"/>
    <col min="12047" max="12047" width="3.85546875" style="239" customWidth="1"/>
    <col min="12048" max="12301" width="7.85546875" style="239"/>
    <col min="12302" max="12302" width="8.42578125" style="239" customWidth="1"/>
    <col min="12303" max="12303" width="3.85546875" style="239" customWidth="1"/>
    <col min="12304" max="12557" width="7.85546875" style="239"/>
    <col min="12558" max="12558" width="8.42578125" style="239" customWidth="1"/>
    <col min="12559" max="12559" width="3.85546875" style="239" customWidth="1"/>
    <col min="12560" max="12813" width="7.85546875" style="239"/>
    <col min="12814" max="12814" width="8.42578125" style="239" customWidth="1"/>
    <col min="12815" max="12815" width="3.85546875" style="239" customWidth="1"/>
    <col min="12816" max="13069" width="7.85546875" style="239"/>
    <col min="13070" max="13070" width="8.42578125" style="239" customWidth="1"/>
    <col min="13071" max="13071" width="3.85546875" style="239" customWidth="1"/>
    <col min="13072" max="13325" width="7.85546875" style="239"/>
    <col min="13326" max="13326" width="8.42578125" style="239" customWidth="1"/>
    <col min="13327" max="13327" width="3.85546875" style="239" customWidth="1"/>
    <col min="13328" max="13581" width="7.85546875" style="239"/>
    <col min="13582" max="13582" width="8.42578125" style="239" customWidth="1"/>
    <col min="13583" max="13583" width="3.85546875" style="239" customWidth="1"/>
    <col min="13584" max="13837" width="7.85546875" style="239"/>
    <col min="13838" max="13838" width="8.42578125" style="239" customWidth="1"/>
    <col min="13839" max="13839" width="3.85546875" style="239" customWidth="1"/>
    <col min="13840" max="14093" width="7.85546875" style="239"/>
    <col min="14094" max="14094" width="8.42578125" style="239" customWidth="1"/>
    <col min="14095" max="14095" width="3.85546875" style="239" customWidth="1"/>
    <col min="14096" max="14349" width="7.85546875" style="239"/>
    <col min="14350" max="14350" width="8.42578125" style="239" customWidth="1"/>
    <col min="14351" max="14351" width="3.85546875" style="239" customWidth="1"/>
    <col min="14352" max="14605" width="7.85546875" style="239"/>
    <col min="14606" max="14606" width="8.42578125" style="239" customWidth="1"/>
    <col min="14607" max="14607" width="3.85546875" style="239" customWidth="1"/>
    <col min="14608" max="14861" width="7.85546875" style="239"/>
    <col min="14862" max="14862" width="8.42578125" style="239" customWidth="1"/>
    <col min="14863" max="14863" width="3.85546875" style="239" customWidth="1"/>
    <col min="14864" max="15117" width="7.85546875" style="239"/>
    <col min="15118" max="15118" width="8.42578125" style="239" customWidth="1"/>
    <col min="15119" max="15119" width="3.85546875" style="239" customWidth="1"/>
    <col min="15120" max="15373" width="7.85546875" style="239"/>
    <col min="15374" max="15374" width="8.42578125" style="239" customWidth="1"/>
    <col min="15375" max="15375" width="3.85546875" style="239" customWidth="1"/>
    <col min="15376" max="15629" width="7.85546875" style="239"/>
    <col min="15630" max="15630" width="8.42578125" style="239" customWidth="1"/>
    <col min="15631" max="15631" width="3.85546875" style="239" customWidth="1"/>
    <col min="15632" max="15885" width="7.85546875" style="239"/>
    <col min="15886" max="15886" width="8.42578125" style="239" customWidth="1"/>
    <col min="15887" max="15887" width="3.85546875" style="239" customWidth="1"/>
    <col min="15888" max="16141" width="7.85546875" style="239"/>
    <col min="16142" max="16142" width="8.42578125" style="239" customWidth="1"/>
    <col min="16143" max="16143" width="3.85546875" style="239" customWidth="1"/>
    <col min="16144" max="16384" width="7.85546875" style="239"/>
  </cols>
  <sheetData>
    <row r="1" spans="1:87" ht="21">
      <c r="A1" s="236" t="s">
        <v>87</v>
      </c>
      <c r="AS1" s="236"/>
    </row>
    <row r="3" spans="1:87">
      <c r="A3" s="238" t="s">
        <v>63</v>
      </c>
      <c r="B3" s="238" t="s">
        <v>64</v>
      </c>
      <c r="C3" s="238" t="s">
        <v>65</v>
      </c>
      <c r="D3" s="238" t="s">
        <v>66</v>
      </c>
      <c r="E3" s="238" t="s">
        <v>67</v>
      </c>
      <c r="F3" s="238" t="s">
        <v>68</v>
      </c>
      <c r="L3" s="239" t="s">
        <v>69</v>
      </c>
      <c r="AS3" s="238" t="s">
        <v>63</v>
      </c>
      <c r="AT3" s="238" t="s">
        <v>64</v>
      </c>
      <c r="AU3" s="238" t="s">
        <v>65</v>
      </c>
      <c r="AV3" s="238" t="s">
        <v>66</v>
      </c>
      <c r="AW3" s="238" t="s">
        <v>67</v>
      </c>
      <c r="AX3" s="238" t="s">
        <v>68</v>
      </c>
      <c r="BD3" s="239" t="s">
        <v>69</v>
      </c>
    </row>
    <row r="4" spans="1:87">
      <c r="A4" s="238">
        <v>1</v>
      </c>
      <c r="B4" s="238">
        <v>1</v>
      </c>
      <c r="C4" s="238" t="s">
        <v>84</v>
      </c>
      <c r="D4" s="238">
        <v>22.3</v>
      </c>
      <c r="E4" s="238">
        <v>22.3</v>
      </c>
      <c r="F4" s="238" t="s">
        <v>70</v>
      </c>
      <c r="L4" s="239" t="s">
        <v>69</v>
      </c>
      <c r="AS4" s="238">
        <v>1</v>
      </c>
      <c r="AT4" s="238">
        <v>1</v>
      </c>
      <c r="AU4" s="238" t="s">
        <v>88</v>
      </c>
      <c r="AV4" s="238">
        <v>22.3</v>
      </c>
      <c r="AW4" s="238">
        <v>22.4</v>
      </c>
      <c r="AX4" s="238" t="s">
        <v>70</v>
      </c>
      <c r="BD4" s="239" t="s">
        <v>69</v>
      </c>
    </row>
    <row r="5" spans="1:87">
      <c r="L5" s="239" t="s">
        <v>69</v>
      </c>
      <c r="BD5" s="239" t="s">
        <v>69</v>
      </c>
    </row>
    <row r="6" spans="1:87">
      <c r="A6" s="239" t="s">
        <v>71</v>
      </c>
      <c r="L6" s="239" t="s">
        <v>69</v>
      </c>
      <c r="AS6" s="239" t="s">
        <v>71</v>
      </c>
      <c r="BD6" s="239" t="s">
        <v>69</v>
      </c>
    </row>
    <row r="7" spans="1:87">
      <c r="A7" s="239" t="s">
        <v>72</v>
      </c>
      <c r="L7" s="239" t="s">
        <v>69</v>
      </c>
      <c r="P7" s="240">
        <v>1</v>
      </c>
      <c r="Q7" s="240">
        <v>2</v>
      </c>
      <c r="R7" s="240">
        <v>3</v>
      </c>
      <c r="S7" s="240">
        <v>4</v>
      </c>
      <c r="T7" s="240">
        <v>5</v>
      </c>
      <c r="U7" s="240">
        <v>6</v>
      </c>
      <c r="V7" s="240">
        <v>7</v>
      </c>
      <c r="W7" s="240">
        <v>8</v>
      </c>
      <c r="X7" s="240">
        <v>9</v>
      </c>
      <c r="Y7" s="240">
        <v>10</v>
      </c>
      <c r="Z7" s="240">
        <v>11</v>
      </c>
      <c r="AA7" s="240">
        <v>12</v>
      </c>
      <c r="AF7" s="240">
        <v>1</v>
      </c>
      <c r="AG7" s="240">
        <v>2</v>
      </c>
      <c r="AH7" s="240">
        <v>3</v>
      </c>
      <c r="AI7" s="240">
        <v>4</v>
      </c>
      <c r="AJ7" s="240">
        <v>5</v>
      </c>
      <c r="AK7" s="240">
        <v>6</v>
      </c>
      <c r="AL7" s="240">
        <v>7</v>
      </c>
      <c r="AM7" s="240">
        <v>8</v>
      </c>
      <c r="AN7" s="240">
        <v>9</v>
      </c>
      <c r="AO7" s="240">
        <v>10</v>
      </c>
      <c r="AP7" s="240">
        <v>11</v>
      </c>
      <c r="AQ7" s="240">
        <v>12</v>
      </c>
      <c r="AS7" s="239" t="s">
        <v>72</v>
      </c>
      <c r="BD7" s="239" t="s">
        <v>69</v>
      </c>
      <c r="BH7" s="240">
        <v>1</v>
      </c>
      <c r="BI7" s="240">
        <v>2</v>
      </c>
      <c r="BJ7" s="240">
        <v>3</v>
      </c>
      <c r="BK7" s="240">
        <v>4</v>
      </c>
      <c r="BL7" s="240">
        <v>5</v>
      </c>
      <c r="BM7" s="240">
        <v>6</v>
      </c>
      <c r="BN7" s="240">
        <v>7</v>
      </c>
      <c r="BO7" s="240">
        <v>8</v>
      </c>
      <c r="BP7" s="240">
        <v>9</v>
      </c>
      <c r="BQ7" s="240">
        <v>10</v>
      </c>
      <c r="BR7" s="240">
        <v>11</v>
      </c>
      <c r="BS7" s="240">
        <v>12</v>
      </c>
      <c r="BX7" s="240">
        <v>1</v>
      </c>
      <c r="BY7" s="240">
        <v>2</v>
      </c>
      <c r="BZ7" s="240">
        <v>3</v>
      </c>
      <c r="CA7" s="240">
        <v>4</v>
      </c>
      <c r="CB7" s="240">
        <v>5</v>
      </c>
      <c r="CC7" s="240">
        <v>6</v>
      </c>
      <c r="CD7" s="240">
        <v>7</v>
      </c>
      <c r="CE7" s="240">
        <v>8</v>
      </c>
      <c r="CF7" s="240">
        <v>9</v>
      </c>
      <c r="CG7" s="240">
        <v>10</v>
      </c>
      <c r="CH7" s="240">
        <v>11</v>
      </c>
      <c r="CI7" s="240">
        <v>12</v>
      </c>
    </row>
    <row r="8" spans="1:87">
      <c r="L8" s="239" t="s">
        <v>69</v>
      </c>
      <c r="P8" s="240" t="s">
        <v>73</v>
      </c>
      <c r="Q8" s="241">
        <v>1E-4</v>
      </c>
      <c r="R8" s="241">
        <v>1.0000000000000001E-5</v>
      </c>
      <c r="S8" s="241">
        <v>9.9999999999999995E-7</v>
      </c>
      <c r="T8" s="241">
        <v>9.9999999999999995E-8</v>
      </c>
      <c r="U8" s="241">
        <v>1E-8</v>
      </c>
      <c r="V8" s="241">
        <v>1.0000000000000001E-9</v>
      </c>
      <c r="W8" s="241">
        <v>1E-10</v>
      </c>
      <c r="X8" s="241">
        <v>9.9999999999999994E-12</v>
      </c>
      <c r="Y8" s="241">
        <v>9.9999999999999998E-13</v>
      </c>
      <c r="Z8" s="241">
        <v>0</v>
      </c>
      <c r="AA8" s="240" t="s">
        <v>73</v>
      </c>
      <c r="AF8" s="240" t="s">
        <v>73</v>
      </c>
      <c r="AG8" s="241">
        <v>1E-4</v>
      </c>
      <c r="AH8" s="241">
        <v>1.0000000000000001E-5</v>
      </c>
      <c r="AI8" s="241">
        <v>9.9999999999999995E-7</v>
      </c>
      <c r="AJ8" s="241">
        <v>9.9999999999999995E-8</v>
      </c>
      <c r="AK8" s="241">
        <v>1E-8</v>
      </c>
      <c r="AL8" s="241">
        <v>1.0000000000000001E-9</v>
      </c>
      <c r="AM8" s="241">
        <v>1E-10</v>
      </c>
      <c r="AN8" s="241">
        <v>9.9999999999999994E-12</v>
      </c>
      <c r="AO8" s="241">
        <v>9.9999999999999998E-13</v>
      </c>
      <c r="AP8" s="241">
        <v>0</v>
      </c>
      <c r="AQ8" s="240" t="s">
        <v>73</v>
      </c>
      <c r="BD8" s="239" t="s">
        <v>69</v>
      </c>
      <c r="BH8" s="240" t="s">
        <v>73</v>
      </c>
      <c r="BI8" s="241">
        <v>1E-4</v>
      </c>
      <c r="BJ8" s="241">
        <v>1.0000000000000001E-5</v>
      </c>
      <c r="BK8" s="241">
        <v>9.9999999999999995E-7</v>
      </c>
      <c r="BL8" s="241">
        <v>9.9999999999999995E-8</v>
      </c>
      <c r="BM8" s="241">
        <v>1E-8</v>
      </c>
      <c r="BN8" s="241">
        <v>1.0000000000000001E-9</v>
      </c>
      <c r="BO8" s="241">
        <v>1E-10</v>
      </c>
      <c r="BP8" s="241">
        <v>9.9999999999999994E-12</v>
      </c>
      <c r="BQ8" s="241">
        <v>9.9999999999999998E-13</v>
      </c>
      <c r="BR8" s="241">
        <v>0</v>
      </c>
      <c r="BS8" s="240" t="s">
        <v>73</v>
      </c>
      <c r="BX8" s="240" t="s">
        <v>73</v>
      </c>
      <c r="BY8" s="241">
        <v>1E-4</v>
      </c>
      <c r="BZ8" s="241">
        <v>1.0000000000000001E-5</v>
      </c>
      <c r="CA8" s="241">
        <v>9.9999999999999995E-7</v>
      </c>
      <c r="CB8" s="241">
        <v>9.9999999999999995E-8</v>
      </c>
      <c r="CC8" s="241">
        <v>1E-8</v>
      </c>
      <c r="CD8" s="241">
        <v>1.0000000000000001E-9</v>
      </c>
      <c r="CE8" s="241">
        <v>1E-10</v>
      </c>
      <c r="CF8" s="241">
        <v>9.9999999999999994E-12</v>
      </c>
      <c r="CG8" s="241">
        <v>9.9999999999999998E-13</v>
      </c>
      <c r="CH8" s="241">
        <v>0</v>
      </c>
      <c r="CI8" s="240" t="s">
        <v>73</v>
      </c>
    </row>
    <row r="9" spans="1:87">
      <c r="A9" s="242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 t="s">
        <v>69</v>
      </c>
      <c r="N9" s="243" t="s">
        <v>73</v>
      </c>
      <c r="O9" s="243" t="s">
        <v>74</v>
      </c>
      <c r="P9" s="239">
        <f>A9/AVERAGE($K$10:$K$15)</f>
        <v>0</v>
      </c>
      <c r="Q9" s="239">
        <f t="shared" ref="Q9:Z16" si="0">B9/AVERAGE($K$10:$K$15)</f>
        <v>0</v>
      </c>
      <c r="R9" s="239">
        <f t="shared" si="0"/>
        <v>0</v>
      </c>
      <c r="S9" s="239">
        <f t="shared" si="0"/>
        <v>0</v>
      </c>
      <c r="T9" s="239">
        <f t="shared" si="0"/>
        <v>0</v>
      </c>
      <c r="U9" s="239">
        <f t="shared" si="0"/>
        <v>0</v>
      </c>
      <c r="V9" s="239">
        <f t="shared" si="0"/>
        <v>0</v>
      </c>
      <c r="W9" s="239">
        <f t="shared" si="0"/>
        <v>0</v>
      </c>
      <c r="X9" s="239">
        <f t="shared" si="0"/>
        <v>0</v>
      </c>
      <c r="Y9" s="239">
        <f t="shared" si="0"/>
        <v>0</v>
      </c>
      <c r="Z9" s="239">
        <f>K9/AVERAGE($K$10:$K$15)</f>
        <v>0</v>
      </c>
      <c r="AD9" s="243" t="s">
        <v>73</v>
      </c>
      <c r="AE9" s="243" t="s">
        <v>74</v>
      </c>
      <c r="AF9" s="239">
        <f>AVERAGE(P9,P24,P39)</f>
        <v>0</v>
      </c>
      <c r="AG9" s="239">
        <f t="shared" ref="AG9:AP16" si="1">AVERAGE(Q9,Q24,Q39)</f>
        <v>0</v>
      </c>
      <c r="AH9" s="239">
        <f t="shared" si="1"/>
        <v>0</v>
      </c>
      <c r="AI9" s="239">
        <f t="shared" si="1"/>
        <v>0</v>
      </c>
      <c r="AJ9" s="239">
        <f t="shared" si="1"/>
        <v>0</v>
      </c>
      <c r="AK9" s="239">
        <f t="shared" si="1"/>
        <v>0</v>
      </c>
      <c r="AL9" s="239">
        <f t="shared" si="1"/>
        <v>0</v>
      </c>
      <c r="AM9" s="239">
        <f t="shared" si="1"/>
        <v>0</v>
      </c>
      <c r="AN9" s="239">
        <f t="shared" si="1"/>
        <v>0</v>
      </c>
      <c r="AO9" s="239">
        <f t="shared" si="1"/>
        <v>0</v>
      </c>
      <c r="AP9" s="239">
        <f>AVERAGE(Z9,Z24,Z39)</f>
        <v>0</v>
      </c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 t="s">
        <v>69</v>
      </c>
      <c r="BF9" s="243" t="s">
        <v>73</v>
      </c>
      <c r="BG9" s="243" t="s">
        <v>74</v>
      </c>
      <c r="BH9" s="239">
        <f>AS9/AVERAGE($K$8:$K$13)</f>
        <v>0</v>
      </c>
      <c r="BI9" s="239">
        <f t="shared" ref="BI9:BR16" si="2">AT9/AVERAGE($K$8:$K$13)</f>
        <v>0</v>
      </c>
      <c r="BJ9" s="239">
        <f t="shared" si="2"/>
        <v>0</v>
      </c>
      <c r="BK9" s="239">
        <f t="shared" si="2"/>
        <v>0</v>
      </c>
      <c r="BL9" s="239">
        <f t="shared" si="2"/>
        <v>0</v>
      </c>
      <c r="BM9" s="239">
        <f t="shared" si="2"/>
        <v>0</v>
      </c>
      <c r="BN9" s="239">
        <f t="shared" si="2"/>
        <v>0</v>
      </c>
      <c r="BO9" s="239">
        <f t="shared" si="2"/>
        <v>0</v>
      </c>
      <c r="BP9" s="239">
        <f t="shared" si="2"/>
        <v>0</v>
      </c>
      <c r="BQ9" s="239">
        <f t="shared" si="2"/>
        <v>0</v>
      </c>
      <c r="BR9" s="239">
        <f>BC9/AVERAGE($K$8:$K$13)</f>
        <v>0</v>
      </c>
      <c r="BV9" s="243" t="s">
        <v>73</v>
      </c>
      <c r="BW9" s="243" t="s">
        <v>74</v>
      </c>
      <c r="BX9" s="239">
        <f>AVERAGE(BH9,BH24,BH39)</f>
        <v>0</v>
      </c>
      <c r="BY9" s="239">
        <f t="shared" ref="BY9:CH16" si="3">AVERAGE(BI9,BI24,BI39)</f>
        <v>0</v>
      </c>
      <c r="BZ9" s="239">
        <f t="shared" si="3"/>
        <v>0</v>
      </c>
      <c r="CA9" s="239">
        <f t="shared" si="3"/>
        <v>0</v>
      </c>
      <c r="CB9" s="239">
        <f t="shared" si="3"/>
        <v>0</v>
      </c>
      <c r="CC9" s="239">
        <f t="shared" si="3"/>
        <v>0</v>
      </c>
      <c r="CD9" s="239">
        <f t="shared" si="3"/>
        <v>0</v>
      </c>
      <c r="CE9" s="239">
        <f t="shared" si="3"/>
        <v>0</v>
      </c>
      <c r="CF9" s="239">
        <f t="shared" si="3"/>
        <v>0</v>
      </c>
      <c r="CG9" s="239">
        <f t="shared" si="3"/>
        <v>0</v>
      </c>
      <c r="CH9" s="239">
        <f>AVERAGE(BR9,BR24,BR39)</f>
        <v>0</v>
      </c>
    </row>
    <row r="10" spans="1:87">
      <c r="A10" s="242"/>
      <c r="B10" s="244">
        <v>0.3663086395714199</v>
      </c>
      <c r="C10" s="244">
        <v>0.35395055152346938</v>
      </c>
      <c r="D10" s="244">
        <v>0.54838317561227756</v>
      </c>
      <c r="E10" s="244">
        <v>0.5918671633497139</v>
      </c>
      <c r="F10" s="244">
        <v>0.78480873348014801</v>
      </c>
      <c r="G10" s="244">
        <v>0.92357796417786497</v>
      </c>
      <c r="H10" s="244">
        <v>0.89471464926768762</v>
      </c>
      <c r="I10" s="244">
        <v>0.96719558577190612</v>
      </c>
      <c r="J10" s="244">
        <v>1.1305676418303596</v>
      </c>
      <c r="K10" s="244">
        <v>1.1019862094508395</v>
      </c>
      <c r="L10" s="242" t="s">
        <v>69</v>
      </c>
      <c r="N10" s="243" t="s">
        <v>62</v>
      </c>
      <c r="O10" s="243" t="s">
        <v>75</v>
      </c>
      <c r="P10" s="239">
        <f t="shared" ref="P10:P16" si="4">A10/AVERAGE($K$10:$K$15)</f>
        <v>0</v>
      </c>
      <c r="Q10" s="239">
        <f t="shared" si="0"/>
        <v>0.34834761670948544</v>
      </c>
      <c r="R10" s="239">
        <f t="shared" si="0"/>
        <v>0.3365954764279287</v>
      </c>
      <c r="S10" s="239">
        <f t="shared" si="0"/>
        <v>0.52149458579960961</v>
      </c>
      <c r="T10" s="239">
        <f t="shared" si="0"/>
        <v>0.56284644556213947</v>
      </c>
      <c r="U10" s="239">
        <f t="shared" si="0"/>
        <v>0.74632761105624068</v>
      </c>
      <c r="V10" s="239">
        <f t="shared" si="0"/>
        <v>0.87829264153631903</v>
      </c>
      <c r="W10" s="239">
        <f t="shared" si="0"/>
        <v>0.85084456668048347</v>
      </c>
      <c r="X10" s="239">
        <f t="shared" si="0"/>
        <v>0.91977158275538906</v>
      </c>
      <c r="Y10" s="239">
        <f t="shared" si="0"/>
        <v>1.0751331009316341</v>
      </c>
      <c r="Z10" s="239">
        <f t="shared" si="0"/>
        <v>1.0479530872055096</v>
      </c>
      <c r="AD10" s="243" t="s">
        <v>62</v>
      </c>
      <c r="AE10" s="243" t="s">
        <v>75</v>
      </c>
      <c r="AF10" s="239">
        <f t="shared" ref="AF10:AF16" si="5">AVERAGE(P10,P25,P40)</f>
        <v>0</v>
      </c>
      <c r="AG10" s="239">
        <f t="shared" si="1"/>
        <v>0.34516232896481336</v>
      </c>
      <c r="AH10" s="239">
        <f t="shared" si="1"/>
        <v>0.33180677455321289</v>
      </c>
      <c r="AI10" s="239">
        <f t="shared" si="1"/>
        <v>0.53392124810767772</v>
      </c>
      <c r="AJ10" s="239">
        <f t="shared" si="1"/>
        <v>0.59093956537931558</v>
      </c>
      <c r="AK10" s="239">
        <f t="shared" si="1"/>
        <v>0.78386265984080594</v>
      </c>
      <c r="AL10" s="239">
        <f t="shared" si="1"/>
        <v>0.90565611523851952</v>
      </c>
      <c r="AM10" s="239">
        <f t="shared" si="1"/>
        <v>0.91715707792053969</v>
      </c>
      <c r="AN10" s="239">
        <f t="shared" si="1"/>
        <v>0.98368053420520718</v>
      </c>
      <c r="AO10" s="239">
        <f t="shared" si="1"/>
        <v>1.0045669877446175</v>
      </c>
      <c r="AP10" s="239">
        <f t="shared" si="1"/>
        <v>0.99738665497482681</v>
      </c>
      <c r="AS10" s="242"/>
      <c r="AT10" s="244">
        <v>0.37525830138201266</v>
      </c>
      <c r="AU10" s="244">
        <v>0.36999624949209592</v>
      </c>
      <c r="AV10" s="244">
        <v>0.32739404044662707</v>
      </c>
      <c r="AW10" s="244">
        <v>0.32108172658681577</v>
      </c>
      <c r="AX10" s="244">
        <v>0.34643038420603306</v>
      </c>
      <c r="AY10" s="244">
        <v>0.36209031318204071</v>
      </c>
      <c r="AZ10" s="244">
        <v>0.47407841103913684</v>
      </c>
      <c r="BA10" s="244">
        <v>0.47680945330376256</v>
      </c>
      <c r="BB10" s="244">
        <v>0.50534764516332908</v>
      </c>
      <c r="BC10" s="244">
        <v>1.0190800938908282</v>
      </c>
      <c r="BD10" s="242" t="s">
        <v>69</v>
      </c>
      <c r="BF10" s="243" t="s">
        <v>83</v>
      </c>
      <c r="BG10" s="243" t="s">
        <v>75</v>
      </c>
      <c r="BH10" s="239">
        <f t="shared" ref="BH10:BH16" si="6">AS10/AVERAGE($K$8:$K$13)</f>
        <v>0</v>
      </c>
      <c r="BI10" s="239">
        <f t="shared" si="2"/>
        <v>0.34928324835996899</v>
      </c>
      <c r="BJ10" s="239">
        <f t="shared" si="2"/>
        <v>0.34438543112213577</v>
      </c>
      <c r="BK10" s="239">
        <f t="shared" si="2"/>
        <v>0.30473210990869309</v>
      </c>
      <c r="BL10" s="239">
        <f t="shared" si="2"/>
        <v>0.29885672892044396</v>
      </c>
      <c r="BM10" s="239">
        <f t="shared" si="2"/>
        <v>0.32245077452102794</v>
      </c>
      <c r="BN10" s="239">
        <f t="shared" si="2"/>
        <v>0.33702673684266665</v>
      </c>
      <c r="BO10" s="239">
        <f t="shared" si="2"/>
        <v>0.44126311603301266</v>
      </c>
      <c r="BP10" s="239">
        <f t="shared" si="2"/>
        <v>0.44380511792899674</v>
      </c>
      <c r="BQ10" s="239">
        <f t="shared" si="2"/>
        <v>0.47036792098576929</v>
      </c>
      <c r="BR10" s="239">
        <f t="shared" si="2"/>
        <v>0.94854025673056663</v>
      </c>
      <c r="BV10" s="243" t="s">
        <v>83</v>
      </c>
      <c r="BW10" s="243" t="s">
        <v>75</v>
      </c>
      <c r="BX10" s="239">
        <f t="shared" ref="BX10:BX16" si="7">AVERAGE(BH10,BH25,BH40)</f>
        <v>0</v>
      </c>
      <c r="BY10" s="239">
        <f t="shared" si="3"/>
        <v>0.36111949889225531</v>
      </c>
      <c r="BZ10" s="239">
        <f t="shared" si="3"/>
        <v>0.35330592918037529</v>
      </c>
      <c r="CA10" s="239">
        <f t="shared" si="3"/>
        <v>0.31658988106872588</v>
      </c>
      <c r="CB10" s="239">
        <f t="shared" si="3"/>
        <v>0.31060733488702058</v>
      </c>
      <c r="CC10" s="239">
        <f t="shared" si="3"/>
        <v>0.3353585100977286</v>
      </c>
      <c r="CD10" s="239">
        <f t="shared" si="3"/>
        <v>0.36058920221514074</v>
      </c>
      <c r="CE10" s="239">
        <f t="shared" si="3"/>
        <v>0.41916064780357171</v>
      </c>
      <c r="CF10" s="239">
        <f t="shared" si="3"/>
        <v>0.44931426296568272</v>
      </c>
      <c r="CG10" s="239">
        <f t="shared" si="3"/>
        <v>0.46036814925204855</v>
      </c>
      <c r="CH10" s="239">
        <f t="shared" si="3"/>
        <v>0.91192627054094988</v>
      </c>
    </row>
    <row r="11" spans="1:87">
      <c r="A11" s="242"/>
      <c r="B11" s="244">
        <v>0.38955541875975075</v>
      </c>
      <c r="C11" s="244">
        <v>0.37130150681857443</v>
      </c>
      <c r="D11" s="244">
        <v>0.40987917879647368</v>
      </c>
      <c r="E11" s="244">
        <v>0.64678507883336678</v>
      </c>
      <c r="F11" s="244">
        <v>0.87762730930389643</v>
      </c>
      <c r="G11" s="244">
        <v>0.91544684564676304</v>
      </c>
      <c r="H11" s="244">
        <v>1.0073639384291346</v>
      </c>
      <c r="I11" s="244">
        <v>1.0855288557678313</v>
      </c>
      <c r="J11" s="244">
        <v>1.1180703011239614</v>
      </c>
      <c r="K11" s="244">
        <v>1.0957128860813237</v>
      </c>
      <c r="L11" s="242" t="s">
        <v>69</v>
      </c>
      <c r="N11" s="243" t="s">
        <v>62</v>
      </c>
      <c r="O11" s="243" t="s">
        <v>76</v>
      </c>
      <c r="P11" s="239">
        <f t="shared" si="4"/>
        <v>0</v>
      </c>
      <c r="Q11" s="239">
        <f t="shared" si="0"/>
        <v>0.37045454854680526</v>
      </c>
      <c r="R11" s="239">
        <f t="shared" si="0"/>
        <v>0.35309567126841712</v>
      </c>
      <c r="S11" s="239">
        <f t="shared" si="0"/>
        <v>0.38978178412511749</v>
      </c>
      <c r="T11" s="239">
        <f t="shared" si="0"/>
        <v>0.61507159918059107</v>
      </c>
      <c r="U11" s="239">
        <f t="shared" si="0"/>
        <v>0.83459506145654005</v>
      </c>
      <c r="V11" s="239">
        <f t="shared" si="0"/>
        <v>0.87056021195233313</v>
      </c>
      <c r="W11" s="239">
        <f t="shared" si="0"/>
        <v>0.95797038126492717</v>
      </c>
      <c r="X11" s="239">
        <f t="shared" si="0"/>
        <v>1.0323026784695093</v>
      </c>
      <c r="Y11" s="239">
        <f t="shared" si="0"/>
        <v>1.063248535895511</v>
      </c>
      <c r="Z11" s="239">
        <f t="shared" si="0"/>
        <v>1.0419873604697834</v>
      </c>
      <c r="AD11" s="243" t="s">
        <v>62</v>
      </c>
      <c r="AE11" s="243" t="s">
        <v>76</v>
      </c>
      <c r="AF11" s="239">
        <f t="shared" si="5"/>
        <v>0</v>
      </c>
      <c r="AG11" s="239">
        <f t="shared" si="1"/>
        <v>0.36171418639805059</v>
      </c>
      <c r="AH11" s="239">
        <f t="shared" si="1"/>
        <v>0.35187358918238726</v>
      </c>
      <c r="AI11" s="239">
        <f t="shared" si="1"/>
        <v>0.37983132616945836</v>
      </c>
      <c r="AJ11" s="239">
        <f t="shared" si="1"/>
        <v>0.60990530209886906</v>
      </c>
      <c r="AK11" s="239">
        <f t="shared" si="1"/>
        <v>0.84228598881045691</v>
      </c>
      <c r="AL11" s="239">
        <f t="shared" si="1"/>
        <v>0.88855222790485566</v>
      </c>
      <c r="AM11" s="239">
        <f t="shared" si="1"/>
        <v>0.96529109817943548</v>
      </c>
      <c r="AN11" s="239">
        <f t="shared" si="1"/>
        <v>1.0035261355479588</v>
      </c>
      <c r="AO11" s="239">
        <f t="shared" si="1"/>
        <v>1.0171098919912862</v>
      </c>
      <c r="AP11" s="239">
        <f t="shared" si="1"/>
        <v>1.0225164181336863</v>
      </c>
      <c r="AS11" s="242"/>
      <c r="AT11" s="244">
        <v>0.54767284481558953</v>
      </c>
      <c r="AU11" s="244">
        <v>0.38923837141239603</v>
      </c>
      <c r="AV11" s="244">
        <v>0.3388002983382824</v>
      </c>
      <c r="AW11" s="244">
        <v>0.32902983083159915</v>
      </c>
      <c r="AX11" s="244">
        <v>0.37244222325960435</v>
      </c>
      <c r="AY11" s="244">
        <v>0.39985021283242417</v>
      </c>
      <c r="AZ11" s="244">
        <v>0.38679998568422735</v>
      </c>
      <c r="BA11" s="244">
        <v>0.4597020022788425</v>
      </c>
      <c r="BB11" s="244">
        <v>0.48251235173918028</v>
      </c>
      <c r="BC11" s="244">
        <v>0.90546343432541032</v>
      </c>
      <c r="BD11" s="242" t="s">
        <v>69</v>
      </c>
      <c r="BF11" s="243" t="s">
        <v>83</v>
      </c>
      <c r="BG11" s="243" t="s">
        <v>76</v>
      </c>
      <c r="BH11" s="239">
        <f t="shared" si="6"/>
        <v>0</v>
      </c>
      <c r="BI11" s="239">
        <f t="shared" si="2"/>
        <v>0.50976340715511104</v>
      </c>
      <c r="BJ11" s="239">
        <f t="shared" si="2"/>
        <v>0.36229563011016308</v>
      </c>
      <c r="BK11" s="239">
        <f t="shared" si="2"/>
        <v>0.31534883655632878</v>
      </c>
      <c r="BL11" s="239">
        <f t="shared" si="2"/>
        <v>0.30625467230689951</v>
      </c>
      <c r="BM11" s="239">
        <f t="shared" si="2"/>
        <v>0.34666209671426851</v>
      </c>
      <c r="BN11" s="239">
        <f t="shared" si="2"/>
        <v>0.37217292910293087</v>
      </c>
      <c r="BO11" s="239">
        <f t="shared" si="2"/>
        <v>0.36002602731989114</v>
      </c>
      <c r="BP11" s="239">
        <f t="shared" si="2"/>
        <v>0.4278818297748454</v>
      </c>
      <c r="BQ11" s="239">
        <f t="shared" si="2"/>
        <v>0.44911326669813456</v>
      </c>
      <c r="BR11" s="239">
        <f t="shared" si="2"/>
        <v>0.84278804345595815</v>
      </c>
      <c r="BV11" s="243" t="s">
        <v>83</v>
      </c>
      <c r="BW11" s="243" t="s">
        <v>76</v>
      </c>
      <c r="BX11" s="239">
        <f t="shared" si="7"/>
        <v>0</v>
      </c>
      <c r="BY11" s="239">
        <f t="shared" si="3"/>
        <v>0.45423423818482062</v>
      </c>
      <c r="BZ11" s="239">
        <f t="shared" si="3"/>
        <v>0.36950384493419358</v>
      </c>
      <c r="CA11" s="239">
        <f t="shared" si="3"/>
        <v>0.32027817704261802</v>
      </c>
      <c r="CB11" s="239">
        <f t="shared" si="3"/>
        <v>0.31234399444239247</v>
      </c>
      <c r="CC11" s="239">
        <f t="shared" si="3"/>
        <v>0.3557519646780522</v>
      </c>
      <c r="CD11" s="239">
        <f t="shared" si="3"/>
        <v>0.38136319504234129</v>
      </c>
      <c r="CE11" s="239">
        <f t="shared" si="3"/>
        <v>0.3718129971524447</v>
      </c>
      <c r="CF11" s="239">
        <f t="shared" si="3"/>
        <v>0.42989427583193912</v>
      </c>
      <c r="CG11" s="239">
        <f t="shared" si="3"/>
        <v>0.44512034920399235</v>
      </c>
      <c r="CH11" s="239">
        <f t="shared" si="3"/>
        <v>0.87582864248616643</v>
      </c>
    </row>
    <row r="12" spans="1:87">
      <c r="A12" s="242"/>
      <c r="B12" s="244">
        <v>0.37618657205803285</v>
      </c>
      <c r="C12" s="244">
        <v>0.34958665016490531</v>
      </c>
      <c r="D12" s="244">
        <v>0.40166488982443405</v>
      </c>
      <c r="E12" s="244">
        <v>0.62520006502552916</v>
      </c>
      <c r="F12" s="244">
        <v>0.85894609511043163</v>
      </c>
      <c r="G12" s="244">
        <v>0.88370771378022661</v>
      </c>
      <c r="H12" s="244">
        <v>0.9605152952532402</v>
      </c>
      <c r="I12" s="244">
        <v>0.99770399098341633</v>
      </c>
      <c r="J12" s="244">
        <v>1.1012566121755591</v>
      </c>
      <c r="K12" s="244">
        <v>1.064296467159831</v>
      </c>
      <c r="L12" s="242" t="s">
        <v>69</v>
      </c>
      <c r="N12" s="243" t="s">
        <v>62</v>
      </c>
      <c r="O12" s="243" t="s">
        <v>77</v>
      </c>
      <c r="P12" s="239">
        <f t="shared" si="4"/>
        <v>0</v>
      </c>
      <c r="Q12" s="239">
        <f t="shared" si="0"/>
        <v>0.35774120961997408</v>
      </c>
      <c r="R12" s="239">
        <f t="shared" si="0"/>
        <v>0.3324455479971124</v>
      </c>
      <c r="S12" s="239">
        <f t="shared" si="0"/>
        <v>0.38197026215358859</v>
      </c>
      <c r="T12" s="239">
        <f t="shared" si="0"/>
        <v>0.59454495223773196</v>
      </c>
      <c r="U12" s="239">
        <f t="shared" si="0"/>
        <v>0.8168298336171238</v>
      </c>
      <c r="V12" s="239">
        <f t="shared" si="0"/>
        <v>0.84037732859181002</v>
      </c>
      <c r="W12" s="239">
        <f t="shared" si="0"/>
        <v>0.91341884348113411</v>
      </c>
      <c r="X12" s="239">
        <f t="shared" si="0"/>
        <v>0.94878408504709311</v>
      </c>
      <c r="Y12" s="239">
        <f t="shared" si="0"/>
        <v>1.0472592638976592</v>
      </c>
      <c r="Z12" s="239">
        <f t="shared" si="0"/>
        <v>1.0121113666366786</v>
      </c>
      <c r="AD12" s="243" t="s">
        <v>62</v>
      </c>
      <c r="AE12" s="243" t="s">
        <v>77</v>
      </c>
      <c r="AF12" s="239">
        <f t="shared" si="5"/>
        <v>0</v>
      </c>
      <c r="AG12" s="239">
        <f t="shared" si="1"/>
        <v>0.34883974684493674</v>
      </c>
      <c r="AH12" s="239">
        <f t="shared" si="1"/>
        <v>0.33510098667628796</v>
      </c>
      <c r="AI12" s="239">
        <f t="shared" si="1"/>
        <v>0.38026853368120905</v>
      </c>
      <c r="AJ12" s="239">
        <f t="shared" si="1"/>
        <v>0.59731931889045309</v>
      </c>
      <c r="AK12" s="239">
        <f t="shared" si="1"/>
        <v>0.83046109182029648</v>
      </c>
      <c r="AL12" s="239">
        <f t="shared" si="1"/>
        <v>0.86428507355542372</v>
      </c>
      <c r="AM12" s="239">
        <f t="shared" si="1"/>
        <v>0.93750968707125271</v>
      </c>
      <c r="AN12" s="239">
        <f t="shared" si="1"/>
        <v>0.95419619426157876</v>
      </c>
      <c r="AO12" s="239">
        <f t="shared" si="1"/>
        <v>1.0240649678426357</v>
      </c>
      <c r="AP12" s="239">
        <f t="shared" si="1"/>
        <v>1.0247367447787659</v>
      </c>
      <c r="AS12" s="242"/>
      <c r="AT12" s="244">
        <v>0.50217194393802578</v>
      </c>
      <c r="AU12" s="244">
        <v>0.37444249663954515</v>
      </c>
      <c r="AV12" s="244">
        <v>0.32346279926468269</v>
      </c>
      <c r="AW12" s="244">
        <v>0.32159189299443763</v>
      </c>
      <c r="AX12" s="244">
        <v>0.36923065916037656</v>
      </c>
      <c r="AY12" s="244">
        <v>0.38787967988135558</v>
      </c>
      <c r="AZ12" s="244">
        <v>0.38660931748583904</v>
      </c>
      <c r="BA12" s="244">
        <v>0.49446756392906527</v>
      </c>
      <c r="BB12" s="244">
        <v>0.50658565395603128</v>
      </c>
      <c r="BC12" s="244">
        <v>0.96458237901302735</v>
      </c>
      <c r="BD12" s="242" t="s">
        <v>69</v>
      </c>
      <c r="BF12" s="243" t="s">
        <v>83</v>
      </c>
      <c r="BG12" s="243" t="s">
        <v>77</v>
      </c>
      <c r="BH12" s="239">
        <f t="shared" si="6"/>
        <v>0</v>
      </c>
      <c r="BI12" s="239">
        <f t="shared" si="2"/>
        <v>0.46741203903536449</v>
      </c>
      <c r="BJ12" s="239">
        <f t="shared" si="2"/>
        <v>0.34852391291175339</v>
      </c>
      <c r="BK12" s="239">
        <f t="shared" si="2"/>
        <v>0.30107298581987468</v>
      </c>
      <c r="BL12" s="239">
        <f t="shared" si="2"/>
        <v>0.29933158205334481</v>
      </c>
      <c r="BM12" s="239">
        <f t="shared" si="2"/>
        <v>0.34367283428685963</v>
      </c>
      <c r="BN12" s="239">
        <f t="shared" si="2"/>
        <v>0.36103098602438743</v>
      </c>
      <c r="BO12" s="239">
        <f t="shared" si="2"/>
        <v>0.35984855700825047</v>
      </c>
      <c r="BP12" s="239">
        <f t="shared" si="2"/>
        <v>0.46024094950524935</v>
      </c>
      <c r="BQ12" s="239">
        <f t="shared" si="2"/>
        <v>0.47152023588732034</v>
      </c>
      <c r="BR12" s="239">
        <f t="shared" si="2"/>
        <v>0.89781482624545672</v>
      </c>
      <c r="BV12" s="243" t="s">
        <v>83</v>
      </c>
      <c r="BW12" s="243" t="s">
        <v>77</v>
      </c>
      <c r="BX12" s="239">
        <f t="shared" si="7"/>
        <v>0</v>
      </c>
      <c r="BY12" s="239">
        <f t="shared" si="3"/>
        <v>0.42735240072599173</v>
      </c>
      <c r="BZ12" s="239">
        <f t="shared" si="3"/>
        <v>0.35479621458332339</v>
      </c>
      <c r="CA12" s="239">
        <f t="shared" si="3"/>
        <v>0.31144197453819317</v>
      </c>
      <c r="CB12" s="239">
        <f t="shared" si="3"/>
        <v>0.3067532426669754</v>
      </c>
      <c r="CC12" s="239">
        <f t="shared" si="3"/>
        <v>0.34526188045524281</v>
      </c>
      <c r="CD12" s="239">
        <f t="shared" si="3"/>
        <v>0.37094155229299686</v>
      </c>
      <c r="CE12" s="239">
        <f t="shared" si="3"/>
        <v>0.37484675267608525</v>
      </c>
      <c r="CF12" s="239">
        <f t="shared" si="3"/>
        <v>0.4515172957675177</v>
      </c>
      <c r="CG12" s="239">
        <f t="shared" si="3"/>
        <v>0.46913844589451931</v>
      </c>
      <c r="CH12" s="239">
        <f t="shared" si="3"/>
        <v>0.91308287378678543</v>
      </c>
    </row>
    <row r="13" spans="1:87">
      <c r="A13" s="242"/>
      <c r="B13" s="244">
        <v>0.28074221945385458</v>
      </c>
      <c r="C13" s="244">
        <v>0.32668924697990431</v>
      </c>
      <c r="D13" s="244">
        <v>0.47684237248912331</v>
      </c>
      <c r="E13" s="244">
        <v>0.37755485863776445</v>
      </c>
      <c r="F13" s="244">
        <v>0.53928450870615641</v>
      </c>
      <c r="G13" s="244">
        <v>0.74207275322782984</v>
      </c>
      <c r="H13" s="244">
        <v>0.88423287419598651</v>
      </c>
      <c r="I13" s="244">
        <v>0.96304381612541057</v>
      </c>
      <c r="J13" s="244">
        <v>1.0408767795584084</v>
      </c>
      <c r="K13" s="244">
        <v>1.0354713572820666</v>
      </c>
      <c r="L13" s="242" t="s">
        <v>69</v>
      </c>
      <c r="N13" s="243" t="s">
        <v>78</v>
      </c>
      <c r="O13" s="243" t="s">
        <v>79</v>
      </c>
      <c r="P13" s="239">
        <f t="shared" si="4"/>
        <v>0</v>
      </c>
      <c r="Q13" s="239">
        <f t="shared" si="0"/>
        <v>0.26697673079974993</v>
      </c>
      <c r="R13" s="239">
        <f t="shared" si="0"/>
        <v>0.31067086138949246</v>
      </c>
      <c r="S13" s="239">
        <f t="shared" si="0"/>
        <v>0.45346160602989721</v>
      </c>
      <c r="T13" s="239">
        <f t="shared" si="0"/>
        <v>0.35904240570855867</v>
      </c>
      <c r="U13" s="239">
        <f t="shared" si="0"/>
        <v>0.51284204914175446</v>
      </c>
      <c r="V13" s="239">
        <f t="shared" si="0"/>
        <v>0.70568708211306208</v>
      </c>
      <c r="W13" s="239">
        <f t="shared" si="0"/>
        <v>0.84087673908738059</v>
      </c>
      <c r="X13" s="239">
        <f t="shared" si="0"/>
        <v>0.91582338469165891</v>
      </c>
      <c r="Y13" s="239">
        <f t="shared" si="0"/>
        <v>0.98984000451543208</v>
      </c>
      <c r="Z13" s="239">
        <f t="shared" si="0"/>
        <v>0.98469962352557849</v>
      </c>
      <c r="AD13" s="243" t="s">
        <v>78</v>
      </c>
      <c r="AE13" s="243" t="s">
        <v>79</v>
      </c>
      <c r="AF13" s="239">
        <f t="shared" si="5"/>
        <v>0</v>
      </c>
      <c r="AG13" s="239">
        <f t="shared" si="1"/>
        <v>0.26942512143777159</v>
      </c>
      <c r="AH13" s="239">
        <f t="shared" si="1"/>
        <v>0.31356770710156856</v>
      </c>
      <c r="AI13" s="239">
        <f t="shared" si="1"/>
        <v>0.45601776703516744</v>
      </c>
      <c r="AJ13" s="239">
        <f t="shared" si="1"/>
        <v>0.3598084646599416</v>
      </c>
      <c r="AK13" s="239">
        <f t="shared" si="1"/>
        <v>0.52763235357772664</v>
      </c>
      <c r="AL13" s="239">
        <f t="shared" si="1"/>
        <v>0.72431195822183969</v>
      </c>
      <c r="AM13" s="239">
        <f t="shared" si="1"/>
        <v>0.84863937710042547</v>
      </c>
      <c r="AN13" s="239">
        <f t="shared" si="1"/>
        <v>0.94377609550093433</v>
      </c>
      <c r="AO13" s="239">
        <f t="shared" si="1"/>
        <v>1.0038843722699455</v>
      </c>
      <c r="AP13" s="239">
        <f t="shared" si="1"/>
        <v>1.0039353420985717</v>
      </c>
      <c r="AS13" s="242"/>
      <c r="AT13" s="244">
        <v>0.29294363042608546</v>
      </c>
      <c r="AU13" s="244">
        <v>0.33674605764692006</v>
      </c>
      <c r="AV13" s="244">
        <v>0.31441924337091393</v>
      </c>
      <c r="AW13" s="244">
        <v>0.3353499702068875</v>
      </c>
      <c r="AX13" s="244">
        <v>0.51725275392603953</v>
      </c>
      <c r="AY13" s="244">
        <v>0.7040768493799433</v>
      </c>
      <c r="AZ13" s="244">
        <v>0.84932476818569969</v>
      </c>
      <c r="BA13" s="244">
        <v>0.91134971965156575</v>
      </c>
      <c r="BB13" s="244">
        <v>0.94073851811125275</v>
      </c>
      <c r="BC13" s="244">
        <v>0.97921638869833483</v>
      </c>
      <c r="BD13" s="242" t="s">
        <v>69</v>
      </c>
      <c r="BF13" s="243" t="s">
        <v>78</v>
      </c>
      <c r="BG13" s="243" t="s">
        <v>79</v>
      </c>
      <c r="BH13" s="239">
        <f t="shared" si="6"/>
        <v>0</v>
      </c>
      <c r="BI13" s="239">
        <f t="shared" si="2"/>
        <v>0.27266632728645057</v>
      </c>
      <c r="BJ13" s="239">
        <f t="shared" si="2"/>
        <v>0.31343678861774943</v>
      </c>
      <c r="BK13" s="239">
        <f t="shared" si="2"/>
        <v>0.29265541699416897</v>
      </c>
      <c r="BL13" s="239">
        <f t="shared" si="2"/>
        <v>0.31213733713525516</v>
      </c>
      <c r="BM13" s="239">
        <f t="shared" si="2"/>
        <v>0.48144896848133195</v>
      </c>
      <c r="BN13" s="239">
        <f t="shared" si="2"/>
        <v>0.65534126264706005</v>
      </c>
      <c r="BO13" s="239">
        <f t="shared" si="2"/>
        <v>0.79053524692711419</v>
      </c>
      <c r="BP13" s="239">
        <f t="shared" si="2"/>
        <v>0.84826688523486449</v>
      </c>
      <c r="BQ13" s="239">
        <f t="shared" si="2"/>
        <v>0.87562141664320814</v>
      </c>
      <c r="BR13" s="239">
        <f t="shared" si="2"/>
        <v>0.91143588251680629</v>
      </c>
      <c r="BV13" s="243" t="s">
        <v>78</v>
      </c>
      <c r="BW13" s="243" t="s">
        <v>79</v>
      </c>
      <c r="BX13" s="239">
        <f t="shared" si="7"/>
        <v>0</v>
      </c>
      <c r="BY13" s="239">
        <f t="shared" si="3"/>
        <v>0.27891042869503446</v>
      </c>
      <c r="BZ13" s="239">
        <f t="shared" si="3"/>
        <v>0.3149141445529447</v>
      </c>
      <c r="CA13" s="239">
        <f t="shared" si="3"/>
        <v>0.29886765923558939</v>
      </c>
      <c r="CB13" s="239">
        <f t="shared" si="3"/>
        <v>0.3211195496965098</v>
      </c>
      <c r="CC13" s="239">
        <f t="shared" si="3"/>
        <v>0.49851492371897316</v>
      </c>
      <c r="CD13" s="239">
        <f t="shared" si="3"/>
        <v>0.67261894562630287</v>
      </c>
      <c r="CE13" s="239">
        <f t="shared" si="3"/>
        <v>0.8006548317888339</v>
      </c>
      <c r="CF13" s="239">
        <f t="shared" si="3"/>
        <v>0.85124200878704048</v>
      </c>
      <c r="CG13" s="239">
        <f t="shared" si="3"/>
        <v>0.87793321012222736</v>
      </c>
      <c r="CH13" s="239">
        <f t="shared" si="3"/>
        <v>0.93222623599310372</v>
      </c>
    </row>
    <row r="14" spans="1:87">
      <c r="A14" s="242"/>
      <c r="B14" s="244">
        <v>0.27863379680764355</v>
      </c>
      <c r="C14" s="244">
        <v>0.32502589366704243</v>
      </c>
      <c r="D14" s="244">
        <v>0.35434463469300587</v>
      </c>
      <c r="E14" s="244">
        <v>0.38926533648999601</v>
      </c>
      <c r="F14" s="244">
        <v>0.58564664568662561</v>
      </c>
      <c r="G14" s="244">
        <v>0.77875591945712741</v>
      </c>
      <c r="H14" s="244">
        <v>0.94516680593988056</v>
      </c>
      <c r="I14" s="244">
        <v>0.9761663309196098</v>
      </c>
      <c r="J14" s="244">
        <v>1.0055073068196125</v>
      </c>
      <c r="K14" s="244">
        <v>0.99845525739287577</v>
      </c>
      <c r="L14" s="242" t="s">
        <v>69</v>
      </c>
      <c r="N14" s="243" t="s">
        <v>78</v>
      </c>
      <c r="O14" s="243" t="s">
        <v>80</v>
      </c>
      <c r="P14" s="239">
        <f t="shared" si="4"/>
        <v>0</v>
      </c>
      <c r="Q14" s="239">
        <f t="shared" si="0"/>
        <v>0.26497168935523679</v>
      </c>
      <c r="R14" s="239">
        <f t="shared" si="0"/>
        <v>0.3090890664229331</v>
      </c>
      <c r="S14" s="239">
        <f t="shared" si="0"/>
        <v>0.33697023672038035</v>
      </c>
      <c r="T14" s="239">
        <f t="shared" si="0"/>
        <v>0.37017868973158052</v>
      </c>
      <c r="U14" s="239">
        <f t="shared" si="0"/>
        <v>0.55693093533783422</v>
      </c>
      <c r="V14" s="239">
        <f t="shared" si="0"/>
        <v>0.74057158154579317</v>
      </c>
      <c r="W14" s="239">
        <f t="shared" si="0"/>
        <v>0.89882292873925052</v>
      </c>
      <c r="X14" s="239">
        <f t="shared" si="0"/>
        <v>0.92830246997652288</v>
      </c>
      <c r="Y14" s="239">
        <f t="shared" si="0"/>
        <v>0.95620478491688243</v>
      </c>
      <c r="Z14" s="239">
        <f t="shared" si="0"/>
        <v>0.94949851499762683</v>
      </c>
      <c r="AD14" s="243" t="s">
        <v>78</v>
      </c>
      <c r="AE14" s="243" t="s">
        <v>80</v>
      </c>
      <c r="AF14" s="239">
        <f t="shared" si="5"/>
        <v>0</v>
      </c>
      <c r="AG14" s="239">
        <f t="shared" si="1"/>
        <v>0.26333721121597747</v>
      </c>
      <c r="AH14" s="239">
        <f t="shared" si="1"/>
        <v>0.31272162605267828</v>
      </c>
      <c r="AI14" s="239">
        <f t="shared" si="1"/>
        <v>0.33620406322532786</v>
      </c>
      <c r="AJ14" s="239">
        <f t="shared" si="1"/>
        <v>0.37351838878239496</v>
      </c>
      <c r="AK14" s="239">
        <f t="shared" si="1"/>
        <v>0.56612533173868196</v>
      </c>
      <c r="AL14" s="239">
        <f t="shared" si="1"/>
        <v>0.75679262825706806</v>
      </c>
      <c r="AM14" s="239">
        <f t="shared" si="1"/>
        <v>0.9116259630017064</v>
      </c>
      <c r="AN14" s="239">
        <f t="shared" si="1"/>
        <v>0.94366148492516544</v>
      </c>
      <c r="AO14" s="239">
        <f t="shared" si="1"/>
        <v>0.97752759209614626</v>
      </c>
      <c r="AP14" s="239">
        <f t="shared" si="1"/>
        <v>0.97185183792581353</v>
      </c>
      <c r="AS14" s="242"/>
      <c r="AT14" s="244">
        <v>0.28746631666277445</v>
      </c>
      <c r="AU14" s="244">
        <v>0.32939458759402529</v>
      </c>
      <c r="AV14" s="244">
        <v>0.31792075295839145</v>
      </c>
      <c r="AW14" s="244">
        <v>0.33817548268343861</v>
      </c>
      <c r="AX14" s="244">
        <v>0.50585644364674365</v>
      </c>
      <c r="AY14" s="244">
        <v>0.68719941341150848</v>
      </c>
      <c r="AZ14" s="244">
        <v>0.82218398609029264</v>
      </c>
      <c r="BA14" s="244">
        <v>0.94029189632803556</v>
      </c>
      <c r="BB14" s="244">
        <v>1.0016819451806205</v>
      </c>
      <c r="BC14" s="244">
        <v>0.95529404323715805</v>
      </c>
      <c r="BD14" s="242" t="s">
        <v>69</v>
      </c>
      <c r="BF14" s="243" t="s">
        <v>78</v>
      </c>
      <c r="BG14" s="243" t="s">
        <v>80</v>
      </c>
      <c r="BH14" s="239">
        <f t="shared" si="6"/>
        <v>0</v>
      </c>
      <c r="BI14" s="239">
        <f t="shared" si="2"/>
        <v>0.26756814841474996</v>
      </c>
      <c r="BJ14" s="239">
        <f t="shared" si="2"/>
        <v>0.30659418092369028</v>
      </c>
      <c r="BK14" s="239">
        <f t="shared" si="2"/>
        <v>0.29591455513548004</v>
      </c>
      <c r="BL14" s="239">
        <f t="shared" si="2"/>
        <v>0.3147672700973157</v>
      </c>
      <c r="BM14" s="239">
        <f t="shared" si="2"/>
        <v>0.47084150088098597</v>
      </c>
      <c r="BN14" s="239">
        <f t="shared" si="2"/>
        <v>0.63963206810737372</v>
      </c>
      <c r="BO14" s="239">
        <f t="shared" si="2"/>
        <v>0.76527312614683751</v>
      </c>
      <c r="BP14" s="239">
        <f t="shared" si="2"/>
        <v>0.87520570963111555</v>
      </c>
      <c r="BQ14" s="239">
        <f t="shared" si="2"/>
        <v>0.93234639273189945</v>
      </c>
      <c r="BR14" s="239">
        <f t="shared" si="2"/>
        <v>0.88916942098804963</v>
      </c>
      <c r="BV14" s="243" t="s">
        <v>78</v>
      </c>
      <c r="BW14" s="243" t="s">
        <v>80</v>
      </c>
      <c r="BX14" s="239">
        <f t="shared" si="7"/>
        <v>0</v>
      </c>
      <c r="BY14" s="239">
        <f t="shared" si="3"/>
        <v>0.2691321517659237</v>
      </c>
      <c r="BZ14" s="239">
        <f t="shared" si="3"/>
        <v>0.31204370205736026</v>
      </c>
      <c r="CA14" s="239">
        <f t="shared" si="3"/>
        <v>0.3019973965258454</v>
      </c>
      <c r="CB14" s="239">
        <f t="shared" si="3"/>
        <v>0.32162808323221781</v>
      </c>
      <c r="CC14" s="239">
        <f t="shared" si="3"/>
        <v>0.483432172557203</v>
      </c>
      <c r="CD14" s="239">
        <f t="shared" si="3"/>
        <v>0.65870247535464765</v>
      </c>
      <c r="CE14" s="239">
        <f t="shared" si="3"/>
        <v>0.78681123669003661</v>
      </c>
      <c r="CF14" s="239">
        <f t="shared" si="3"/>
        <v>0.88822320091241258</v>
      </c>
      <c r="CG14" s="239">
        <f t="shared" si="3"/>
        <v>0.92262556392666761</v>
      </c>
      <c r="CH14" s="239">
        <f t="shared" si="3"/>
        <v>0.90068179070203447</v>
      </c>
    </row>
    <row r="15" spans="1:87">
      <c r="A15" s="242"/>
      <c r="B15" s="244">
        <v>0.2833623095278463</v>
      </c>
      <c r="C15" s="244">
        <v>0.31993158807555533</v>
      </c>
      <c r="D15" s="244">
        <v>0.32271578234417003</v>
      </c>
      <c r="E15" s="244">
        <v>0.36609077629967385</v>
      </c>
      <c r="F15" s="244">
        <v>0.57524087567225124</v>
      </c>
      <c r="G15" s="244">
        <v>0.78555123954774175</v>
      </c>
      <c r="H15" s="244">
        <v>0.99434492497082183</v>
      </c>
      <c r="I15" s="244">
        <v>0.98887786781301601</v>
      </c>
      <c r="J15" s="244">
        <v>0.93973407972269674</v>
      </c>
      <c r="K15" s="244">
        <v>1.0134416075487551</v>
      </c>
      <c r="L15" s="242" t="s">
        <v>69</v>
      </c>
      <c r="N15" s="243" t="s">
        <v>78</v>
      </c>
      <c r="O15" s="243" t="s">
        <v>81</v>
      </c>
      <c r="P15" s="239">
        <f t="shared" si="4"/>
        <v>0</v>
      </c>
      <c r="Q15" s="239">
        <f t="shared" si="0"/>
        <v>0.26946835134658453</v>
      </c>
      <c r="R15" s="239">
        <f t="shared" si="0"/>
        <v>0.30424454729376216</v>
      </c>
      <c r="S15" s="239">
        <f t="shared" si="0"/>
        <v>0.30689222559876439</v>
      </c>
      <c r="T15" s="239">
        <f t="shared" si="0"/>
        <v>0.34814043581533549</v>
      </c>
      <c r="U15" s="239">
        <f t="shared" si="0"/>
        <v>0.54703538608522762</v>
      </c>
      <c r="V15" s="239">
        <f t="shared" si="0"/>
        <v>0.74703371020623954</v>
      </c>
      <c r="W15" s="239">
        <f t="shared" si="0"/>
        <v>0.94558972238825389</v>
      </c>
      <c r="X15" s="239">
        <f t="shared" si="0"/>
        <v>0.94039072862833506</v>
      </c>
      <c r="Y15" s="239">
        <f t="shared" si="0"/>
        <v>0.89365658258862368</v>
      </c>
      <c r="Z15" s="239">
        <f t="shared" si="0"/>
        <v>0.96375004716482426</v>
      </c>
      <c r="AD15" s="243" t="s">
        <v>78</v>
      </c>
      <c r="AE15" s="243" t="s">
        <v>81</v>
      </c>
      <c r="AF15" s="239">
        <f t="shared" si="5"/>
        <v>0</v>
      </c>
      <c r="AG15" s="239">
        <f t="shared" si="1"/>
        <v>0.26549838415696292</v>
      </c>
      <c r="AH15" s="239">
        <f t="shared" si="1"/>
        <v>0.30501882158244614</v>
      </c>
      <c r="AI15" s="239">
        <f t="shared" si="1"/>
        <v>0.30950361273196753</v>
      </c>
      <c r="AJ15" s="239">
        <f t="shared" si="1"/>
        <v>0.35111603262589491</v>
      </c>
      <c r="AK15" s="239">
        <f t="shared" si="1"/>
        <v>0.55521923634914649</v>
      </c>
      <c r="AL15" s="239">
        <f t="shared" si="1"/>
        <v>0.75798889853057816</v>
      </c>
      <c r="AM15" s="239">
        <f t="shared" si="1"/>
        <v>0.96087581420096446</v>
      </c>
      <c r="AN15" s="239">
        <f t="shared" si="1"/>
        <v>0.95804116116922922</v>
      </c>
      <c r="AO15" s="239">
        <f t="shared" si="1"/>
        <v>0.91166256920870747</v>
      </c>
      <c r="AP15" s="239">
        <f t="shared" si="1"/>
        <v>0.97957300208833653</v>
      </c>
      <c r="AS15" s="242"/>
      <c r="AT15" s="244">
        <v>0.28824569095181685</v>
      </c>
      <c r="AU15" s="244">
        <v>0.31476242447876046</v>
      </c>
      <c r="AV15" s="244">
        <v>0.32155207121814122</v>
      </c>
      <c r="AW15" s="244">
        <v>0.34964829286865112</v>
      </c>
      <c r="AX15" s="244">
        <v>0.5900105610730193</v>
      </c>
      <c r="AY15" s="244">
        <v>0.81140504059137386</v>
      </c>
      <c r="AZ15" s="244">
        <v>0.8800705853125973</v>
      </c>
      <c r="BA15" s="244">
        <v>0.88548335531710665</v>
      </c>
      <c r="BB15" s="244">
        <v>0.86817549223756707</v>
      </c>
      <c r="BC15" s="244">
        <v>0.89982032978135296</v>
      </c>
      <c r="BD15" s="242" t="s">
        <v>69</v>
      </c>
      <c r="BF15" s="243" t="s">
        <v>78</v>
      </c>
      <c r="BG15" s="243" t="s">
        <v>81</v>
      </c>
      <c r="BH15" s="239">
        <f t="shared" si="6"/>
        <v>0</v>
      </c>
      <c r="BI15" s="239">
        <f t="shared" si="2"/>
        <v>0.26829357509381985</v>
      </c>
      <c r="BJ15" s="239">
        <f t="shared" si="2"/>
        <v>0.29297484340441216</v>
      </c>
      <c r="BK15" s="239">
        <f t="shared" si="2"/>
        <v>0.29929451670574547</v>
      </c>
      <c r="BL15" s="239">
        <f t="shared" si="2"/>
        <v>0.32544594234667112</v>
      </c>
      <c r="BM15" s="239">
        <f t="shared" si="2"/>
        <v>0.54917054354110595</v>
      </c>
      <c r="BN15" s="239">
        <f t="shared" si="2"/>
        <v>0.75524028987408376</v>
      </c>
      <c r="BO15" s="239">
        <f t="shared" si="2"/>
        <v>0.81915286535158194</v>
      </c>
      <c r="BP15" s="239">
        <f t="shared" si="2"/>
        <v>0.82419096812729065</v>
      </c>
      <c r="BQ15" s="239">
        <f t="shared" si="2"/>
        <v>0.80808114026651534</v>
      </c>
      <c r="BR15" s="239">
        <f t="shared" si="2"/>
        <v>0.83753554969706134</v>
      </c>
      <c r="BV15" s="243" t="s">
        <v>78</v>
      </c>
      <c r="BW15" s="243" t="s">
        <v>81</v>
      </c>
      <c r="BX15" s="239">
        <f t="shared" si="7"/>
        <v>0</v>
      </c>
      <c r="BY15" s="239">
        <f t="shared" si="3"/>
        <v>0.26959791102003727</v>
      </c>
      <c r="BZ15" s="239">
        <f t="shared" si="3"/>
        <v>0.29770449952946831</v>
      </c>
      <c r="CA15" s="239">
        <f t="shared" si="3"/>
        <v>0.30394729878456023</v>
      </c>
      <c r="CB15" s="239">
        <f t="shared" si="3"/>
        <v>0.330472728833545</v>
      </c>
      <c r="CC15" s="239">
        <f t="shared" si="3"/>
        <v>0.56011127369095337</v>
      </c>
      <c r="CD15" s="239">
        <f t="shared" si="3"/>
        <v>0.77557659199184015</v>
      </c>
      <c r="CE15" s="239">
        <f t="shared" si="3"/>
        <v>0.8361834690273442</v>
      </c>
      <c r="CF15" s="239">
        <f t="shared" si="3"/>
        <v>0.84542425708217983</v>
      </c>
      <c r="CG15" s="239">
        <f t="shared" si="3"/>
        <v>0.83854690197602455</v>
      </c>
      <c r="CH15" s="239">
        <f t="shared" si="3"/>
        <v>0.87855331723605856</v>
      </c>
    </row>
    <row r="16" spans="1:87">
      <c r="A16" s="242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 t="s">
        <v>69</v>
      </c>
      <c r="N16" s="243" t="s">
        <v>73</v>
      </c>
      <c r="O16" s="243" t="s">
        <v>82</v>
      </c>
      <c r="P16" s="239">
        <f t="shared" si="4"/>
        <v>0</v>
      </c>
      <c r="Q16" s="239">
        <f t="shared" si="0"/>
        <v>0</v>
      </c>
      <c r="R16" s="239">
        <f t="shared" si="0"/>
        <v>0</v>
      </c>
      <c r="S16" s="239">
        <f t="shared" si="0"/>
        <v>0</v>
      </c>
      <c r="T16" s="239">
        <f t="shared" si="0"/>
        <v>0</v>
      </c>
      <c r="U16" s="239">
        <f t="shared" si="0"/>
        <v>0</v>
      </c>
      <c r="V16" s="239">
        <f t="shared" si="0"/>
        <v>0</v>
      </c>
      <c r="W16" s="239">
        <f t="shared" si="0"/>
        <v>0</v>
      </c>
      <c r="X16" s="239">
        <f t="shared" si="0"/>
        <v>0</v>
      </c>
      <c r="Y16" s="239">
        <f t="shared" si="0"/>
        <v>0</v>
      </c>
      <c r="Z16" s="239">
        <f t="shared" si="0"/>
        <v>0</v>
      </c>
      <c r="AD16" s="243" t="s">
        <v>73</v>
      </c>
      <c r="AE16" s="243" t="s">
        <v>82</v>
      </c>
      <c r="AF16" s="239">
        <f t="shared" si="5"/>
        <v>0</v>
      </c>
      <c r="AG16" s="239">
        <f t="shared" si="1"/>
        <v>0</v>
      </c>
      <c r="AH16" s="239">
        <f t="shared" si="1"/>
        <v>0</v>
      </c>
      <c r="AI16" s="239">
        <f t="shared" si="1"/>
        <v>0</v>
      </c>
      <c r="AJ16" s="239">
        <f t="shared" si="1"/>
        <v>0</v>
      </c>
      <c r="AK16" s="239">
        <f t="shared" si="1"/>
        <v>0</v>
      </c>
      <c r="AL16" s="239">
        <f t="shared" si="1"/>
        <v>0</v>
      </c>
      <c r="AM16" s="239">
        <f t="shared" si="1"/>
        <v>0</v>
      </c>
      <c r="AN16" s="239">
        <f t="shared" si="1"/>
        <v>0</v>
      </c>
      <c r="AO16" s="239">
        <f t="shared" si="1"/>
        <v>0</v>
      </c>
      <c r="AP16" s="239">
        <f t="shared" si="1"/>
        <v>0</v>
      </c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 t="s">
        <v>69</v>
      </c>
      <c r="BF16" s="243" t="s">
        <v>73</v>
      </c>
      <c r="BG16" s="243" t="s">
        <v>82</v>
      </c>
      <c r="BH16" s="239">
        <f t="shared" si="6"/>
        <v>0</v>
      </c>
      <c r="BI16" s="239">
        <f t="shared" si="2"/>
        <v>0</v>
      </c>
      <c r="BJ16" s="239">
        <f t="shared" si="2"/>
        <v>0</v>
      </c>
      <c r="BK16" s="239">
        <f t="shared" si="2"/>
        <v>0</v>
      </c>
      <c r="BL16" s="239">
        <f t="shared" si="2"/>
        <v>0</v>
      </c>
      <c r="BM16" s="239">
        <f t="shared" si="2"/>
        <v>0</v>
      </c>
      <c r="BN16" s="239">
        <f t="shared" si="2"/>
        <v>0</v>
      </c>
      <c r="BO16" s="239">
        <f t="shared" si="2"/>
        <v>0</v>
      </c>
      <c r="BP16" s="239">
        <f t="shared" si="2"/>
        <v>0</v>
      </c>
      <c r="BQ16" s="239">
        <f t="shared" si="2"/>
        <v>0</v>
      </c>
      <c r="BR16" s="239">
        <f t="shared" si="2"/>
        <v>0</v>
      </c>
      <c r="BV16" s="243" t="s">
        <v>73</v>
      </c>
      <c r="BW16" s="243" t="s">
        <v>82</v>
      </c>
      <c r="BX16" s="239">
        <f t="shared" si="7"/>
        <v>0</v>
      </c>
      <c r="BY16" s="239">
        <f t="shared" si="3"/>
        <v>0</v>
      </c>
      <c r="BZ16" s="239">
        <f t="shared" si="3"/>
        <v>0</v>
      </c>
      <c r="CA16" s="239">
        <f t="shared" si="3"/>
        <v>0</v>
      </c>
      <c r="CB16" s="239">
        <f t="shared" si="3"/>
        <v>0</v>
      </c>
      <c r="CC16" s="239">
        <f t="shared" si="3"/>
        <v>0</v>
      </c>
      <c r="CD16" s="239">
        <f t="shared" si="3"/>
        <v>0</v>
      </c>
      <c r="CE16" s="239">
        <f t="shared" si="3"/>
        <v>0</v>
      </c>
      <c r="CF16" s="239">
        <f t="shared" si="3"/>
        <v>0</v>
      </c>
      <c r="CG16" s="239">
        <f t="shared" si="3"/>
        <v>0</v>
      </c>
      <c r="CH16" s="239">
        <f t="shared" si="3"/>
        <v>0</v>
      </c>
    </row>
    <row r="17" spans="1:87">
      <c r="L17" s="239" t="s">
        <v>69</v>
      </c>
      <c r="BD17" s="239" t="s">
        <v>69</v>
      </c>
    </row>
    <row r="18" spans="1:87">
      <c r="A18" s="238" t="s">
        <v>63</v>
      </c>
      <c r="B18" s="238" t="s">
        <v>64</v>
      </c>
      <c r="C18" s="238" t="s">
        <v>65</v>
      </c>
      <c r="D18" s="238" t="s">
        <v>66</v>
      </c>
      <c r="E18" s="238" t="s">
        <v>67</v>
      </c>
      <c r="F18" s="238" t="s">
        <v>68</v>
      </c>
      <c r="L18" s="239" t="s">
        <v>69</v>
      </c>
      <c r="AS18" s="238" t="s">
        <v>63</v>
      </c>
      <c r="AT18" s="238" t="s">
        <v>64</v>
      </c>
      <c r="AU18" s="238" t="s">
        <v>65</v>
      </c>
      <c r="AV18" s="238" t="s">
        <v>66</v>
      </c>
      <c r="AW18" s="238" t="s">
        <v>67</v>
      </c>
      <c r="AX18" s="238" t="s">
        <v>68</v>
      </c>
      <c r="BD18" s="239" t="s">
        <v>69</v>
      </c>
    </row>
    <row r="19" spans="1:87">
      <c r="A19" s="238">
        <v>1</v>
      </c>
      <c r="B19" s="238">
        <v>2</v>
      </c>
      <c r="C19" s="238" t="s">
        <v>85</v>
      </c>
      <c r="D19" s="238">
        <v>22.2</v>
      </c>
      <c r="E19" s="238">
        <v>22.3</v>
      </c>
      <c r="F19" s="238" t="s">
        <v>70</v>
      </c>
      <c r="L19" s="239" t="s">
        <v>69</v>
      </c>
      <c r="AS19" s="238">
        <v>1</v>
      </c>
      <c r="AT19" s="238">
        <v>2</v>
      </c>
      <c r="AU19" s="238" t="s">
        <v>89</v>
      </c>
      <c r="AV19" s="238">
        <v>22.4</v>
      </c>
      <c r="AW19" s="238">
        <v>22.4</v>
      </c>
      <c r="AX19" s="238" t="s">
        <v>70</v>
      </c>
      <c r="BD19" s="239" t="s">
        <v>69</v>
      </c>
    </row>
    <row r="20" spans="1:87">
      <c r="L20" s="239" t="s">
        <v>69</v>
      </c>
      <c r="BD20" s="239" t="s">
        <v>69</v>
      </c>
    </row>
    <row r="21" spans="1:87">
      <c r="A21" s="239" t="s">
        <v>71</v>
      </c>
      <c r="L21" s="239" t="s">
        <v>69</v>
      </c>
      <c r="AS21" s="239" t="s">
        <v>71</v>
      </c>
      <c r="BD21" s="239" t="s">
        <v>69</v>
      </c>
    </row>
    <row r="22" spans="1:87">
      <c r="A22" s="239" t="s">
        <v>72</v>
      </c>
      <c r="L22" s="239" t="s">
        <v>69</v>
      </c>
      <c r="P22" s="240">
        <v>1</v>
      </c>
      <c r="Q22" s="240">
        <v>2</v>
      </c>
      <c r="R22" s="240">
        <v>3</v>
      </c>
      <c r="S22" s="240">
        <v>4</v>
      </c>
      <c r="T22" s="240">
        <v>5</v>
      </c>
      <c r="U22" s="240">
        <v>6</v>
      </c>
      <c r="V22" s="240">
        <v>7</v>
      </c>
      <c r="W22" s="240">
        <v>8</v>
      </c>
      <c r="X22" s="240">
        <v>9</v>
      </c>
      <c r="Y22" s="240">
        <v>10</v>
      </c>
      <c r="Z22" s="240">
        <v>11</v>
      </c>
      <c r="AA22" s="240">
        <v>12</v>
      </c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S22" s="239" t="s">
        <v>72</v>
      </c>
      <c r="BD22" s="239" t="s">
        <v>69</v>
      </c>
      <c r="BH22" s="240">
        <v>1</v>
      </c>
      <c r="BI22" s="240">
        <v>2</v>
      </c>
      <c r="BJ22" s="240">
        <v>3</v>
      </c>
      <c r="BK22" s="240">
        <v>4</v>
      </c>
      <c r="BL22" s="240">
        <v>5</v>
      </c>
      <c r="BM22" s="240">
        <v>6</v>
      </c>
      <c r="BN22" s="240">
        <v>7</v>
      </c>
      <c r="BO22" s="240">
        <v>8</v>
      </c>
      <c r="BP22" s="240">
        <v>9</v>
      </c>
      <c r="BQ22" s="240">
        <v>10</v>
      </c>
      <c r="BR22" s="240">
        <v>11</v>
      </c>
      <c r="BS22" s="240">
        <v>12</v>
      </c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</row>
    <row r="23" spans="1:87">
      <c r="L23" s="239" t="s">
        <v>69</v>
      </c>
      <c r="P23" s="240" t="s">
        <v>73</v>
      </c>
      <c r="Q23" s="241">
        <v>1E-4</v>
      </c>
      <c r="R23" s="241">
        <v>1.0000000000000001E-5</v>
      </c>
      <c r="S23" s="241">
        <v>9.9999999999999995E-7</v>
      </c>
      <c r="T23" s="241">
        <v>9.9999999999999995E-8</v>
      </c>
      <c r="U23" s="241">
        <v>1E-8</v>
      </c>
      <c r="V23" s="241">
        <v>1.0000000000000001E-9</v>
      </c>
      <c r="W23" s="241">
        <v>1E-10</v>
      </c>
      <c r="X23" s="241">
        <v>9.9999999999999994E-12</v>
      </c>
      <c r="Y23" s="241">
        <v>9.9999999999999998E-13</v>
      </c>
      <c r="Z23" s="241">
        <v>0</v>
      </c>
      <c r="AA23" s="240" t="s">
        <v>73</v>
      </c>
      <c r="AF23" s="240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0"/>
      <c r="BD23" s="239" t="s">
        <v>69</v>
      </c>
      <c r="BH23" s="240" t="s">
        <v>73</v>
      </c>
      <c r="BI23" s="241">
        <v>1E-4</v>
      </c>
      <c r="BJ23" s="241">
        <v>1.0000000000000001E-5</v>
      </c>
      <c r="BK23" s="241">
        <v>9.9999999999999995E-7</v>
      </c>
      <c r="BL23" s="241">
        <v>9.9999999999999995E-8</v>
      </c>
      <c r="BM23" s="241">
        <v>1E-8</v>
      </c>
      <c r="BN23" s="241">
        <v>1.0000000000000001E-9</v>
      </c>
      <c r="BO23" s="241">
        <v>1E-10</v>
      </c>
      <c r="BP23" s="241">
        <v>9.9999999999999994E-12</v>
      </c>
      <c r="BQ23" s="241">
        <v>9.9999999999999998E-13</v>
      </c>
      <c r="BR23" s="241">
        <v>0</v>
      </c>
      <c r="BS23" s="240" t="s">
        <v>73</v>
      </c>
      <c r="BX23" s="240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0"/>
    </row>
    <row r="24" spans="1:87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 t="s">
        <v>69</v>
      </c>
      <c r="N24" s="243" t="s">
        <v>73</v>
      </c>
      <c r="O24" s="243" t="s">
        <v>74</v>
      </c>
      <c r="P24" s="239">
        <f>A24/AVERAGE($K$25:$K$30)</f>
        <v>0</v>
      </c>
      <c r="Q24" s="239">
        <f t="shared" ref="Q24:Z31" si="8">B24/AVERAGE($K$25:$K$30)</f>
        <v>0</v>
      </c>
      <c r="R24" s="239">
        <f t="shared" si="8"/>
        <v>0</v>
      </c>
      <c r="S24" s="239">
        <f t="shared" si="8"/>
        <v>0</v>
      </c>
      <c r="T24" s="239">
        <f t="shared" si="8"/>
        <v>0</v>
      </c>
      <c r="U24" s="239">
        <f t="shared" si="8"/>
        <v>0</v>
      </c>
      <c r="V24" s="239">
        <f t="shared" si="8"/>
        <v>0</v>
      </c>
      <c r="W24" s="239">
        <f t="shared" si="8"/>
        <v>0</v>
      </c>
      <c r="X24" s="239">
        <f t="shared" si="8"/>
        <v>0</v>
      </c>
      <c r="Y24" s="239">
        <f t="shared" si="8"/>
        <v>0</v>
      </c>
      <c r="Z24" s="239">
        <f t="shared" si="8"/>
        <v>0</v>
      </c>
      <c r="AD24" s="243"/>
      <c r="AE24" s="243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 t="s">
        <v>69</v>
      </c>
      <c r="BF24" s="243" t="s">
        <v>73</v>
      </c>
      <c r="BG24" s="243" t="s">
        <v>74</v>
      </c>
      <c r="BH24" s="239">
        <f>AS24/AVERAGE($K$23:$K$28)</f>
        <v>0</v>
      </c>
      <c r="BI24" s="239">
        <f t="shared" ref="BI24:BR31" si="9">AT24/AVERAGE($K$23:$K$28)</f>
        <v>0</v>
      </c>
      <c r="BJ24" s="239">
        <f t="shared" si="9"/>
        <v>0</v>
      </c>
      <c r="BK24" s="239">
        <f t="shared" si="9"/>
        <v>0</v>
      </c>
      <c r="BL24" s="239">
        <f t="shared" si="9"/>
        <v>0</v>
      </c>
      <c r="BM24" s="239">
        <f t="shared" si="9"/>
        <v>0</v>
      </c>
      <c r="BN24" s="239">
        <f t="shared" si="9"/>
        <v>0</v>
      </c>
      <c r="BO24" s="239">
        <f t="shared" si="9"/>
        <v>0</v>
      </c>
      <c r="BP24" s="239">
        <f t="shared" si="9"/>
        <v>0</v>
      </c>
      <c r="BQ24" s="239">
        <f t="shared" si="9"/>
        <v>0</v>
      </c>
      <c r="BR24" s="239">
        <f t="shared" si="9"/>
        <v>0</v>
      </c>
      <c r="BV24" s="243"/>
      <c r="BW24" s="243"/>
    </row>
    <row r="25" spans="1:87">
      <c r="A25" s="242"/>
      <c r="B25" s="244">
        <v>0.351422389459629</v>
      </c>
      <c r="C25" s="244">
        <v>0.3377412003169889</v>
      </c>
      <c r="D25" s="244">
        <v>0.55284665125211541</v>
      </c>
      <c r="E25" s="244">
        <v>0.62128945532014312</v>
      </c>
      <c r="F25" s="244">
        <v>0.82112255958609415</v>
      </c>
      <c r="G25" s="244">
        <v>0.94250417517436758</v>
      </c>
      <c r="H25" s="244">
        <v>0.97170956269248598</v>
      </c>
      <c r="I25" s="244">
        <v>1.0405831912931613</v>
      </c>
      <c r="J25" s="244">
        <v>0.99863123444723323</v>
      </c>
      <c r="K25" s="244">
        <v>1.0040940575863611</v>
      </c>
      <c r="L25" s="242" t="s">
        <v>69</v>
      </c>
      <c r="N25" s="243" t="s">
        <v>62</v>
      </c>
      <c r="O25" s="243" t="s">
        <v>75</v>
      </c>
      <c r="P25" s="239">
        <f t="shared" ref="P25:P31" si="10">A25/AVERAGE($K$25:$K$30)</f>
        <v>0</v>
      </c>
      <c r="Q25" s="239">
        <f t="shared" si="8"/>
        <v>0.34141009987272247</v>
      </c>
      <c r="R25" s="239">
        <f t="shared" si="8"/>
        <v>0.32811869815313183</v>
      </c>
      <c r="S25" s="239">
        <f t="shared" si="8"/>
        <v>0.53709563214943645</v>
      </c>
      <c r="T25" s="239">
        <f t="shared" si="8"/>
        <v>0.60358844897981911</v>
      </c>
      <c r="U25" s="239">
        <f t="shared" si="8"/>
        <v>0.7977281570110063</v>
      </c>
      <c r="V25" s="239">
        <f t="shared" si="8"/>
        <v>0.91565151859427707</v>
      </c>
      <c r="W25" s="239">
        <f t="shared" si="8"/>
        <v>0.94402482253974984</v>
      </c>
      <c r="X25" s="239">
        <f t="shared" si="8"/>
        <v>1.0109361893860977</v>
      </c>
      <c r="Y25" s="239">
        <f t="shared" si="8"/>
        <v>0.97017947551067218</v>
      </c>
      <c r="Z25" s="239">
        <f t="shared" si="8"/>
        <v>0.97548665868811424</v>
      </c>
      <c r="AD25" s="243"/>
      <c r="AE25" s="243"/>
      <c r="AS25" s="242"/>
      <c r="AT25" s="244">
        <v>0.3782220254533929</v>
      </c>
      <c r="AU25" s="244">
        <v>0.36821778928278281</v>
      </c>
      <c r="AV25" s="244">
        <v>0.33254860279047205</v>
      </c>
      <c r="AW25" s="244">
        <v>0.32638107226982932</v>
      </c>
      <c r="AX25" s="244">
        <v>0.35270019512437861</v>
      </c>
      <c r="AY25" s="244">
        <v>0.38275272806598715</v>
      </c>
      <c r="AZ25" s="244">
        <v>0.42770796062825439</v>
      </c>
      <c r="BA25" s="244">
        <v>0.46920415970006019</v>
      </c>
      <c r="BB25" s="244">
        <v>0.47352846570317825</v>
      </c>
      <c r="BC25" s="244">
        <v>0.92378511571635247</v>
      </c>
      <c r="BD25" s="242" t="s">
        <v>69</v>
      </c>
      <c r="BF25" s="243" t="s">
        <v>83</v>
      </c>
      <c r="BG25" s="243" t="s">
        <v>75</v>
      </c>
      <c r="BH25" s="239">
        <f t="shared" ref="BH25:BH31" si="11">AS25/AVERAGE($K$23:$K$28)</f>
        <v>0</v>
      </c>
      <c r="BI25" s="239">
        <f t="shared" si="9"/>
        <v>0.36455884564821406</v>
      </c>
      <c r="BJ25" s="239">
        <f t="shared" si="9"/>
        <v>0.35491601010584256</v>
      </c>
      <c r="BK25" s="239">
        <f t="shared" si="9"/>
        <v>0.32053536440637609</v>
      </c>
      <c r="BL25" s="239">
        <f t="shared" si="9"/>
        <v>0.31459063444409974</v>
      </c>
      <c r="BM25" s="239">
        <f t="shared" si="9"/>
        <v>0.33995898530845298</v>
      </c>
      <c r="BN25" s="239">
        <f t="shared" si="9"/>
        <v>0.3689258777173875</v>
      </c>
      <c r="BO25" s="239">
        <f t="shared" si="9"/>
        <v>0.41225711330341946</v>
      </c>
      <c r="BP25" s="239">
        <f t="shared" si="9"/>
        <v>0.45225427215283232</v>
      </c>
      <c r="BQ25" s="239">
        <f t="shared" si="9"/>
        <v>0.45642236364046201</v>
      </c>
      <c r="BR25" s="239">
        <f t="shared" si="9"/>
        <v>0.8904136003418841</v>
      </c>
      <c r="BV25" s="243"/>
      <c r="BW25" s="243"/>
    </row>
    <row r="26" spans="1:87">
      <c r="A26" s="242"/>
      <c r="B26" s="244">
        <v>0.36706436961280769</v>
      </c>
      <c r="C26" s="244">
        <v>0.36091667760940882</v>
      </c>
      <c r="D26" s="244">
        <v>0.38449481549839282</v>
      </c>
      <c r="E26" s="244">
        <v>0.62414799133384102</v>
      </c>
      <c r="F26" s="244">
        <v>0.87395340166917623</v>
      </c>
      <c r="G26" s="244">
        <v>0.92084808261222839</v>
      </c>
      <c r="H26" s="244">
        <v>0.99610486369735884</v>
      </c>
      <c r="I26" s="244">
        <v>1.0209556031796168</v>
      </c>
      <c r="J26" s="244">
        <v>1.022376102072901</v>
      </c>
      <c r="K26" s="244">
        <v>1.0423800213967609</v>
      </c>
      <c r="L26" s="242" t="s">
        <v>69</v>
      </c>
      <c r="N26" s="243" t="s">
        <v>62</v>
      </c>
      <c r="O26" s="243" t="s">
        <v>76</v>
      </c>
      <c r="P26" s="239">
        <f t="shared" si="10"/>
        <v>0</v>
      </c>
      <c r="Q26" s="239">
        <f t="shared" si="8"/>
        <v>0.3566064281844033</v>
      </c>
      <c r="R26" s="239">
        <f t="shared" si="8"/>
        <v>0.35063388857446398</v>
      </c>
      <c r="S26" s="239">
        <f t="shared" si="8"/>
        <v>0.37354026748751157</v>
      </c>
      <c r="T26" s="239">
        <f t="shared" si="8"/>
        <v>0.60636554314114177</v>
      </c>
      <c r="U26" s="239">
        <f t="shared" si="8"/>
        <v>0.84905380845763145</v>
      </c>
      <c r="V26" s="239">
        <f t="shared" si="8"/>
        <v>0.89461242448344991</v>
      </c>
      <c r="W26" s="239">
        <f t="shared" si="8"/>
        <v>0.96772508297365589</v>
      </c>
      <c r="X26" s="239">
        <f t="shared" si="8"/>
        <v>0.99186780609836833</v>
      </c>
      <c r="Y26" s="239">
        <f t="shared" si="8"/>
        <v>0.99324783390414073</v>
      </c>
      <c r="Z26" s="239">
        <f t="shared" si="8"/>
        <v>1.0126818264414588</v>
      </c>
      <c r="AD26" s="243"/>
      <c r="AE26" s="243"/>
      <c r="AS26" s="242"/>
      <c r="AT26" s="244">
        <v>0.46080466274681947</v>
      </c>
      <c r="AU26" s="244">
        <v>0.38510755977244149</v>
      </c>
      <c r="AV26" s="244">
        <v>0.33382239558734628</v>
      </c>
      <c r="AW26" s="244">
        <v>0.32544955401197484</v>
      </c>
      <c r="AX26" s="244">
        <v>0.37264615457883532</v>
      </c>
      <c r="AY26" s="244">
        <v>0.39897569045616643</v>
      </c>
      <c r="AZ26" s="244">
        <v>0.39030059637346332</v>
      </c>
      <c r="BA26" s="244">
        <v>0.44686460771989939</v>
      </c>
      <c r="BB26" s="244">
        <v>0.45905747326654628</v>
      </c>
      <c r="BC26" s="244">
        <v>0.92424664792690203</v>
      </c>
      <c r="BD26" s="242" t="s">
        <v>69</v>
      </c>
      <c r="BF26" s="243" t="s">
        <v>83</v>
      </c>
      <c r="BG26" s="243" t="s">
        <v>76</v>
      </c>
      <c r="BH26" s="239">
        <f t="shared" si="11"/>
        <v>0</v>
      </c>
      <c r="BI26" s="239">
        <f t="shared" si="9"/>
        <v>0.44415820500912634</v>
      </c>
      <c r="BJ26" s="239">
        <f t="shared" si="9"/>
        <v>0.37119564169417263</v>
      </c>
      <c r="BK26" s="239">
        <f t="shared" si="9"/>
        <v>0.32176314174448012</v>
      </c>
      <c r="BL26" s="239">
        <f t="shared" si="9"/>
        <v>0.31369276705952165</v>
      </c>
      <c r="BM26" s="239">
        <f t="shared" si="9"/>
        <v>0.35918440176944871</v>
      </c>
      <c r="BN26" s="239">
        <f t="shared" si="9"/>
        <v>0.38456278948863742</v>
      </c>
      <c r="BO26" s="239">
        <f t="shared" si="9"/>
        <v>0.37620108109556127</v>
      </c>
      <c r="BP26" s="239">
        <f t="shared" si="9"/>
        <v>0.43072173112108514</v>
      </c>
      <c r="BQ26" s="239">
        <f t="shared" si="9"/>
        <v>0.442474132329082</v>
      </c>
      <c r="BR26" s="239">
        <f t="shared" si="9"/>
        <v>0.89085845981220635</v>
      </c>
      <c r="BV26" s="243"/>
      <c r="BW26" s="243"/>
    </row>
    <row r="27" spans="1:87">
      <c r="A27" s="242"/>
      <c r="B27" s="244">
        <v>0.35347312618966953</v>
      </c>
      <c r="C27" s="244">
        <v>0.34529708284566496</v>
      </c>
      <c r="D27" s="244">
        <v>0.38977163391823644</v>
      </c>
      <c r="E27" s="244">
        <v>0.61543602915307627</v>
      </c>
      <c r="F27" s="244">
        <v>0.86025089487791351</v>
      </c>
      <c r="G27" s="244">
        <v>0.8990341635924517</v>
      </c>
      <c r="H27" s="244">
        <v>0.97361024529392204</v>
      </c>
      <c r="I27" s="244">
        <v>0.98462033802261362</v>
      </c>
      <c r="J27" s="244">
        <v>1.0462071586278365</v>
      </c>
      <c r="K27" s="244">
        <v>1.0605975053105958</v>
      </c>
      <c r="L27" s="242" t="s">
        <v>69</v>
      </c>
      <c r="N27" s="243" t="s">
        <v>62</v>
      </c>
      <c r="O27" s="243" t="s">
        <v>77</v>
      </c>
      <c r="P27" s="239">
        <f t="shared" si="10"/>
        <v>0</v>
      </c>
      <c r="Q27" s="239">
        <f t="shared" si="8"/>
        <v>0.3434024095627578</v>
      </c>
      <c r="R27" s="239">
        <f t="shared" si="8"/>
        <v>0.3354593078755474</v>
      </c>
      <c r="S27" s="239">
        <f t="shared" si="8"/>
        <v>0.37866674536076045</v>
      </c>
      <c r="T27" s="239">
        <f t="shared" si="8"/>
        <v>0.59790179135003974</v>
      </c>
      <c r="U27" s="239">
        <f t="shared" si="8"/>
        <v>0.83574169644534579</v>
      </c>
      <c r="V27" s="239">
        <f t="shared" si="8"/>
        <v>0.87342000051009638</v>
      </c>
      <c r="W27" s="239">
        <f t="shared" si="8"/>
        <v>0.94587135325676086</v>
      </c>
      <c r="X27" s="239">
        <f t="shared" si="8"/>
        <v>0.95656776011885802</v>
      </c>
      <c r="Y27" s="239">
        <f t="shared" si="8"/>
        <v>1.0163999256391145</v>
      </c>
      <c r="Z27" s="239">
        <f t="shared" si="8"/>
        <v>1.030380280464311</v>
      </c>
      <c r="AD27" s="243"/>
      <c r="AE27" s="243"/>
      <c r="AS27" s="242"/>
      <c r="AT27" s="244">
        <v>0.43115825425920407</v>
      </c>
      <c r="AU27" s="244">
        <v>0.37011342921877716</v>
      </c>
      <c r="AV27" s="244">
        <v>0.3269532297573019</v>
      </c>
      <c r="AW27" s="244">
        <v>0.32071632107326198</v>
      </c>
      <c r="AX27" s="244">
        <v>0.3583912739200506</v>
      </c>
      <c r="AY27" s="244">
        <v>0.38851878562192754</v>
      </c>
      <c r="AZ27" s="244">
        <v>0.39534789564905992</v>
      </c>
      <c r="BA27" s="244">
        <v>0.46450067968225478</v>
      </c>
      <c r="BB27" s="244">
        <v>0.48573045448389379</v>
      </c>
      <c r="BC27" s="244">
        <v>0.95274161194963913</v>
      </c>
      <c r="BD27" s="242" t="s">
        <v>69</v>
      </c>
      <c r="BF27" s="243" t="s">
        <v>83</v>
      </c>
      <c r="BG27" s="243" t="s">
        <v>77</v>
      </c>
      <c r="BH27" s="239">
        <f t="shared" si="11"/>
        <v>0</v>
      </c>
      <c r="BI27" s="239">
        <f t="shared" si="9"/>
        <v>0.41558276590585208</v>
      </c>
      <c r="BJ27" s="239">
        <f t="shared" si="9"/>
        <v>0.35674317050455895</v>
      </c>
      <c r="BK27" s="239">
        <f t="shared" si="9"/>
        <v>0.31514212287979287</v>
      </c>
      <c r="BL27" s="239">
        <f t="shared" si="9"/>
        <v>0.30913052102360455</v>
      </c>
      <c r="BM27" s="239">
        <f t="shared" si="9"/>
        <v>0.34544447524986005</v>
      </c>
      <c r="BN27" s="239">
        <f t="shared" si="9"/>
        <v>0.37448363782936128</v>
      </c>
      <c r="BO27" s="239">
        <f t="shared" si="9"/>
        <v>0.38106604789739368</v>
      </c>
      <c r="BP27" s="239">
        <f t="shared" si="9"/>
        <v>0.44772070422070276</v>
      </c>
      <c r="BQ27" s="239">
        <f t="shared" si="9"/>
        <v>0.46818355850788856</v>
      </c>
      <c r="BR27" s="239">
        <f t="shared" si="9"/>
        <v>0.91832405010527229</v>
      </c>
      <c r="BV27" s="243"/>
      <c r="BW27" s="243"/>
    </row>
    <row r="28" spans="1:87">
      <c r="A28" s="242"/>
      <c r="B28" s="244">
        <v>0.27714104634827869</v>
      </c>
      <c r="C28" s="244">
        <v>0.32341820705060281</v>
      </c>
      <c r="D28" s="244">
        <v>0.47124902127109031</v>
      </c>
      <c r="E28" s="244">
        <v>0.36994330947992032</v>
      </c>
      <c r="F28" s="244">
        <v>0.54906775318381118</v>
      </c>
      <c r="G28" s="244">
        <v>0.75404899763750344</v>
      </c>
      <c r="H28" s="244">
        <v>0.87658985172418913</v>
      </c>
      <c r="I28" s="244">
        <v>0.98195874703292751</v>
      </c>
      <c r="J28" s="244">
        <v>1.0407031699950049</v>
      </c>
      <c r="K28" s="244">
        <v>1.0428430861994327</v>
      </c>
      <c r="L28" s="242" t="s">
        <v>69</v>
      </c>
      <c r="N28" s="243" t="s">
        <v>78</v>
      </c>
      <c r="O28" s="243" t="s">
        <v>79</v>
      </c>
      <c r="P28" s="239">
        <f t="shared" si="10"/>
        <v>0</v>
      </c>
      <c r="Q28" s="239">
        <f t="shared" si="8"/>
        <v>0.26924508839089301</v>
      </c>
      <c r="R28" s="239">
        <f t="shared" si="8"/>
        <v>0.31420377779455017</v>
      </c>
      <c r="S28" s="239">
        <f t="shared" si="8"/>
        <v>0.45782278034270901</v>
      </c>
      <c r="T28" s="239">
        <f t="shared" si="8"/>
        <v>0.35940334487792941</v>
      </c>
      <c r="U28" s="239">
        <f t="shared" si="8"/>
        <v>0.53342439774433092</v>
      </c>
      <c r="V28" s="239">
        <f t="shared" si="8"/>
        <v>0.73256557155679103</v>
      </c>
      <c r="W28" s="239">
        <f t="shared" si="8"/>
        <v>0.85161514405715166</v>
      </c>
      <c r="X28" s="239">
        <f>I28/AVERAGE($K$25:$K$30)</f>
        <v>0.95398199986890253</v>
      </c>
      <c r="Y28" s="239">
        <f t="shared" si="8"/>
        <v>1.0110527498040096</v>
      </c>
      <c r="Z28" s="239">
        <f t="shared" si="8"/>
        <v>1.013131698177778</v>
      </c>
      <c r="AD28" s="243"/>
      <c r="AE28" s="243"/>
      <c r="AS28" s="242"/>
      <c r="AT28" s="244">
        <v>0.28887511944893862</v>
      </c>
      <c r="AU28" s="244">
        <v>0.32719287577028205</v>
      </c>
      <c r="AV28" s="244">
        <v>0.31227993948360538</v>
      </c>
      <c r="AW28" s="244">
        <v>0.33666509786836318</v>
      </c>
      <c r="AX28" s="244">
        <v>0.52533944247211051</v>
      </c>
      <c r="AY28" s="244">
        <v>0.70556212284278319</v>
      </c>
      <c r="AZ28" s="244">
        <v>0.83585608574787773</v>
      </c>
      <c r="BA28" s="244">
        <v>0.88294942201299087</v>
      </c>
      <c r="BB28" s="244">
        <v>0.91288139154188697</v>
      </c>
      <c r="BC28" s="244">
        <v>0.97606500473612767</v>
      </c>
      <c r="BD28" s="242" t="s">
        <v>69</v>
      </c>
      <c r="BF28" s="243" t="s">
        <v>78</v>
      </c>
      <c r="BG28" s="243" t="s">
        <v>79</v>
      </c>
      <c r="BH28" s="239">
        <f t="shared" si="11"/>
        <v>0</v>
      </c>
      <c r="BI28" s="239">
        <f t="shared" si="9"/>
        <v>0.27843957515840723</v>
      </c>
      <c r="BJ28" s="239">
        <f t="shared" si="9"/>
        <v>0.31537311173812682</v>
      </c>
      <c r="BK28" s="239">
        <f t="shared" si="9"/>
        <v>0.30099890169211208</v>
      </c>
      <c r="BL28" s="239">
        <f t="shared" si="9"/>
        <v>0.32450315208852809</v>
      </c>
      <c r="BM28" s="239">
        <f t="shared" si="9"/>
        <v>0.50636168132072201</v>
      </c>
      <c r="BN28" s="239">
        <f t="shared" si="9"/>
        <v>0.68007386065982744</v>
      </c>
      <c r="BO28" s="239">
        <f t="shared" si="9"/>
        <v>0.80566098545688858</v>
      </c>
      <c r="BP28" s="239">
        <f>BA28/AVERAGE($K$23:$K$28)</f>
        <v>0.85105308626316067</v>
      </c>
      <c r="BQ28" s="239">
        <f t="shared" si="9"/>
        <v>0.87990377058370284</v>
      </c>
      <c r="BR28" s="239">
        <f t="shared" si="9"/>
        <v>0.94080489093057718</v>
      </c>
      <c r="BV28" s="243"/>
      <c r="BW28" s="243"/>
    </row>
    <row r="29" spans="1:87">
      <c r="A29" s="242"/>
      <c r="B29" s="244">
        <v>0.26996185498873276</v>
      </c>
      <c r="C29" s="244">
        <v>0.32315309032015321</v>
      </c>
      <c r="D29" s="244">
        <v>0.34528052745109761</v>
      </c>
      <c r="E29" s="244">
        <v>0.38545202020204022</v>
      </c>
      <c r="F29" s="244">
        <v>0.58659264119029841</v>
      </c>
      <c r="G29" s="244">
        <v>0.78518092198648248</v>
      </c>
      <c r="H29" s="244">
        <v>0.94375526539490751</v>
      </c>
      <c r="I29" s="244">
        <v>0.97687479547162848</v>
      </c>
      <c r="J29" s="244">
        <v>1.0161185899849914</v>
      </c>
      <c r="K29" s="244">
        <v>1.010067651629752</v>
      </c>
      <c r="L29" s="242" t="s">
        <v>69</v>
      </c>
      <c r="N29" s="243" t="s">
        <v>78</v>
      </c>
      <c r="O29" s="243" t="s">
        <v>80</v>
      </c>
      <c r="P29" s="239">
        <f t="shared" si="10"/>
        <v>0</v>
      </c>
      <c r="Q29" s="239">
        <f t="shared" si="8"/>
        <v>0.26227043762138208</v>
      </c>
      <c r="R29" s="239">
        <f t="shared" si="8"/>
        <v>0.31394621444020637</v>
      </c>
      <c r="S29" s="239">
        <f t="shared" si="8"/>
        <v>0.33544322415668881</v>
      </c>
      <c r="T29" s="239">
        <f t="shared" si="8"/>
        <v>0.3744702007054076</v>
      </c>
      <c r="U29" s="239">
        <f t="shared" si="8"/>
        <v>0.5698801733188672</v>
      </c>
      <c r="V29" s="239">
        <f t="shared" si="8"/>
        <v>0.76281052384215464</v>
      </c>
      <c r="W29" s="239">
        <f>H29/AVERAGE($K$25:$K$30)</f>
        <v>0.91686696430848191</v>
      </c>
      <c r="X29" s="239">
        <f t="shared" si="8"/>
        <v>0.94904289393157126</v>
      </c>
      <c r="Y29" s="239">
        <f t="shared" si="8"/>
        <v>0.98716860306693355</v>
      </c>
      <c r="Z29" s="239">
        <f t="shared" si="8"/>
        <v>0.98129006052056211</v>
      </c>
      <c r="AD29" s="243"/>
      <c r="AE29" s="243"/>
      <c r="AS29" s="242"/>
      <c r="AT29" s="244">
        <v>0.28084744371036802</v>
      </c>
      <c r="AU29" s="244">
        <v>0.3261811177410508</v>
      </c>
      <c r="AV29" s="244">
        <v>0.31590354407199694</v>
      </c>
      <c r="AW29" s="244">
        <v>0.33605993528377198</v>
      </c>
      <c r="AX29" s="244">
        <v>0.50722835321523019</v>
      </c>
      <c r="AY29" s="244">
        <v>0.69132348432914237</v>
      </c>
      <c r="AZ29" s="244">
        <v>0.82693823078833995</v>
      </c>
      <c r="BA29" s="244">
        <v>0.92736876579661454</v>
      </c>
      <c r="BB29" s="244">
        <v>0.95525585818600889</v>
      </c>
      <c r="BC29" s="244">
        <v>0.93283252912438708</v>
      </c>
      <c r="BD29" s="242" t="s">
        <v>69</v>
      </c>
      <c r="BF29" s="243" t="s">
        <v>78</v>
      </c>
      <c r="BG29" s="243" t="s">
        <v>80</v>
      </c>
      <c r="BH29" s="239">
        <f t="shared" si="11"/>
        <v>0</v>
      </c>
      <c r="BI29" s="239">
        <f t="shared" si="9"/>
        <v>0.27070189727731803</v>
      </c>
      <c r="BJ29" s="239">
        <f t="shared" si="9"/>
        <v>0.31439790322463612</v>
      </c>
      <c r="BK29" s="239">
        <f t="shared" si="9"/>
        <v>0.30449160443528528</v>
      </c>
      <c r="BL29" s="239">
        <f t="shared" si="9"/>
        <v>0.32391985085692054</v>
      </c>
      <c r="BM29" s="239">
        <f t="shared" si="9"/>
        <v>0.48890485081222573</v>
      </c>
      <c r="BN29" s="239">
        <f t="shared" si="9"/>
        <v>0.66634958954179135</v>
      </c>
      <c r="BO29" s="239">
        <f>AZ29/AVERAGE($K$23:$K$28)</f>
        <v>0.79706528586533243</v>
      </c>
      <c r="BP29" s="239">
        <f t="shared" si="9"/>
        <v>0.89386779192393528</v>
      </c>
      <c r="BQ29" s="239">
        <f t="shared" si="9"/>
        <v>0.92074746980037747</v>
      </c>
      <c r="BR29" s="239">
        <f t="shared" si="9"/>
        <v>0.89913417811411045</v>
      </c>
      <c r="BV29" s="243"/>
      <c r="BW29" s="243"/>
    </row>
    <row r="30" spans="1:87">
      <c r="A30" s="242"/>
      <c r="B30" s="244">
        <v>0.27035069438809861</v>
      </c>
      <c r="C30" s="244">
        <v>0.31403850472989914</v>
      </c>
      <c r="D30" s="244">
        <v>0.31943915094631031</v>
      </c>
      <c r="E30" s="244">
        <v>0.36233551623897298</v>
      </c>
      <c r="F30" s="244">
        <v>0.5749802776396119</v>
      </c>
      <c r="G30" s="244">
        <v>0.78463073181410026</v>
      </c>
      <c r="H30" s="244">
        <v>0.99609916455648073</v>
      </c>
      <c r="I30" s="244">
        <v>0.99287973525246875</v>
      </c>
      <c r="J30" s="244">
        <v>0.94614129605532482</v>
      </c>
      <c r="K30" s="244">
        <v>1.0159753825373714</v>
      </c>
      <c r="L30" s="242" t="s">
        <v>69</v>
      </c>
      <c r="N30" s="243" t="s">
        <v>78</v>
      </c>
      <c r="O30" s="243" t="s">
        <v>81</v>
      </c>
      <c r="P30" s="239">
        <f t="shared" si="10"/>
        <v>0</v>
      </c>
      <c r="Q30" s="239">
        <f t="shared" si="8"/>
        <v>0.26264819869225775</v>
      </c>
      <c r="R30" s="239">
        <f t="shared" si="8"/>
        <v>0.30509131028497583</v>
      </c>
      <c r="S30" s="239">
        <f t="shared" si="8"/>
        <v>0.31033808800724161</v>
      </c>
      <c r="T30" s="239">
        <f t="shared" si="8"/>
        <v>0.352012303418685</v>
      </c>
      <c r="U30" s="239">
        <f t="shared" si="8"/>
        <v>0.55859865478587212</v>
      </c>
      <c r="V30" s="239">
        <f t="shared" si="8"/>
        <v>0.76227600900378356</v>
      </c>
      <c r="W30" s="239">
        <f t="shared" si="8"/>
        <v>0.96771954620561051</v>
      </c>
      <c r="X30" s="239">
        <f t="shared" si="8"/>
        <v>0.96459184087668703</v>
      </c>
      <c r="Y30" s="239">
        <f t="shared" si="8"/>
        <v>0.91918501515130113</v>
      </c>
      <c r="Z30" s="239">
        <f t="shared" si="8"/>
        <v>0.98702947570777577</v>
      </c>
      <c r="AD30" s="243"/>
      <c r="AE30" s="243"/>
      <c r="AS30" s="242"/>
      <c r="AT30" s="244">
        <v>0.2802699823637575</v>
      </c>
      <c r="AU30" s="244">
        <v>0.3106817324689829</v>
      </c>
      <c r="AV30" s="244">
        <v>0.31736846442064437</v>
      </c>
      <c r="AW30" s="244">
        <v>0.34457665576636526</v>
      </c>
      <c r="AX30" s="244">
        <v>0.58598927045081017</v>
      </c>
      <c r="AY30" s="244">
        <v>0.8138466639366605</v>
      </c>
      <c r="AZ30" s="244">
        <v>0.87616946295617082</v>
      </c>
      <c r="BA30" s="244">
        <v>0.88509837911193368</v>
      </c>
      <c r="BB30" s="244">
        <v>0.87894582802071064</v>
      </c>
      <c r="BC30" s="244">
        <v>0.92807434626404239</v>
      </c>
      <c r="BD30" s="242" t="s">
        <v>69</v>
      </c>
      <c r="BF30" s="243" t="s">
        <v>78</v>
      </c>
      <c r="BG30" s="243" t="s">
        <v>81</v>
      </c>
      <c r="BH30" s="239">
        <f t="shared" si="11"/>
        <v>0</v>
      </c>
      <c r="BI30" s="239">
        <f t="shared" si="9"/>
        <v>0.27014529658312414</v>
      </c>
      <c r="BJ30" s="239">
        <f t="shared" si="9"/>
        <v>0.29945842952193846</v>
      </c>
      <c r="BK30" s="239">
        <f t="shared" si="9"/>
        <v>0.30590360488827134</v>
      </c>
      <c r="BL30" s="239">
        <f t="shared" si="9"/>
        <v>0.33212890685814306</v>
      </c>
      <c r="BM30" s="239">
        <f t="shared" si="9"/>
        <v>0.56482054883424848</v>
      </c>
      <c r="BN30" s="239">
        <f t="shared" si="9"/>
        <v>0.78444664872104264</v>
      </c>
      <c r="BO30" s="239">
        <f t="shared" si="9"/>
        <v>0.84451805159844617</v>
      </c>
      <c r="BP30" s="239">
        <f t="shared" si="9"/>
        <v>0.85312441280317119</v>
      </c>
      <c r="BQ30" s="239">
        <f t="shared" si="9"/>
        <v>0.84719412114202541</v>
      </c>
      <c r="BR30" s="239">
        <f t="shared" si="9"/>
        <v>0.8945478834664865</v>
      </c>
      <c r="BV30" s="243"/>
      <c r="BW30" s="243"/>
    </row>
    <row r="31" spans="1:87">
      <c r="A31" s="242"/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 t="s">
        <v>69</v>
      </c>
      <c r="N31" s="243" t="s">
        <v>73</v>
      </c>
      <c r="O31" s="243" t="s">
        <v>82</v>
      </c>
      <c r="P31" s="239">
        <f t="shared" si="10"/>
        <v>0</v>
      </c>
      <c r="Q31" s="239">
        <f t="shared" si="8"/>
        <v>0</v>
      </c>
      <c r="R31" s="239">
        <f t="shared" si="8"/>
        <v>0</v>
      </c>
      <c r="S31" s="239">
        <f t="shared" si="8"/>
        <v>0</v>
      </c>
      <c r="T31" s="239">
        <f t="shared" si="8"/>
        <v>0</v>
      </c>
      <c r="U31" s="239">
        <f t="shared" si="8"/>
        <v>0</v>
      </c>
      <c r="V31" s="239">
        <f t="shared" si="8"/>
        <v>0</v>
      </c>
      <c r="W31" s="239">
        <f t="shared" si="8"/>
        <v>0</v>
      </c>
      <c r="X31" s="239">
        <f t="shared" si="8"/>
        <v>0</v>
      </c>
      <c r="Y31" s="239">
        <f t="shared" si="8"/>
        <v>0</v>
      </c>
      <c r="Z31" s="239">
        <f t="shared" si="8"/>
        <v>0</v>
      </c>
      <c r="AD31" s="243"/>
      <c r="AE31" s="243"/>
      <c r="AS31" s="242"/>
      <c r="AT31" s="242"/>
      <c r="AU31" s="242"/>
      <c r="AV31" s="242"/>
      <c r="AW31" s="242"/>
      <c r="AX31" s="242"/>
      <c r="AY31" s="242"/>
      <c r="AZ31" s="242"/>
      <c r="BA31" s="242"/>
      <c r="BB31" s="242"/>
      <c r="BC31" s="242"/>
      <c r="BD31" s="242" t="s">
        <v>69</v>
      </c>
      <c r="BF31" s="243" t="s">
        <v>73</v>
      </c>
      <c r="BG31" s="243" t="s">
        <v>82</v>
      </c>
      <c r="BH31" s="239">
        <f t="shared" si="11"/>
        <v>0</v>
      </c>
      <c r="BI31" s="239">
        <f t="shared" si="9"/>
        <v>0</v>
      </c>
      <c r="BJ31" s="239">
        <f t="shared" si="9"/>
        <v>0</v>
      </c>
      <c r="BK31" s="239">
        <f t="shared" si="9"/>
        <v>0</v>
      </c>
      <c r="BL31" s="239">
        <f t="shared" si="9"/>
        <v>0</v>
      </c>
      <c r="BM31" s="239">
        <f t="shared" si="9"/>
        <v>0</v>
      </c>
      <c r="BN31" s="239">
        <f t="shared" si="9"/>
        <v>0</v>
      </c>
      <c r="BO31" s="239">
        <f t="shared" si="9"/>
        <v>0</v>
      </c>
      <c r="BP31" s="239">
        <f t="shared" si="9"/>
        <v>0</v>
      </c>
      <c r="BQ31" s="239">
        <f t="shared" si="9"/>
        <v>0</v>
      </c>
      <c r="BR31" s="239">
        <f t="shared" si="9"/>
        <v>0</v>
      </c>
      <c r="BV31" s="243"/>
      <c r="BW31" s="243"/>
    </row>
    <row r="32" spans="1:87">
      <c r="L32" s="239" t="s">
        <v>69</v>
      </c>
      <c r="BD32" s="239" t="s">
        <v>69</v>
      </c>
    </row>
    <row r="33" spans="1:87">
      <c r="A33" s="238" t="s">
        <v>63</v>
      </c>
      <c r="B33" s="238" t="s">
        <v>64</v>
      </c>
      <c r="C33" s="238" t="s">
        <v>65</v>
      </c>
      <c r="D33" s="238" t="s">
        <v>66</v>
      </c>
      <c r="E33" s="238" t="s">
        <v>67</v>
      </c>
      <c r="F33" s="238" t="s">
        <v>68</v>
      </c>
      <c r="L33" s="239" t="s">
        <v>69</v>
      </c>
      <c r="AS33" s="238" t="s">
        <v>63</v>
      </c>
      <c r="AT33" s="238" t="s">
        <v>64</v>
      </c>
      <c r="AU33" s="238" t="s">
        <v>65</v>
      </c>
      <c r="AV33" s="238" t="s">
        <v>66</v>
      </c>
      <c r="AW33" s="238" t="s">
        <v>67</v>
      </c>
      <c r="AX33" s="238" t="s">
        <v>68</v>
      </c>
      <c r="BD33" s="239" t="s">
        <v>69</v>
      </c>
    </row>
    <row r="34" spans="1:87">
      <c r="A34" s="238">
        <v>1</v>
      </c>
      <c r="B34" s="238">
        <v>3</v>
      </c>
      <c r="C34" s="238" t="s">
        <v>86</v>
      </c>
      <c r="D34" s="238">
        <v>22.3</v>
      </c>
      <c r="E34" s="238">
        <v>22.4</v>
      </c>
      <c r="F34" s="238" t="s">
        <v>70</v>
      </c>
      <c r="L34" s="239" t="s">
        <v>69</v>
      </c>
      <c r="AS34" s="238">
        <v>1</v>
      </c>
      <c r="AT34" s="238">
        <v>3</v>
      </c>
      <c r="AU34" s="238" t="s">
        <v>90</v>
      </c>
      <c r="AV34" s="238">
        <v>22.4</v>
      </c>
      <c r="AW34" s="238">
        <v>22.4</v>
      </c>
      <c r="AX34" s="238" t="s">
        <v>70</v>
      </c>
      <c r="BD34" s="239" t="s">
        <v>69</v>
      </c>
    </row>
    <row r="35" spans="1:87">
      <c r="L35" s="239" t="s">
        <v>69</v>
      </c>
      <c r="BD35" s="239" t="s">
        <v>69</v>
      </c>
    </row>
    <row r="36" spans="1:87">
      <c r="A36" s="239" t="s">
        <v>71</v>
      </c>
      <c r="L36" s="239" t="s">
        <v>69</v>
      </c>
      <c r="AS36" s="239" t="s">
        <v>71</v>
      </c>
      <c r="BD36" s="239" t="s">
        <v>69</v>
      </c>
    </row>
    <row r="37" spans="1:87">
      <c r="A37" s="239" t="s">
        <v>72</v>
      </c>
      <c r="L37" s="239" t="s">
        <v>69</v>
      </c>
      <c r="P37" s="240">
        <v>1</v>
      </c>
      <c r="Q37" s="240">
        <v>2</v>
      </c>
      <c r="R37" s="240">
        <v>3</v>
      </c>
      <c r="S37" s="240">
        <v>4</v>
      </c>
      <c r="T37" s="240">
        <v>5</v>
      </c>
      <c r="U37" s="240">
        <v>6</v>
      </c>
      <c r="V37" s="240">
        <v>7</v>
      </c>
      <c r="W37" s="240">
        <v>8</v>
      </c>
      <c r="X37" s="240">
        <v>9</v>
      </c>
      <c r="Y37" s="240">
        <v>10</v>
      </c>
      <c r="Z37" s="240">
        <v>11</v>
      </c>
      <c r="AA37" s="240">
        <v>12</v>
      </c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S37" s="239" t="s">
        <v>72</v>
      </c>
      <c r="BD37" s="239" t="s">
        <v>69</v>
      </c>
      <c r="BH37" s="240">
        <v>1</v>
      </c>
      <c r="BI37" s="240">
        <v>2</v>
      </c>
      <c r="BJ37" s="240">
        <v>3</v>
      </c>
      <c r="BK37" s="240">
        <v>4</v>
      </c>
      <c r="BL37" s="240">
        <v>5</v>
      </c>
      <c r="BM37" s="240">
        <v>6</v>
      </c>
      <c r="BN37" s="240">
        <v>7</v>
      </c>
      <c r="BO37" s="240">
        <v>8</v>
      </c>
      <c r="BP37" s="240">
        <v>9</v>
      </c>
      <c r="BQ37" s="240">
        <v>10</v>
      </c>
      <c r="BR37" s="240">
        <v>11</v>
      </c>
      <c r="BS37" s="240">
        <v>12</v>
      </c>
      <c r="BX37" s="240"/>
      <c r="BY37" s="240"/>
      <c r="BZ37" s="240"/>
      <c r="CA37" s="240"/>
      <c r="CB37" s="240"/>
      <c r="CC37" s="240"/>
      <c r="CD37" s="240"/>
      <c r="CE37" s="240"/>
      <c r="CF37" s="240"/>
      <c r="CG37" s="240"/>
      <c r="CH37" s="240"/>
      <c r="CI37" s="240"/>
    </row>
    <row r="38" spans="1:87">
      <c r="L38" s="239" t="s">
        <v>69</v>
      </c>
      <c r="P38" s="240" t="s">
        <v>73</v>
      </c>
      <c r="Q38" s="241">
        <v>1E-4</v>
      </c>
      <c r="R38" s="241">
        <v>1.0000000000000001E-5</v>
      </c>
      <c r="S38" s="241">
        <v>9.9999999999999995E-7</v>
      </c>
      <c r="T38" s="241">
        <v>9.9999999999999995E-8</v>
      </c>
      <c r="U38" s="241">
        <v>1E-8</v>
      </c>
      <c r="V38" s="241">
        <v>1.0000000000000001E-9</v>
      </c>
      <c r="W38" s="241">
        <v>1E-10</v>
      </c>
      <c r="X38" s="241">
        <v>9.9999999999999994E-12</v>
      </c>
      <c r="Y38" s="241">
        <v>9.9999999999999998E-13</v>
      </c>
      <c r="Z38" s="241">
        <v>0</v>
      </c>
      <c r="AA38" s="240" t="s">
        <v>73</v>
      </c>
      <c r="AF38" s="240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0"/>
      <c r="BD38" s="239" t="s">
        <v>69</v>
      </c>
      <c r="BH38" s="240" t="s">
        <v>73</v>
      </c>
      <c r="BI38" s="241">
        <v>1E-4</v>
      </c>
      <c r="BJ38" s="241">
        <v>1.0000000000000001E-5</v>
      </c>
      <c r="BK38" s="241">
        <v>9.9999999999999995E-7</v>
      </c>
      <c r="BL38" s="241">
        <v>9.9999999999999995E-8</v>
      </c>
      <c r="BM38" s="241">
        <v>1E-8</v>
      </c>
      <c r="BN38" s="241">
        <v>1.0000000000000001E-9</v>
      </c>
      <c r="BO38" s="241">
        <v>1E-10</v>
      </c>
      <c r="BP38" s="241">
        <v>9.9999999999999994E-12</v>
      </c>
      <c r="BQ38" s="241">
        <v>9.9999999999999998E-13</v>
      </c>
      <c r="BR38" s="241">
        <v>0</v>
      </c>
      <c r="BS38" s="240" t="s">
        <v>73</v>
      </c>
      <c r="BX38" s="240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0"/>
    </row>
    <row r="39" spans="1:87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 t="s">
        <v>69</v>
      </c>
      <c r="N39" s="243" t="s">
        <v>73</v>
      </c>
      <c r="O39" s="243" t="s">
        <v>74</v>
      </c>
      <c r="P39" s="239">
        <f>A39/AVERAGE($K$40:$K$45)</f>
        <v>0</v>
      </c>
      <c r="Q39" s="239">
        <f>B39/AVERAGE($K$40:$K$45)</f>
        <v>0</v>
      </c>
      <c r="R39" s="239">
        <f t="shared" ref="Q39:Z46" si="12">C39/AVERAGE($K$40:$K$45)</f>
        <v>0</v>
      </c>
      <c r="S39" s="239">
        <f t="shared" si="12"/>
        <v>0</v>
      </c>
      <c r="T39" s="239">
        <f t="shared" si="12"/>
        <v>0</v>
      </c>
      <c r="U39" s="239">
        <f t="shared" si="12"/>
        <v>0</v>
      </c>
      <c r="V39" s="239">
        <f t="shared" si="12"/>
        <v>0</v>
      </c>
      <c r="W39" s="239">
        <f t="shared" si="12"/>
        <v>0</v>
      </c>
      <c r="X39" s="239">
        <f t="shared" si="12"/>
        <v>0</v>
      </c>
      <c r="Y39" s="239">
        <f t="shared" si="12"/>
        <v>0</v>
      </c>
      <c r="Z39" s="239">
        <f t="shared" si="12"/>
        <v>0</v>
      </c>
      <c r="AD39" s="243"/>
      <c r="AE39" s="243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 t="s">
        <v>69</v>
      </c>
      <c r="BF39" s="243" t="s">
        <v>73</v>
      </c>
      <c r="BG39" s="243" t="s">
        <v>74</v>
      </c>
      <c r="BH39" s="239">
        <f>AS39/AVERAGE($K$38:$K$43)</f>
        <v>0</v>
      </c>
      <c r="BI39" s="239">
        <f>AT39/AVERAGE($K$38:$K$43)</f>
        <v>0</v>
      </c>
      <c r="BJ39" s="239">
        <f t="shared" ref="BI39:BR46" si="13">AU39/AVERAGE($K$38:$K$43)</f>
        <v>0</v>
      </c>
      <c r="BK39" s="239">
        <f t="shared" si="13"/>
        <v>0</v>
      </c>
      <c r="BL39" s="239">
        <f t="shared" si="13"/>
        <v>0</v>
      </c>
      <c r="BM39" s="239">
        <f t="shared" si="13"/>
        <v>0</v>
      </c>
      <c r="BN39" s="239">
        <f t="shared" si="13"/>
        <v>0</v>
      </c>
      <c r="BO39" s="239">
        <f t="shared" si="13"/>
        <v>0</v>
      </c>
      <c r="BP39" s="239">
        <f t="shared" si="13"/>
        <v>0</v>
      </c>
      <c r="BQ39" s="239">
        <f t="shared" si="13"/>
        <v>0</v>
      </c>
      <c r="BR39" s="239">
        <f t="shared" si="13"/>
        <v>0</v>
      </c>
      <c r="BV39" s="243"/>
      <c r="BW39" s="243"/>
    </row>
    <row r="40" spans="1:87">
      <c r="A40" s="242"/>
      <c r="B40" s="244">
        <v>0.35505077328153117</v>
      </c>
      <c r="C40" s="244">
        <v>0.33962260080919798</v>
      </c>
      <c r="D40" s="244">
        <v>0.5578184930392831</v>
      </c>
      <c r="E40" s="244">
        <v>0.62273303463028462</v>
      </c>
      <c r="F40" s="244">
        <v>0.8293047790485536</v>
      </c>
      <c r="G40" s="244">
        <v>0.94791063121016139</v>
      </c>
      <c r="H40" s="244">
        <v>0.98239360618851657</v>
      </c>
      <c r="I40" s="244">
        <v>1.0478439247795761</v>
      </c>
      <c r="J40" s="244">
        <v>0.99449793549929677</v>
      </c>
      <c r="K40" s="244">
        <v>0.99483871455182016</v>
      </c>
      <c r="L40" s="242" t="s">
        <v>69</v>
      </c>
      <c r="N40" s="243" t="s">
        <v>62</v>
      </c>
      <c r="O40" s="243" t="s">
        <v>75</v>
      </c>
      <c r="P40" s="239">
        <f t="shared" ref="P40:P46" si="14">A40/AVERAGE($K$40:$K$45)</f>
        <v>0</v>
      </c>
      <c r="Q40" s="239">
        <f t="shared" si="12"/>
        <v>0.34572927031223211</v>
      </c>
      <c r="R40" s="239">
        <f t="shared" si="12"/>
        <v>0.33070614907857815</v>
      </c>
      <c r="S40" s="239">
        <f t="shared" si="12"/>
        <v>0.54317352637398708</v>
      </c>
      <c r="T40" s="239">
        <f t="shared" si="12"/>
        <v>0.60638380159598848</v>
      </c>
      <c r="U40" s="239">
        <f t="shared" si="12"/>
        <v>0.80753221145517073</v>
      </c>
      <c r="V40" s="239">
        <f t="shared" si="12"/>
        <v>0.92302418558496246</v>
      </c>
      <c r="W40" s="239">
        <f t="shared" si="12"/>
        <v>0.95660184454138586</v>
      </c>
      <c r="X40" s="239">
        <f t="shared" si="12"/>
        <v>1.0203338304741347</v>
      </c>
      <c r="Y40" s="239">
        <f t="shared" si="12"/>
        <v>0.9683883867915466</v>
      </c>
      <c r="Z40" s="239">
        <f t="shared" si="12"/>
        <v>0.96872021903085626</v>
      </c>
      <c r="AD40" s="243"/>
      <c r="AE40" s="243"/>
      <c r="AS40" s="242"/>
      <c r="AT40" s="244">
        <v>0.3820685875531078</v>
      </c>
      <c r="AU40" s="244">
        <v>0.37286620320343633</v>
      </c>
      <c r="AV40" s="244">
        <v>0.33552525525462151</v>
      </c>
      <c r="AW40" s="244">
        <v>0.32918958031204643</v>
      </c>
      <c r="AX40" s="244">
        <v>0.35533982947215459</v>
      </c>
      <c r="AY40" s="244">
        <v>0.38858113515497011</v>
      </c>
      <c r="AZ40" s="244">
        <v>0.41768397940462004</v>
      </c>
      <c r="BA40" s="244">
        <v>0.46723352651513445</v>
      </c>
      <c r="BB40" s="244">
        <v>0.46974686200358112</v>
      </c>
      <c r="BC40" s="244">
        <v>0.92728940093836787</v>
      </c>
      <c r="BD40" s="242" t="s">
        <v>69</v>
      </c>
      <c r="BF40" s="243" t="s">
        <v>83</v>
      </c>
      <c r="BG40" s="243" t="s">
        <v>75</v>
      </c>
      <c r="BH40" s="239">
        <f t="shared" ref="BH40:BH46" si="15">AS40/AVERAGE($K$38:$K$43)</f>
        <v>0</v>
      </c>
      <c r="BI40" s="239">
        <f t="shared" si="13"/>
        <v>0.36951640266858299</v>
      </c>
      <c r="BJ40" s="239">
        <f t="shared" si="13"/>
        <v>0.3606163463131476</v>
      </c>
      <c r="BK40" s="239">
        <f t="shared" si="13"/>
        <v>0.32450216889110839</v>
      </c>
      <c r="BL40" s="239">
        <f t="shared" si="13"/>
        <v>0.31837464129651805</v>
      </c>
      <c r="BM40" s="239">
        <f t="shared" si="13"/>
        <v>0.34366577046370494</v>
      </c>
      <c r="BN40" s="239">
        <f t="shared" si="13"/>
        <v>0.37581499208536823</v>
      </c>
      <c r="BO40" s="239">
        <f t="shared" si="13"/>
        <v>0.40396171407428305</v>
      </c>
      <c r="BP40" s="239">
        <f t="shared" si="13"/>
        <v>0.45188339881521911</v>
      </c>
      <c r="BQ40" s="239">
        <f t="shared" si="13"/>
        <v>0.45431416312991435</v>
      </c>
      <c r="BR40" s="239">
        <f t="shared" si="13"/>
        <v>0.89682495455039901</v>
      </c>
      <c r="BV40" s="243"/>
      <c r="BW40" s="243"/>
    </row>
    <row r="41" spans="1:87">
      <c r="A41" s="242"/>
      <c r="B41" s="244">
        <v>0.36773612669972466</v>
      </c>
      <c r="C41" s="244">
        <v>0.36137884794522218</v>
      </c>
      <c r="D41" s="244">
        <v>0.38631422040291385</v>
      </c>
      <c r="E41" s="244">
        <v>0.62467908871287725</v>
      </c>
      <c r="F41" s="244">
        <v>0.86594357916550546</v>
      </c>
      <c r="G41" s="244">
        <v>0.92476276892978859</v>
      </c>
      <c r="H41" s="244">
        <v>0.99633562572653178</v>
      </c>
      <c r="I41" s="244">
        <v>1.0130033109080399</v>
      </c>
      <c r="J41" s="244">
        <v>1.0216558590031461</v>
      </c>
      <c r="K41" s="244">
        <v>1.0401891945073916</v>
      </c>
      <c r="L41" s="242" t="s">
        <v>69</v>
      </c>
      <c r="N41" s="243" t="s">
        <v>62</v>
      </c>
      <c r="O41" s="243" t="s">
        <v>76</v>
      </c>
      <c r="P41" s="239">
        <f t="shared" si="14"/>
        <v>0</v>
      </c>
      <c r="Q41" s="239">
        <f t="shared" si="12"/>
        <v>0.35808158246294314</v>
      </c>
      <c r="R41" s="239">
        <f t="shared" si="12"/>
        <v>0.35189120770428067</v>
      </c>
      <c r="S41" s="239">
        <f t="shared" si="12"/>
        <v>0.37617192689574597</v>
      </c>
      <c r="T41" s="239">
        <f t="shared" si="12"/>
        <v>0.60827876397487446</v>
      </c>
      <c r="U41" s="239">
        <f t="shared" si="12"/>
        <v>0.84320909651719911</v>
      </c>
      <c r="V41" s="239">
        <f t="shared" si="12"/>
        <v>0.90048404727878395</v>
      </c>
      <c r="W41" s="239">
        <f t="shared" si="12"/>
        <v>0.97017783029972371</v>
      </c>
      <c r="X41" s="239">
        <f t="shared" si="12"/>
        <v>0.98640792207599903</v>
      </c>
      <c r="Y41" s="239">
        <f t="shared" si="12"/>
        <v>0.99483330617420684</v>
      </c>
      <c r="Z41" s="239">
        <f t="shared" si="12"/>
        <v>1.0128800674898168</v>
      </c>
      <c r="AD41" s="243"/>
      <c r="AE41" s="243"/>
      <c r="AS41" s="242"/>
      <c r="AT41" s="244">
        <v>0.42266707859438235</v>
      </c>
      <c r="AU41" s="244">
        <v>0.38775940973869166</v>
      </c>
      <c r="AV41" s="244">
        <v>0.33471915623904547</v>
      </c>
      <c r="AW41" s="244">
        <v>0.32785565937289229</v>
      </c>
      <c r="AX41" s="244">
        <v>0.37368619170669071</v>
      </c>
      <c r="AY41" s="244">
        <v>0.40051197619817969</v>
      </c>
      <c r="AZ41" s="244">
        <v>0.39209341585605478</v>
      </c>
      <c r="BA41" s="244">
        <v>0.4457226941045116</v>
      </c>
      <c r="BB41" s="244">
        <v>0.45884829437500985</v>
      </c>
      <c r="BC41" s="244">
        <v>0.92420245443334437</v>
      </c>
      <c r="BD41" s="242" t="s">
        <v>69</v>
      </c>
      <c r="BF41" s="243" t="s">
        <v>83</v>
      </c>
      <c r="BG41" s="243" t="s">
        <v>76</v>
      </c>
      <c r="BH41" s="239">
        <f t="shared" si="15"/>
        <v>0</v>
      </c>
      <c r="BI41" s="239">
        <f t="shared" si="13"/>
        <v>0.40878110239022453</v>
      </c>
      <c r="BJ41" s="239">
        <f t="shared" si="13"/>
        <v>0.37502026299824492</v>
      </c>
      <c r="BK41" s="239">
        <f t="shared" si="13"/>
        <v>0.32372255282704521</v>
      </c>
      <c r="BL41" s="239">
        <f t="shared" si="13"/>
        <v>0.31708454396075625</v>
      </c>
      <c r="BM41" s="239">
        <f t="shared" si="13"/>
        <v>0.36140939555043944</v>
      </c>
      <c r="BN41" s="239">
        <f t="shared" si="13"/>
        <v>0.38735386653545545</v>
      </c>
      <c r="BO41" s="239">
        <f t="shared" si="13"/>
        <v>0.37921188304188186</v>
      </c>
      <c r="BP41" s="239">
        <f t="shared" si="13"/>
        <v>0.43107926659988682</v>
      </c>
      <c r="BQ41" s="239">
        <f t="shared" si="13"/>
        <v>0.44377364858476048</v>
      </c>
      <c r="BR41" s="239">
        <f t="shared" si="13"/>
        <v>0.89383942419033491</v>
      </c>
      <c r="BV41" s="243"/>
      <c r="BW41" s="243"/>
    </row>
    <row r="42" spans="1:87">
      <c r="A42" s="242"/>
      <c r="B42" s="244">
        <v>0.3546875892888674</v>
      </c>
      <c r="C42" s="244">
        <v>0.34649498341924018</v>
      </c>
      <c r="D42" s="244">
        <v>0.39041864458864328</v>
      </c>
      <c r="E42" s="244">
        <v>0.61567514837272252</v>
      </c>
      <c r="F42" s="244">
        <v>0.86142766729694187</v>
      </c>
      <c r="G42" s="244">
        <v>0.9027589242799422</v>
      </c>
      <c r="H42" s="244">
        <v>0.97893995393710087</v>
      </c>
      <c r="I42" s="244">
        <v>0.98304561716195293</v>
      </c>
      <c r="J42" s="244">
        <v>1.0357277091731507</v>
      </c>
      <c r="K42" s="244">
        <v>1.059535635718676</v>
      </c>
      <c r="L42" s="242" t="s">
        <v>69</v>
      </c>
      <c r="N42" s="243" t="s">
        <v>62</v>
      </c>
      <c r="O42" s="243" t="s">
        <v>77</v>
      </c>
      <c r="P42" s="239">
        <f t="shared" si="14"/>
        <v>0</v>
      </c>
      <c r="Q42" s="239">
        <f t="shared" si="12"/>
        <v>0.34537562135207855</v>
      </c>
      <c r="R42" s="239">
        <f t="shared" si="12"/>
        <v>0.33739810415620414</v>
      </c>
      <c r="S42" s="239">
        <f t="shared" si="12"/>
        <v>0.38016859352927818</v>
      </c>
      <c r="T42" s="239">
        <f t="shared" si="12"/>
        <v>0.59951121308358757</v>
      </c>
      <c r="U42" s="239">
        <f t="shared" si="12"/>
        <v>0.83881174539842029</v>
      </c>
      <c r="V42" s="239">
        <f t="shared" si="12"/>
        <v>0.87905789156436454</v>
      </c>
      <c r="W42" s="239">
        <f t="shared" si="12"/>
        <v>0.95323886447586337</v>
      </c>
      <c r="X42" s="239">
        <f t="shared" si="12"/>
        <v>0.95723673761878525</v>
      </c>
      <c r="Y42" s="239">
        <f t="shared" si="12"/>
        <v>1.0085357139911335</v>
      </c>
      <c r="Z42" s="239">
        <f t="shared" si="12"/>
        <v>1.0317185872353076</v>
      </c>
      <c r="AD42" s="243"/>
      <c r="AE42" s="243"/>
      <c r="AS42" s="242"/>
      <c r="AT42" s="244">
        <v>0.41261823658354413</v>
      </c>
      <c r="AU42" s="244">
        <v>0.37132064050648045</v>
      </c>
      <c r="AV42" s="244">
        <v>0.32891679195339307</v>
      </c>
      <c r="AW42" s="244">
        <v>0.32238914780722927</v>
      </c>
      <c r="AX42" s="244">
        <v>0.35844438551242341</v>
      </c>
      <c r="AY42" s="244">
        <v>0.39012696147311587</v>
      </c>
      <c r="AZ42" s="244">
        <v>0.39665711827454009</v>
      </c>
      <c r="BA42" s="244">
        <v>0.46176055656901299</v>
      </c>
      <c r="BB42" s="244">
        <v>0.48359934074898642</v>
      </c>
      <c r="BC42" s="244">
        <v>0.95446706529199588</v>
      </c>
      <c r="BD42" s="242" t="s">
        <v>69</v>
      </c>
      <c r="BF42" s="243" t="s">
        <v>83</v>
      </c>
      <c r="BG42" s="243" t="s">
        <v>77</v>
      </c>
      <c r="BH42" s="239">
        <f t="shared" si="15"/>
        <v>0</v>
      </c>
      <c r="BI42" s="239">
        <f t="shared" si="13"/>
        <v>0.39906239723675851</v>
      </c>
      <c r="BJ42" s="239">
        <f t="shared" si="13"/>
        <v>0.35912156033365772</v>
      </c>
      <c r="BK42" s="239">
        <f t="shared" si="13"/>
        <v>0.31811081491491205</v>
      </c>
      <c r="BL42" s="239">
        <f t="shared" si="13"/>
        <v>0.31179762492397672</v>
      </c>
      <c r="BM42" s="239">
        <f t="shared" si="13"/>
        <v>0.34666833182900875</v>
      </c>
      <c r="BN42" s="239">
        <f t="shared" si="13"/>
        <v>0.37731003302524196</v>
      </c>
      <c r="BO42" s="239">
        <f t="shared" si="13"/>
        <v>0.38362565312261165</v>
      </c>
      <c r="BP42" s="239">
        <f t="shared" si="13"/>
        <v>0.44659023357660094</v>
      </c>
      <c r="BQ42" s="239">
        <f t="shared" si="13"/>
        <v>0.46771154328834902</v>
      </c>
      <c r="BR42" s="239">
        <f t="shared" si="13"/>
        <v>0.9231097450096275</v>
      </c>
      <c r="BV42" s="243"/>
      <c r="BW42" s="243"/>
    </row>
    <row r="43" spans="1:87">
      <c r="A43" s="242"/>
      <c r="B43" s="244">
        <v>0.2793886137628801</v>
      </c>
      <c r="C43" s="244">
        <v>0.32434380432991139</v>
      </c>
      <c r="D43" s="244">
        <v>0.46908425265936371</v>
      </c>
      <c r="E43" s="244">
        <v>0.37071232473301241</v>
      </c>
      <c r="F43" s="244">
        <v>0.55109917144383758</v>
      </c>
      <c r="G43" s="244">
        <v>0.7544916445631018</v>
      </c>
      <c r="H43" s="244">
        <v>0.87643620418125556</v>
      </c>
      <c r="I43" s="244">
        <v>0.98744734443277526</v>
      </c>
      <c r="J43" s="244">
        <v>1.0380123383259812</v>
      </c>
      <c r="K43" s="244">
        <v>1.0413133450583967</v>
      </c>
      <c r="L43" s="242" t="s">
        <v>69</v>
      </c>
      <c r="N43" s="243" t="s">
        <v>78</v>
      </c>
      <c r="O43" s="243" t="s">
        <v>79</v>
      </c>
      <c r="P43" s="239">
        <f t="shared" si="14"/>
        <v>0</v>
      </c>
      <c r="Q43" s="239">
        <f t="shared" si="12"/>
        <v>0.27205354512267188</v>
      </c>
      <c r="R43" s="239">
        <f t="shared" si="12"/>
        <v>0.31582848212066306</v>
      </c>
      <c r="S43" s="239">
        <f t="shared" si="12"/>
        <v>0.4567689147328961</v>
      </c>
      <c r="T43" s="239">
        <f t="shared" si="12"/>
        <v>0.36097964339333688</v>
      </c>
      <c r="U43" s="239">
        <f t="shared" si="12"/>
        <v>0.53663061384709454</v>
      </c>
      <c r="V43" s="239">
        <f t="shared" si="12"/>
        <v>0.73468322099566574</v>
      </c>
      <c r="W43" s="239">
        <f t="shared" si="12"/>
        <v>0.85342624815674417</v>
      </c>
      <c r="X43" s="239">
        <f t="shared" si="12"/>
        <v>0.96152290194224155</v>
      </c>
      <c r="Y43" s="239">
        <f t="shared" si="12"/>
        <v>1.0107603624903942</v>
      </c>
      <c r="Z43" s="239">
        <f t="shared" si="12"/>
        <v>1.0139747045923586</v>
      </c>
      <c r="AD43" s="243"/>
      <c r="AE43" s="243"/>
      <c r="AS43" s="242"/>
      <c r="AT43" s="244">
        <v>0.2953278558370786</v>
      </c>
      <c r="AU43" s="244">
        <v>0.32666451580878386</v>
      </c>
      <c r="AV43" s="244">
        <v>0.31323958941243124</v>
      </c>
      <c r="AW43" s="244">
        <v>0.33781652171964399</v>
      </c>
      <c r="AX43" s="244">
        <v>0.52498145467322976</v>
      </c>
      <c r="AY43" s="244">
        <v>0.70562372795569861</v>
      </c>
      <c r="AZ43" s="244">
        <v>0.83313958435821089</v>
      </c>
      <c r="BA43" s="244">
        <v>0.88342956421111807</v>
      </c>
      <c r="BB43" s="244">
        <v>0.90810874307890277</v>
      </c>
      <c r="BC43" s="244">
        <v>0.9765197568288283</v>
      </c>
      <c r="BD43" s="242" t="s">
        <v>69</v>
      </c>
      <c r="BF43" s="243" t="s">
        <v>78</v>
      </c>
      <c r="BG43" s="243" t="s">
        <v>79</v>
      </c>
      <c r="BH43" s="239">
        <f t="shared" si="15"/>
        <v>0</v>
      </c>
      <c r="BI43" s="239">
        <f t="shared" si="13"/>
        <v>0.28562538364024559</v>
      </c>
      <c r="BJ43" s="239">
        <f t="shared" si="13"/>
        <v>0.31593253330295779</v>
      </c>
      <c r="BK43" s="239">
        <f t="shared" si="13"/>
        <v>0.30294865902048707</v>
      </c>
      <c r="BL43" s="239">
        <f t="shared" si="13"/>
        <v>0.32671815986574609</v>
      </c>
      <c r="BM43" s="239">
        <f t="shared" si="13"/>
        <v>0.5077341213548654</v>
      </c>
      <c r="BN43" s="239">
        <f t="shared" si="13"/>
        <v>0.68244171357202099</v>
      </c>
      <c r="BO43" s="239">
        <f t="shared" si="13"/>
        <v>0.80576826298249904</v>
      </c>
      <c r="BP43" s="239">
        <f t="shared" si="13"/>
        <v>0.85440605486309629</v>
      </c>
      <c r="BQ43" s="239">
        <f t="shared" si="13"/>
        <v>0.8782744431397711</v>
      </c>
      <c r="BR43" s="239">
        <f t="shared" si="13"/>
        <v>0.94443793453192759</v>
      </c>
      <c r="BV43" s="243"/>
      <c r="BW43" s="243"/>
    </row>
    <row r="44" spans="1:87">
      <c r="A44" s="242"/>
      <c r="B44" s="244">
        <v>0.26985426039918226</v>
      </c>
      <c r="C44" s="244">
        <v>0.32362607627177092</v>
      </c>
      <c r="D44" s="244">
        <v>0.34526327067569396</v>
      </c>
      <c r="E44" s="244">
        <v>0.38604140697361672</v>
      </c>
      <c r="F44" s="244">
        <v>0.5869753370034112</v>
      </c>
      <c r="G44" s="244">
        <v>0.78767540951264625</v>
      </c>
      <c r="H44" s="244">
        <v>0.9439710107883923</v>
      </c>
      <c r="I44" s="244">
        <v>0.97935097117517045</v>
      </c>
      <c r="J44" s="244">
        <v>1.015880309867071</v>
      </c>
      <c r="K44" s="244">
        <v>1.0113180831211288</v>
      </c>
      <c r="L44" s="242" t="s">
        <v>69</v>
      </c>
      <c r="N44" s="243" t="s">
        <v>78</v>
      </c>
      <c r="O44" s="243" t="s">
        <v>80</v>
      </c>
      <c r="P44" s="239">
        <f t="shared" si="14"/>
        <v>0</v>
      </c>
      <c r="Q44" s="239">
        <f t="shared" si="12"/>
        <v>0.2627695066713136</v>
      </c>
      <c r="R44" s="239">
        <f t="shared" si="12"/>
        <v>0.31512959729489542</v>
      </c>
      <c r="S44" s="239">
        <f t="shared" si="12"/>
        <v>0.33619872879891444</v>
      </c>
      <c r="T44" s="239">
        <f t="shared" si="12"/>
        <v>0.37590627591019665</v>
      </c>
      <c r="U44" s="239">
        <f t="shared" si="12"/>
        <v>0.57156488655934445</v>
      </c>
      <c r="V44" s="239">
        <f t="shared" si="12"/>
        <v>0.76699577938325614</v>
      </c>
      <c r="W44" s="239">
        <f t="shared" si="12"/>
        <v>0.91918799595738654</v>
      </c>
      <c r="X44" s="239">
        <f t="shared" si="12"/>
        <v>0.95363909086740228</v>
      </c>
      <c r="Y44" s="239">
        <f t="shared" si="12"/>
        <v>0.98920938830462268</v>
      </c>
      <c r="Z44" s="239">
        <f t="shared" si="12"/>
        <v>0.98476693825925166</v>
      </c>
      <c r="AD44" s="243"/>
      <c r="AE44" s="243"/>
      <c r="AS44" s="242"/>
      <c r="AT44" s="244">
        <v>0.27826842448321032</v>
      </c>
      <c r="AU44" s="244">
        <v>0.32584404956841345</v>
      </c>
      <c r="AV44" s="244">
        <v>0.31596654984045541</v>
      </c>
      <c r="AW44" s="244">
        <v>0.33727779157417864</v>
      </c>
      <c r="AX44" s="244">
        <v>0.50721377369385179</v>
      </c>
      <c r="AY44" s="244">
        <v>0.69288941971761564</v>
      </c>
      <c r="AZ44" s="244">
        <v>0.82520597478120894</v>
      </c>
      <c r="BA44" s="244">
        <v>0.92601880437672124</v>
      </c>
      <c r="BB44" s="244">
        <v>0.94585729067618018</v>
      </c>
      <c r="BC44" s="244">
        <v>0.94478087056126003</v>
      </c>
      <c r="BD44" s="242" t="s">
        <v>69</v>
      </c>
      <c r="BF44" s="243" t="s">
        <v>78</v>
      </c>
      <c r="BG44" s="243" t="s">
        <v>80</v>
      </c>
      <c r="BH44" s="239">
        <f t="shared" si="15"/>
        <v>0</v>
      </c>
      <c r="BI44" s="239">
        <f t="shared" si="13"/>
        <v>0.26912640960570311</v>
      </c>
      <c r="BJ44" s="239">
        <f t="shared" si="13"/>
        <v>0.31513902202375443</v>
      </c>
      <c r="BK44" s="239">
        <f t="shared" si="13"/>
        <v>0.30558603000677104</v>
      </c>
      <c r="BL44" s="239">
        <f t="shared" si="13"/>
        <v>0.32619712874241724</v>
      </c>
      <c r="BM44" s="239">
        <f t="shared" si="13"/>
        <v>0.49055016597839735</v>
      </c>
      <c r="BN44" s="239">
        <f t="shared" si="13"/>
        <v>0.67012576841477811</v>
      </c>
      <c r="BO44" s="239">
        <f t="shared" si="13"/>
        <v>0.79809529805794011</v>
      </c>
      <c r="BP44" s="239">
        <f t="shared" si="13"/>
        <v>0.8955961011821868</v>
      </c>
      <c r="BQ44" s="239">
        <f t="shared" si="13"/>
        <v>0.9147828292477258</v>
      </c>
      <c r="BR44" s="239">
        <f t="shared" si="13"/>
        <v>0.9137417730039431</v>
      </c>
      <c r="BV44" s="243"/>
      <c r="BW44" s="243"/>
    </row>
    <row r="45" spans="1:87">
      <c r="A45" s="242"/>
      <c r="B45" s="244">
        <v>0.27150674036888883</v>
      </c>
      <c r="C45" s="244">
        <v>0.31396340230400915</v>
      </c>
      <c r="D45" s="244">
        <v>0.31967322542089427</v>
      </c>
      <c r="E45" s="244">
        <v>0.36271816121507006</v>
      </c>
      <c r="F45" s="244">
        <v>0.57512294594668611</v>
      </c>
      <c r="G45" s="244">
        <v>0.78527354804022387</v>
      </c>
      <c r="H45" s="244">
        <v>0.99545279150629962</v>
      </c>
      <c r="I45" s="244">
        <v>0.99527075224108374</v>
      </c>
      <c r="J45" s="244">
        <v>0.94700888096042257</v>
      </c>
      <c r="K45" s="244">
        <v>1.0145761659608636</v>
      </c>
      <c r="L45" s="242" t="s">
        <v>69</v>
      </c>
      <c r="N45" s="243" t="s">
        <v>78</v>
      </c>
      <c r="O45" s="243" t="s">
        <v>81</v>
      </c>
      <c r="P45" s="239">
        <f t="shared" si="14"/>
        <v>0</v>
      </c>
      <c r="Q45" s="239">
        <f t="shared" si="12"/>
        <v>0.26437860243204642</v>
      </c>
      <c r="R45" s="239">
        <f t="shared" si="12"/>
        <v>0.30572060716860056</v>
      </c>
      <c r="S45" s="239">
        <f t="shared" si="12"/>
        <v>0.31128052458989658</v>
      </c>
      <c r="T45" s="239">
        <f t="shared" si="12"/>
        <v>0.3531953586436643</v>
      </c>
      <c r="U45" s="239">
        <f t="shared" si="12"/>
        <v>0.56002366817633986</v>
      </c>
      <c r="V45" s="239">
        <f t="shared" si="12"/>
        <v>0.76465697638171137</v>
      </c>
      <c r="W45" s="239">
        <f t="shared" si="12"/>
        <v>0.96931817400902887</v>
      </c>
      <c r="X45" s="239">
        <f t="shared" si="12"/>
        <v>0.96914091400266533</v>
      </c>
      <c r="Y45" s="239">
        <f t="shared" si="12"/>
        <v>0.92214610988619783</v>
      </c>
      <c r="Z45" s="239">
        <f t="shared" si="12"/>
        <v>0.98793948339240967</v>
      </c>
      <c r="AD45" s="243"/>
      <c r="AE45" s="243"/>
      <c r="AS45" s="242"/>
      <c r="AT45" s="244">
        <v>0.27953860581238404</v>
      </c>
      <c r="AU45" s="244">
        <v>0.31089409913661237</v>
      </c>
      <c r="AV45" s="244">
        <v>0.31706022536016426</v>
      </c>
      <c r="AW45" s="244">
        <v>0.34518373588690138</v>
      </c>
      <c r="AX45" s="244">
        <v>0.58558095083670836</v>
      </c>
      <c r="AY45" s="244">
        <v>0.81377807060818752</v>
      </c>
      <c r="AZ45" s="244">
        <v>0.87357938948340519</v>
      </c>
      <c r="BA45" s="244">
        <v>0.88813550499058758</v>
      </c>
      <c r="BB45" s="244">
        <v>0.88959138970051466</v>
      </c>
      <c r="BC45" s="244">
        <v>0.93427031031186336</v>
      </c>
      <c r="BD45" s="242" t="s">
        <v>69</v>
      </c>
      <c r="BF45" s="243" t="s">
        <v>78</v>
      </c>
      <c r="BG45" s="243" t="s">
        <v>81</v>
      </c>
      <c r="BH45" s="239">
        <f t="shared" si="15"/>
        <v>0</v>
      </c>
      <c r="BI45" s="239">
        <f t="shared" si="13"/>
        <v>0.27035486138316789</v>
      </c>
      <c r="BJ45" s="239">
        <f t="shared" si="13"/>
        <v>0.30068022566205432</v>
      </c>
      <c r="BK45" s="239">
        <f t="shared" si="13"/>
        <v>0.30664377475966392</v>
      </c>
      <c r="BL45" s="239">
        <f t="shared" si="13"/>
        <v>0.33384333729582094</v>
      </c>
      <c r="BM45" s="239">
        <f t="shared" si="13"/>
        <v>0.56634272869750546</v>
      </c>
      <c r="BN45" s="239">
        <f t="shared" si="13"/>
        <v>0.78704283738039438</v>
      </c>
      <c r="BO45" s="239">
        <f t="shared" si="13"/>
        <v>0.84487949013200458</v>
      </c>
      <c r="BP45" s="239">
        <f t="shared" si="13"/>
        <v>0.85895739031607754</v>
      </c>
      <c r="BQ45" s="239">
        <f t="shared" si="13"/>
        <v>0.86036544451953301</v>
      </c>
      <c r="BR45" s="239">
        <f t="shared" si="13"/>
        <v>0.90357651854462795</v>
      </c>
      <c r="BV45" s="243"/>
      <c r="BW45" s="243"/>
    </row>
    <row r="46" spans="1:87">
      <c r="A46" s="242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 t="s">
        <v>69</v>
      </c>
      <c r="N46" s="243" t="s">
        <v>73</v>
      </c>
      <c r="O46" s="243" t="s">
        <v>82</v>
      </c>
      <c r="P46" s="239">
        <f t="shared" si="14"/>
        <v>0</v>
      </c>
      <c r="Q46" s="239">
        <f t="shared" si="12"/>
        <v>0</v>
      </c>
      <c r="R46" s="239">
        <f t="shared" si="12"/>
        <v>0</v>
      </c>
      <c r="S46" s="239">
        <f t="shared" si="12"/>
        <v>0</v>
      </c>
      <c r="T46" s="239">
        <f t="shared" si="12"/>
        <v>0</v>
      </c>
      <c r="U46" s="239">
        <f t="shared" si="12"/>
        <v>0</v>
      </c>
      <c r="V46" s="239">
        <f t="shared" si="12"/>
        <v>0</v>
      </c>
      <c r="W46" s="239">
        <f t="shared" si="12"/>
        <v>0</v>
      </c>
      <c r="X46" s="239">
        <f t="shared" si="12"/>
        <v>0</v>
      </c>
      <c r="Y46" s="239">
        <f t="shared" si="12"/>
        <v>0</v>
      </c>
      <c r="Z46" s="239">
        <f t="shared" si="12"/>
        <v>0</v>
      </c>
      <c r="AD46" s="243"/>
      <c r="AE46" s="243"/>
      <c r="AS46" s="242"/>
      <c r="AT46" s="242"/>
      <c r="AU46" s="242"/>
      <c r="AV46" s="242"/>
      <c r="AW46" s="242"/>
      <c r="AX46" s="242"/>
      <c r="AY46" s="242"/>
      <c r="AZ46" s="242"/>
      <c r="BA46" s="242"/>
      <c r="BB46" s="242"/>
      <c r="BC46" s="242"/>
      <c r="BD46" s="242" t="s">
        <v>69</v>
      </c>
      <c r="BF46" s="243" t="s">
        <v>73</v>
      </c>
      <c r="BG46" s="243" t="s">
        <v>82</v>
      </c>
      <c r="BH46" s="239">
        <f t="shared" si="15"/>
        <v>0</v>
      </c>
      <c r="BI46" s="239">
        <f t="shared" si="13"/>
        <v>0</v>
      </c>
      <c r="BJ46" s="239">
        <f t="shared" si="13"/>
        <v>0</v>
      </c>
      <c r="BK46" s="239">
        <f t="shared" si="13"/>
        <v>0</v>
      </c>
      <c r="BL46" s="239">
        <f t="shared" si="13"/>
        <v>0</v>
      </c>
      <c r="BM46" s="239">
        <f t="shared" si="13"/>
        <v>0</v>
      </c>
      <c r="BN46" s="239">
        <f t="shared" si="13"/>
        <v>0</v>
      </c>
      <c r="BO46" s="239">
        <f t="shared" si="13"/>
        <v>0</v>
      </c>
      <c r="BP46" s="239">
        <f t="shared" si="13"/>
        <v>0</v>
      </c>
      <c r="BQ46" s="239">
        <f t="shared" si="13"/>
        <v>0</v>
      </c>
      <c r="BR46" s="239">
        <f t="shared" si="13"/>
        <v>0</v>
      </c>
      <c r="BV46" s="243"/>
      <c r="BW46" s="243"/>
    </row>
    <row r="47" spans="1:87">
      <c r="L47" s="239" t="s">
        <v>69</v>
      </c>
      <c r="BD47" s="239" t="s">
        <v>69</v>
      </c>
    </row>
  </sheetData>
  <printOptions headings="1"/>
  <pageMargins left="0.75" right="0.75" top="1" bottom="1" header="0.5" footer="0.5"/>
  <pageSetup fitToHeight="100" pageOrder="overThenDown" orientation="portrait" blackAndWhite="1"/>
  <headerFooter alignWithMargins="0">
    <oddHeader>&amp;LAssay 5235, measured on 10/25/2017 3:38:20 PM. Instrument ID: 4207368&amp;RPage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50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27" sqref="F27"/>
    </sheetView>
  </sheetViews>
  <sheetFormatPr defaultRowHeight="12.75" outlineLevelCol="1"/>
  <cols>
    <col min="1" max="1" width="9.85546875" style="75" bestFit="1" customWidth="1"/>
    <col min="2" max="2" width="9.140625" style="66"/>
    <col min="3" max="3" width="29.42578125" style="76" hidden="1" customWidth="1" outlineLevel="1"/>
    <col min="4" max="4" width="7.140625" style="66" customWidth="1" collapsed="1"/>
    <col min="5" max="5" width="18.140625" style="215" customWidth="1"/>
    <col min="6" max="6" width="10.7109375" style="77" customWidth="1"/>
    <col min="7" max="8" width="10" style="78" customWidth="1" outlineLevel="1"/>
    <col min="9" max="9" width="10.7109375" style="77" customWidth="1"/>
    <col min="10" max="10" width="9.140625" style="78" customWidth="1" outlineLevel="1"/>
    <col min="11" max="11" width="9.140625" style="79" customWidth="1" outlineLevel="1"/>
    <col min="12" max="12" width="10.7109375" style="78" customWidth="1" outlineLevel="1"/>
    <col min="13" max="13" width="12.85546875" style="80" customWidth="1" outlineLevel="1"/>
    <col min="14" max="16" width="12.85546875" style="78" customWidth="1" outlineLevel="1"/>
    <col min="17" max="17" width="12.85546875" style="65" customWidth="1" outlineLevel="1"/>
    <col min="18" max="18" width="13.7109375" style="95" customWidth="1" outlineLevel="1"/>
    <col min="19" max="19" width="12.85546875" style="93" customWidth="1" outlineLevel="1"/>
    <col min="20" max="20" width="15.42578125" style="93" customWidth="1" outlineLevel="1"/>
    <col min="21" max="21" width="16.7109375" style="93" customWidth="1" outlineLevel="1"/>
    <col min="22" max="22" width="6.140625" style="66" bestFit="1" customWidth="1"/>
    <col min="23" max="24" width="8.5703125" style="66" customWidth="1"/>
    <col min="25" max="43" width="8.5703125" style="66" customWidth="1" outlineLevel="1"/>
    <col min="44" max="44" width="6.140625" style="67" bestFit="1" customWidth="1"/>
    <col min="45" max="46" width="8.5703125" style="66" customWidth="1"/>
    <col min="47" max="65" width="8.5703125" style="66" customWidth="1" outlineLevel="1"/>
    <col min="66" max="16384" width="9.140625" style="74"/>
  </cols>
  <sheetData>
    <row r="1" spans="1:66" s="27" customFormat="1" ht="28.5">
      <c r="A1" s="26" t="s">
        <v>61</v>
      </c>
      <c r="C1" s="28"/>
      <c r="D1" s="29"/>
      <c r="E1" s="209"/>
      <c r="F1" s="30"/>
      <c r="G1" s="31"/>
      <c r="H1" s="31"/>
      <c r="I1" s="30"/>
      <c r="J1" s="31"/>
      <c r="K1" s="32"/>
      <c r="L1" s="31"/>
      <c r="M1" s="33"/>
      <c r="N1" s="31"/>
      <c r="O1" s="31"/>
      <c r="P1" s="31"/>
      <c r="Q1" s="91"/>
      <c r="R1" s="94"/>
      <c r="S1" s="92"/>
      <c r="T1" s="92"/>
      <c r="U1" s="92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34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66" s="71" customFormat="1" ht="15.75" customHeight="1">
      <c r="A2" s="151" t="s">
        <v>31</v>
      </c>
      <c r="B2" s="35"/>
      <c r="C2" s="36"/>
      <c r="D2" s="35"/>
      <c r="E2" s="210"/>
      <c r="F2" s="412" t="s">
        <v>16</v>
      </c>
      <c r="G2" s="413"/>
      <c r="H2" s="414"/>
      <c r="I2" s="412" t="s">
        <v>0</v>
      </c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4"/>
      <c r="U2" s="220"/>
      <c r="V2" s="37"/>
      <c r="W2" s="151" t="s">
        <v>21</v>
      </c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2"/>
      <c r="AR2" s="69"/>
      <c r="AS2" s="151" t="s">
        <v>30</v>
      </c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2"/>
      <c r="BN2" s="70"/>
    </row>
    <row r="3" spans="1:66" s="90" customFormat="1" ht="15.75">
      <c r="A3" s="84"/>
      <c r="B3" s="85"/>
      <c r="C3" s="86"/>
      <c r="D3" s="85"/>
      <c r="E3" s="211"/>
      <c r="F3" s="412"/>
      <c r="G3" s="413"/>
      <c r="H3" s="414"/>
      <c r="I3" s="412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4"/>
      <c r="U3" s="220"/>
      <c r="V3" s="87" t="s">
        <v>17</v>
      </c>
      <c r="W3" s="153">
        <v>42265</v>
      </c>
      <c r="X3" s="153">
        <v>42267</v>
      </c>
      <c r="Y3" s="153">
        <v>42269</v>
      </c>
      <c r="Z3" s="154">
        <v>42271</v>
      </c>
      <c r="AA3" s="154">
        <v>42273</v>
      </c>
      <c r="AB3" s="154">
        <v>42275</v>
      </c>
      <c r="AC3" s="154">
        <v>42277</v>
      </c>
      <c r="AD3" s="154"/>
      <c r="AE3" s="154"/>
      <c r="AF3" s="154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88" t="s">
        <v>17</v>
      </c>
      <c r="AS3" s="153">
        <f t="shared" ref="AS3:BB4" si="0">IF(ISBLANK(W3)="TRUE","",W3)</f>
        <v>42265</v>
      </c>
      <c r="AT3" s="153">
        <f t="shared" si="0"/>
        <v>42267</v>
      </c>
      <c r="AU3" s="153">
        <f t="shared" si="0"/>
        <v>42269</v>
      </c>
      <c r="AV3" s="153">
        <f t="shared" si="0"/>
        <v>42271</v>
      </c>
      <c r="AW3" s="153">
        <f t="shared" si="0"/>
        <v>42273</v>
      </c>
      <c r="AX3" s="153">
        <f t="shared" si="0"/>
        <v>42275</v>
      </c>
      <c r="AY3" s="153">
        <f t="shared" si="0"/>
        <v>42277</v>
      </c>
      <c r="AZ3" s="153">
        <f t="shared" si="0"/>
        <v>0</v>
      </c>
      <c r="BA3" s="153">
        <f t="shared" si="0"/>
        <v>0</v>
      </c>
      <c r="BB3" s="153">
        <f t="shared" si="0"/>
        <v>0</v>
      </c>
      <c r="BC3" s="153">
        <f t="shared" ref="BC3:BL4" si="1">IF(ISBLANK(AG3)="TRUE","",AG3)</f>
        <v>0</v>
      </c>
      <c r="BD3" s="153">
        <f t="shared" si="1"/>
        <v>0</v>
      </c>
      <c r="BE3" s="153">
        <f t="shared" si="1"/>
        <v>0</v>
      </c>
      <c r="BF3" s="153">
        <f t="shared" si="1"/>
        <v>0</v>
      </c>
      <c r="BG3" s="153">
        <f t="shared" si="1"/>
        <v>0</v>
      </c>
      <c r="BH3" s="153">
        <f t="shared" si="1"/>
        <v>0</v>
      </c>
      <c r="BI3" s="153">
        <f t="shared" si="1"/>
        <v>0</v>
      </c>
      <c r="BJ3" s="153">
        <f t="shared" si="1"/>
        <v>0</v>
      </c>
      <c r="BK3" s="153">
        <f t="shared" si="1"/>
        <v>0</v>
      </c>
      <c r="BL3" s="153">
        <f t="shared" si="1"/>
        <v>0</v>
      </c>
      <c r="BM3" s="153">
        <f t="shared" ref="BM3:BM4" si="2">IF(ISBLANK(AQ3)="TRUE","",AQ3)</f>
        <v>0</v>
      </c>
      <c r="BN3" s="89"/>
    </row>
    <row r="4" spans="1:66" s="73" customFormat="1" ht="15.75">
      <c r="A4" s="38" t="s">
        <v>8</v>
      </c>
      <c r="B4" s="39" t="s">
        <v>9</v>
      </c>
      <c r="C4" s="40" t="s">
        <v>10</v>
      </c>
      <c r="D4" s="38" t="s">
        <v>19</v>
      </c>
      <c r="E4" s="216" t="s">
        <v>13</v>
      </c>
      <c r="F4" s="41" t="s">
        <v>1</v>
      </c>
      <c r="G4" s="42" t="s">
        <v>2</v>
      </c>
      <c r="H4" s="43" t="s">
        <v>3</v>
      </c>
      <c r="I4" s="41" t="s">
        <v>1</v>
      </c>
      <c r="J4" s="42" t="s">
        <v>2</v>
      </c>
      <c r="K4" s="44" t="s">
        <v>18</v>
      </c>
      <c r="L4" s="42" t="s">
        <v>3</v>
      </c>
      <c r="M4" s="45" t="s">
        <v>7</v>
      </c>
      <c r="N4" s="42" t="s">
        <v>4</v>
      </c>
      <c r="O4" s="42" t="s">
        <v>6</v>
      </c>
      <c r="P4" s="42" t="s">
        <v>5</v>
      </c>
      <c r="Q4" s="42" t="s">
        <v>15</v>
      </c>
      <c r="R4" s="42" t="s">
        <v>38</v>
      </c>
      <c r="S4" s="194" t="s">
        <v>39</v>
      </c>
      <c r="T4" s="97" t="s">
        <v>53</v>
      </c>
      <c r="U4" s="97" t="s">
        <v>52</v>
      </c>
      <c r="V4" s="46" t="s">
        <v>11</v>
      </c>
      <c r="W4" s="39">
        <v>0</v>
      </c>
      <c r="X4" s="39">
        <f t="shared" ref="X4" si="3">IF(ISBLANK(X3),"",X3-$W$3)</f>
        <v>2</v>
      </c>
      <c r="Y4" s="39">
        <f>IF(ISBLANK(Y3),"",Y3-$W$3)</f>
        <v>4</v>
      </c>
      <c r="Z4" s="39">
        <f t="shared" ref="Z4" si="4">IF(ISBLANK(Z3),"",Z3-$W$3)</f>
        <v>6</v>
      </c>
      <c r="AA4" s="39">
        <f t="shared" ref="AA4" si="5">IF(ISBLANK(AA3),"",AA3-$W$3)</f>
        <v>8</v>
      </c>
      <c r="AB4" s="39">
        <f t="shared" ref="AB4" si="6">IF(ISBLANK(AB3),"",AB3-$W$3)</f>
        <v>10</v>
      </c>
      <c r="AC4" s="39">
        <f t="shared" ref="AC4" si="7">IF(ISBLANK(AC3),"",AC3-$W$3)</f>
        <v>12</v>
      </c>
      <c r="AD4" s="39" t="str">
        <f t="shared" ref="AD4" si="8">IF(ISBLANK(AD3),"",AD3-$W$3)</f>
        <v/>
      </c>
      <c r="AE4" s="39" t="str">
        <f t="shared" ref="AE4" si="9">IF(ISBLANK(AE3),"",AE3-$W$3)</f>
        <v/>
      </c>
      <c r="AF4" s="39" t="str">
        <f t="shared" ref="AF4" si="10">IF(ISBLANK(AF3),"",AF3-$W$3)</f>
        <v/>
      </c>
      <c r="AG4" s="39" t="str">
        <f t="shared" ref="AG4" si="11">IF(ISBLANK(AG3),"",AG3-$W$3)</f>
        <v/>
      </c>
      <c r="AH4" s="39" t="str">
        <f t="shared" ref="AH4" si="12">IF(ISBLANK(AH3),"",AH3-$W$3)</f>
        <v/>
      </c>
      <c r="AI4" s="39" t="str">
        <f t="shared" ref="AI4:AK4" si="13">IF(ISBLANK(AI3),"",AI3-$W$3)</f>
        <v/>
      </c>
      <c r="AJ4" s="39" t="str">
        <f t="shared" si="13"/>
        <v/>
      </c>
      <c r="AK4" s="39" t="str">
        <f t="shared" si="13"/>
        <v/>
      </c>
      <c r="AL4" s="39" t="str">
        <f t="shared" ref="AL4" si="14">IF(ISBLANK(AL3),"",AL3-$W$3)</f>
        <v/>
      </c>
      <c r="AM4" s="39" t="str">
        <f t="shared" ref="AM4:AN4" si="15">IF(ISBLANK(AM3),"",AM3-$W$3)</f>
        <v/>
      </c>
      <c r="AN4" s="39" t="str">
        <f t="shared" si="15"/>
        <v/>
      </c>
      <c r="AO4" s="39" t="str">
        <f t="shared" ref="AO4" si="16">IF(ISBLANK(AO3),"",AO3-$W$3)</f>
        <v/>
      </c>
      <c r="AP4" s="39" t="str">
        <f t="shared" ref="AP4" si="17">IF(ISBLANK(AP3),"",AP3-$W$3)</f>
        <v/>
      </c>
      <c r="AQ4" s="39" t="str">
        <f t="shared" ref="AQ4" si="18">IF(ISBLANK(AQ3),"",AQ3-$W$3)</f>
        <v/>
      </c>
      <c r="AR4" s="47" t="s">
        <v>11</v>
      </c>
      <c r="AS4" s="39">
        <f t="shared" si="0"/>
        <v>0</v>
      </c>
      <c r="AT4" s="39">
        <f t="shared" si="0"/>
        <v>2</v>
      </c>
      <c r="AU4" s="39">
        <f t="shared" si="0"/>
        <v>4</v>
      </c>
      <c r="AV4" s="39">
        <f t="shared" si="0"/>
        <v>6</v>
      </c>
      <c r="AW4" s="39">
        <f t="shared" si="0"/>
        <v>8</v>
      </c>
      <c r="AX4" s="39">
        <f t="shared" si="0"/>
        <v>10</v>
      </c>
      <c r="AY4" s="39">
        <f t="shared" si="0"/>
        <v>12</v>
      </c>
      <c r="AZ4" s="39" t="str">
        <f t="shared" si="0"/>
        <v/>
      </c>
      <c r="BA4" s="39" t="str">
        <f t="shared" si="0"/>
        <v/>
      </c>
      <c r="BB4" s="39" t="str">
        <f t="shared" si="0"/>
        <v/>
      </c>
      <c r="BC4" s="39" t="str">
        <f t="shared" si="1"/>
        <v/>
      </c>
      <c r="BD4" s="39" t="str">
        <f t="shared" si="1"/>
        <v/>
      </c>
      <c r="BE4" s="39" t="str">
        <f t="shared" si="1"/>
        <v/>
      </c>
      <c r="BF4" s="39" t="str">
        <f t="shared" si="1"/>
        <v/>
      </c>
      <c r="BG4" s="39" t="str">
        <f t="shared" si="1"/>
        <v/>
      </c>
      <c r="BH4" s="39" t="str">
        <f t="shared" si="1"/>
        <v/>
      </c>
      <c r="BI4" s="39" t="str">
        <f t="shared" si="1"/>
        <v/>
      </c>
      <c r="BJ4" s="39" t="str">
        <f t="shared" si="1"/>
        <v/>
      </c>
      <c r="BK4" s="39" t="str">
        <f t="shared" si="1"/>
        <v/>
      </c>
      <c r="BL4" s="39" t="str">
        <f t="shared" si="1"/>
        <v/>
      </c>
      <c r="BM4" s="39" t="str">
        <f t="shared" si="2"/>
        <v/>
      </c>
      <c r="BN4" s="72"/>
    </row>
    <row r="5" spans="1:66">
      <c r="A5" s="48"/>
      <c r="B5" s="49">
        <v>11</v>
      </c>
      <c r="C5" s="50"/>
      <c r="D5" s="49" t="s">
        <v>43</v>
      </c>
      <c r="E5" s="212" t="s">
        <v>45</v>
      </c>
      <c r="F5" s="51">
        <v>42244</v>
      </c>
      <c r="G5" s="52">
        <v>28.1</v>
      </c>
      <c r="H5" s="53">
        <v>310</v>
      </c>
      <c r="I5" s="51">
        <v>42265</v>
      </c>
      <c r="J5" s="52">
        <v>30.8</v>
      </c>
      <c r="K5" s="54"/>
      <c r="L5" s="52">
        <v>310</v>
      </c>
      <c r="M5" s="55">
        <v>2078000000</v>
      </c>
      <c r="N5" s="52">
        <f>6*5.3*5.3*0.52</f>
        <v>87.640799999999999</v>
      </c>
      <c r="O5" s="59">
        <f t="shared" ref="O5:O18" si="19">N5*10</f>
        <v>876.40800000000002</v>
      </c>
      <c r="P5" s="52">
        <v>29.2</v>
      </c>
      <c r="Q5" s="52">
        <v>0</v>
      </c>
      <c r="R5" s="203">
        <f t="shared" ref="R5:R18" si="20">Q5/N5</f>
        <v>0</v>
      </c>
      <c r="S5" s="52">
        <f t="shared" ref="S5:S18" si="21">Q5/P5</f>
        <v>0</v>
      </c>
      <c r="T5" s="52">
        <f>18.8*10*10*0.52 + 12.9*7.5*7.5*0.52</f>
        <v>1354.925</v>
      </c>
      <c r="U5" s="53">
        <v>1374.3</v>
      </c>
      <c r="V5" s="56"/>
      <c r="W5" s="124">
        <f t="shared" ref="W5:W18" si="22">M5*0.0000001+98.321</f>
        <v>306.12099999999998</v>
      </c>
      <c r="X5" s="124" t="e">
        <f>IF(ISBLANK(#REF!)=TRUE,"",#REF!*0.0000001+98.321)</f>
        <v>#REF!</v>
      </c>
      <c r="Y5" s="124" t="e">
        <f>IF(ISBLANK(#REF!)=TRUE,"",#REF!*0.0000001+98.321)</f>
        <v>#REF!</v>
      </c>
      <c r="Z5" s="124" t="e">
        <f>IF(ISBLANK(#REF!)=TRUE,"",#REF!*0.0000001+98.321)</f>
        <v>#REF!</v>
      </c>
      <c r="AA5" s="124" t="e">
        <f>IF(ISBLANK(#REF!)=TRUE,"",#REF!*0.0000001+98.321)</f>
        <v>#REF!</v>
      </c>
      <c r="AB5" s="124" t="e">
        <f>IF(ISBLANK(#REF!)=TRUE,"",#REF!*0.0000001+98.321)</f>
        <v>#REF!</v>
      </c>
      <c r="AC5" s="124" t="e">
        <f>IF(ISBLANK(#REF!)=TRUE,"",#REF!*0.0000001+98.321)</f>
        <v>#REF!</v>
      </c>
      <c r="AD5" s="124" t="e">
        <f>IF(ISBLANK(#REF!)=TRUE,"",#REF!*0.0000001+98.321)</f>
        <v>#REF!</v>
      </c>
      <c r="AE5" s="124" t="e">
        <f>IF(ISBLANK(#REF!)=TRUE,"",#REF!*0.0000001+98.321)</f>
        <v>#REF!</v>
      </c>
      <c r="AF5" s="124" t="e">
        <f>IF(ISBLANK(#REF!)=TRUE,"",#REF!*0.0000001+98.321)</f>
        <v>#REF!</v>
      </c>
      <c r="AG5" s="124" t="e">
        <f>IF(ISBLANK(#REF!)=TRUE,"",#REF!*0.0000001+98.321)</f>
        <v>#REF!</v>
      </c>
      <c r="AH5" s="124" t="e">
        <f>IF(ISBLANK(#REF!)=TRUE,"",#REF!*0.0000001+98.321)</f>
        <v>#REF!</v>
      </c>
      <c r="AI5" s="124" t="e">
        <f>IF(ISBLANK(#REF!)=TRUE,"",#REF!*0.0000001+98.321)</f>
        <v>#REF!</v>
      </c>
      <c r="AJ5" s="124" t="e">
        <f>IF(ISBLANK(#REF!)=TRUE,"",#REF!*0.0000001+98.321)</f>
        <v>#REF!</v>
      </c>
      <c r="AK5" s="124" t="e">
        <f>IF(ISBLANK(#REF!)=TRUE,"",#REF!*0.0000001+98.321)</f>
        <v>#REF!</v>
      </c>
      <c r="AL5" s="124" t="e">
        <f>IF(ISBLANK(#REF!)=TRUE,"",#REF!*0.0000001+98.321)</f>
        <v>#REF!</v>
      </c>
      <c r="AM5" s="124" t="e">
        <f>IF(ISBLANK(#REF!)=TRUE,"",#REF!*0.0000001+98.321)</f>
        <v>#REF!</v>
      </c>
      <c r="AN5" s="124" t="e">
        <f>IF(ISBLANK(#REF!)=TRUE,"",#REF!*0.0000001+98.321)</f>
        <v>#REF!</v>
      </c>
      <c r="AO5" s="124" t="e">
        <f>IF(ISBLANK(#REF!)=TRUE,"",#REF!*0.0000001+98.321)</f>
        <v>#REF!</v>
      </c>
      <c r="AP5" s="124" t="e">
        <f>IF(ISBLANK(#REF!)=TRUE,"",#REF!*0.0000001+98.321)</f>
        <v>#REF!</v>
      </c>
      <c r="AQ5" s="124" t="e">
        <f>IF(ISBLANK(#REF!)=TRUE,"",#REF!*0.0000001+98.321)</f>
        <v>#REF!</v>
      </c>
      <c r="AR5" s="57"/>
      <c r="AS5" s="116">
        <f t="shared" ref="AS5:AS18" si="23">IF(OR(ISERROR(W5/$W5)=TRUE,ISBLANK(W5)=TRUE),"",W5/$W5)</f>
        <v>1</v>
      </c>
      <c r="AT5" s="116" t="str">
        <f t="shared" ref="AT5:AT18" si="24">IF(OR(ISERROR(X5/$W5)=TRUE,ISBLANK(X5)=TRUE),"",X5/$W5)</f>
        <v/>
      </c>
      <c r="AU5" s="116" t="str">
        <f t="shared" ref="AU5:AU18" si="25">IF(OR(ISERROR(Y5/$W5)=TRUE,ISBLANK(Y5)=TRUE),"",Y5/$W5)</f>
        <v/>
      </c>
      <c r="AV5" s="116" t="str">
        <f t="shared" ref="AV5:AV18" si="26">IF(OR(ISERROR(Z5/$W5)=TRUE,ISBLANK(Z5)=TRUE),"",Z5/$W5)</f>
        <v/>
      </c>
      <c r="AW5" s="116" t="str">
        <f t="shared" ref="AW5:AW18" si="27">IF(OR(ISERROR(AA5/$W5)=TRUE,ISBLANK(AA5)=TRUE),"",AA5/$W5)</f>
        <v/>
      </c>
      <c r="AX5" s="116" t="str">
        <f t="shared" ref="AX5:AX18" si="28">IF(OR(ISERROR(AB5/$W5)=TRUE,ISBLANK(AB5)=TRUE),"",AB5/$W5)</f>
        <v/>
      </c>
      <c r="AY5" s="116" t="str">
        <f t="shared" ref="AY5:AY18" si="29">IF(OR(ISERROR(AC5/$W5)=TRUE,ISBLANK(AC5)=TRUE),"",AC5/$W5)</f>
        <v/>
      </c>
      <c r="AZ5" s="116" t="str">
        <f t="shared" ref="AZ5:AZ18" si="30">IF(OR(ISERROR(AD5/$W5)=TRUE,ISBLANK(AD5)=TRUE),"",AD5/$W5)</f>
        <v/>
      </c>
      <c r="BA5" s="116" t="str">
        <f t="shared" ref="BA5:BA18" si="31">IF(OR(ISERROR(AE5/$W5)=TRUE,ISBLANK(AE5)=TRUE),"",AE5/$W5)</f>
        <v/>
      </c>
      <c r="BB5" s="116" t="str">
        <f t="shared" ref="BB5:BB18" si="32">IF(OR(ISERROR(AF5/$W5)=TRUE,ISBLANK(AF5)=TRUE),"",AF5/$W5)</f>
        <v/>
      </c>
      <c r="BC5" s="116" t="str">
        <f t="shared" ref="BC5:BC18" si="33">IF(OR(ISERROR(AG5/$W5)=TRUE,ISBLANK(AG5)=TRUE),"",AG5/$W5)</f>
        <v/>
      </c>
      <c r="BD5" s="116" t="str">
        <f t="shared" ref="BD5:BD18" si="34">IF(OR(ISERROR(AH5/$W5)=TRUE,ISBLANK(AH5)=TRUE),"",AH5/$W5)</f>
        <v/>
      </c>
      <c r="BE5" s="116" t="str">
        <f t="shared" ref="BE5:BE18" si="35">IF(OR(ISERROR(AI5/$W5)=TRUE,ISBLANK(AI5)=TRUE),"",AI5/$W5)</f>
        <v/>
      </c>
      <c r="BF5" s="116" t="str">
        <f t="shared" ref="BF5:BF18" si="36">IF(OR(ISERROR(AJ5/$W5)=TRUE,ISBLANK(AJ5)=TRUE),"",AJ5/$W5)</f>
        <v/>
      </c>
      <c r="BG5" s="116" t="str">
        <f t="shared" ref="BG5:BG18" si="37">IF(OR(ISERROR(AK5/$W5)=TRUE,ISBLANK(AK5)=TRUE),"",AK5/$W5)</f>
        <v/>
      </c>
      <c r="BH5" s="116" t="str">
        <f t="shared" ref="BH5:BH18" si="38">IF(OR(ISERROR(AL5/$W5)=TRUE,ISBLANK(AL5)=TRUE),"",AL5/$W5)</f>
        <v/>
      </c>
      <c r="BI5" s="116" t="str">
        <f t="shared" ref="BI5:BI18" si="39">IF(OR(ISERROR(AM5/$W5)=TRUE,ISBLANK(AM5)=TRUE),"",AM5/$W5)</f>
        <v/>
      </c>
      <c r="BJ5" s="116" t="str">
        <f t="shared" ref="BJ5:BJ18" si="40">IF(OR(ISERROR(AN5/$W5)=TRUE,ISBLANK(AN5)=TRUE),"",AN5/$W5)</f>
        <v/>
      </c>
      <c r="BK5" s="116" t="str">
        <f t="shared" ref="BK5:BK18" si="41">IF(OR(ISERROR(AO5/$W5)=TRUE,ISBLANK(AO5)=TRUE),"",AO5/$W5)</f>
        <v/>
      </c>
      <c r="BL5" s="116" t="str">
        <f t="shared" ref="BL5:BL18" si="42">IF(OR(ISERROR(AP5/$W5)=TRUE,ISBLANK(AP5)=TRUE),"",AP5/$W5)</f>
        <v/>
      </c>
      <c r="BM5" s="116" t="str">
        <f t="shared" ref="BM5:BM18" si="43">IF(OR(ISERROR(AQ5/$W5)=TRUE,ISBLANK(AQ5)=TRUE),"",AQ5/$W5)</f>
        <v/>
      </c>
      <c r="BN5" s="25"/>
    </row>
    <row r="6" spans="1:66">
      <c r="A6" s="48"/>
      <c r="B6" s="23">
        <v>12</v>
      </c>
      <c r="C6" s="50"/>
      <c r="D6" s="23" t="s">
        <v>43</v>
      </c>
      <c r="E6" s="212"/>
      <c r="F6" s="58">
        <v>42244</v>
      </c>
      <c r="G6" s="59">
        <v>27.6</v>
      </c>
      <c r="H6" s="60">
        <v>280</v>
      </c>
      <c r="I6" s="58">
        <v>42265</v>
      </c>
      <c r="J6" s="59">
        <v>29.3</v>
      </c>
      <c r="K6" s="59"/>
      <c r="L6" s="59">
        <v>300</v>
      </c>
      <c r="M6" s="62">
        <v>2298000</v>
      </c>
      <c r="N6" s="59"/>
      <c r="O6" s="59">
        <f t="shared" si="19"/>
        <v>0</v>
      </c>
      <c r="P6" s="59">
        <v>0</v>
      </c>
      <c r="Q6" s="59">
        <v>0</v>
      </c>
      <c r="R6" s="203" t="e">
        <f t="shared" si="20"/>
        <v>#DIV/0!</v>
      </c>
      <c r="S6" s="52" t="e">
        <f t="shared" si="21"/>
        <v>#DIV/0!</v>
      </c>
      <c r="T6" s="52"/>
      <c r="U6" s="53"/>
      <c r="V6" s="63"/>
      <c r="W6" s="124">
        <f t="shared" si="22"/>
        <v>98.550799999999995</v>
      </c>
      <c r="X6" s="124" t="e">
        <f>IF(ISBLANK(#REF!)=TRUE,"",#REF!*0.0000001+98.321)</f>
        <v>#REF!</v>
      </c>
      <c r="Y6" s="124" t="e">
        <f>IF(ISBLANK(#REF!)=TRUE,"",#REF!*0.0000001+98.321)</f>
        <v>#REF!</v>
      </c>
      <c r="Z6" s="124" t="e">
        <f>IF(ISBLANK(#REF!)=TRUE,"",#REF!*0.0000001+98.321)</f>
        <v>#REF!</v>
      </c>
      <c r="AA6" s="124" t="e">
        <f>IF(ISBLANK(#REF!)=TRUE,"",#REF!*0.0000001+98.321)</f>
        <v>#REF!</v>
      </c>
      <c r="AB6" s="124" t="e">
        <f>IF(ISBLANK(#REF!)=TRUE,"",#REF!*0.0000001+98.321)</f>
        <v>#REF!</v>
      </c>
      <c r="AC6" s="124" t="e">
        <f>IF(ISBLANK(#REF!)=TRUE,"",#REF!*0.0000001+98.321)</f>
        <v>#REF!</v>
      </c>
      <c r="AD6" s="124" t="e">
        <f>IF(ISBLANK(#REF!)=TRUE,"",#REF!*0.0000001+98.321)</f>
        <v>#REF!</v>
      </c>
      <c r="AE6" s="124" t="e">
        <f>IF(ISBLANK(#REF!)=TRUE,"",#REF!*0.0000001+98.321)</f>
        <v>#REF!</v>
      </c>
      <c r="AF6" s="124" t="e">
        <f>IF(ISBLANK(#REF!)=TRUE,"",#REF!*0.0000001+98.321)</f>
        <v>#REF!</v>
      </c>
      <c r="AG6" s="124" t="e">
        <f>IF(ISBLANK(#REF!)=TRUE,"",#REF!*0.0000001+98.321)</f>
        <v>#REF!</v>
      </c>
      <c r="AH6" s="124" t="e">
        <f>IF(ISBLANK(#REF!)=TRUE,"",#REF!*0.0000001+98.321)</f>
        <v>#REF!</v>
      </c>
      <c r="AI6" s="124" t="e">
        <f>IF(ISBLANK(#REF!)=TRUE,"",#REF!*0.0000001+98.321)</f>
        <v>#REF!</v>
      </c>
      <c r="AJ6" s="124" t="e">
        <f>IF(ISBLANK(#REF!)=TRUE,"",#REF!*0.0000001+98.321)</f>
        <v>#REF!</v>
      </c>
      <c r="AK6" s="124" t="e">
        <f>IF(ISBLANK(#REF!)=TRUE,"",#REF!*0.0000001+98.321)</f>
        <v>#REF!</v>
      </c>
      <c r="AL6" s="124" t="e">
        <f>IF(ISBLANK(#REF!)=TRUE,"",#REF!*0.0000001+98.321)</f>
        <v>#REF!</v>
      </c>
      <c r="AM6" s="124" t="e">
        <f>IF(ISBLANK(#REF!)=TRUE,"",#REF!*0.0000001+98.321)</f>
        <v>#REF!</v>
      </c>
      <c r="AN6" s="124" t="e">
        <f>IF(ISBLANK(#REF!)=TRUE,"",#REF!*0.0000001+98.321)</f>
        <v>#REF!</v>
      </c>
      <c r="AO6" s="124" t="e">
        <f>IF(ISBLANK(#REF!)=TRUE,"",#REF!*0.0000001+98.321)</f>
        <v>#REF!</v>
      </c>
      <c r="AP6" s="124" t="e">
        <f>IF(ISBLANK(#REF!)=TRUE,"",#REF!*0.0000001+98.321)</f>
        <v>#REF!</v>
      </c>
      <c r="AQ6" s="124" t="e">
        <f>IF(ISBLANK(#REF!)=TRUE,"",#REF!*0.0000001+98.321)</f>
        <v>#REF!</v>
      </c>
      <c r="AR6" s="24"/>
      <c r="AS6" s="111">
        <f t="shared" si="23"/>
        <v>1</v>
      </c>
      <c r="AT6" s="111" t="str">
        <f t="shared" si="24"/>
        <v/>
      </c>
      <c r="AU6" s="111" t="str">
        <f t="shared" si="25"/>
        <v/>
      </c>
      <c r="AV6" s="111" t="str">
        <f t="shared" si="26"/>
        <v/>
      </c>
      <c r="AW6" s="111" t="str">
        <f t="shared" si="27"/>
        <v/>
      </c>
      <c r="AX6" s="111" t="str">
        <f t="shared" si="28"/>
        <v/>
      </c>
      <c r="AY6" s="111" t="str">
        <f t="shared" si="29"/>
        <v/>
      </c>
      <c r="AZ6" s="111" t="str">
        <f t="shared" si="30"/>
        <v/>
      </c>
      <c r="BA6" s="111" t="str">
        <f t="shared" si="31"/>
        <v/>
      </c>
      <c r="BB6" s="111" t="str">
        <f t="shared" si="32"/>
        <v/>
      </c>
      <c r="BC6" s="111" t="str">
        <f t="shared" si="33"/>
        <v/>
      </c>
      <c r="BD6" s="111" t="str">
        <f t="shared" si="34"/>
        <v/>
      </c>
      <c r="BE6" s="111" t="str">
        <f t="shared" si="35"/>
        <v/>
      </c>
      <c r="BF6" s="111" t="str">
        <f t="shared" si="36"/>
        <v/>
      </c>
      <c r="BG6" s="111" t="str">
        <f t="shared" si="37"/>
        <v/>
      </c>
      <c r="BH6" s="111" t="str">
        <f t="shared" si="38"/>
        <v/>
      </c>
      <c r="BI6" s="111" t="str">
        <f t="shared" si="39"/>
        <v/>
      </c>
      <c r="BJ6" s="111" t="str">
        <f t="shared" si="40"/>
        <v/>
      </c>
      <c r="BK6" s="111" t="str">
        <f t="shared" si="41"/>
        <v/>
      </c>
      <c r="BL6" s="111" t="str">
        <f t="shared" si="42"/>
        <v/>
      </c>
      <c r="BM6" s="111" t="str">
        <f t="shared" si="43"/>
        <v/>
      </c>
      <c r="BN6" s="25"/>
    </row>
    <row r="7" spans="1:66" ht="15.75">
      <c r="A7" s="48"/>
      <c r="B7" s="23">
        <v>13</v>
      </c>
      <c r="C7" s="50"/>
      <c r="D7" s="23" t="s">
        <v>43</v>
      </c>
      <c r="E7" s="213" t="s">
        <v>46</v>
      </c>
      <c r="F7" s="58">
        <v>42244</v>
      </c>
      <c r="G7" s="59">
        <v>30.3</v>
      </c>
      <c r="H7" s="60">
        <v>580</v>
      </c>
      <c r="I7" s="58">
        <v>42265</v>
      </c>
      <c r="J7" s="59">
        <v>34.4</v>
      </c>
      <c r="K7" s="61"/>
      <c r="L7" s="52">
        <v>340</v>
      </c>
      <c r="M7" s="62">
        <v>4489000000</v>
      </c>
      <c r="N7" s="59">
        <f>8.4*7.4*7.4*0.52+4.4*3.2*3.2*0.52</f>
        <v>262.62080000000003</v>
      </c>
      <c r="O7" s="59">
        <f t="shared" si="19"/>
        <v>2626.2080000000005</v>
      </c>
      <c r="P7" s="59">
        <f>75.9+7.4</f>
        <v>83.300000000000011</v>
      </c>
      <c r="Q7" s="59">
        <v>227</v>
      </c>
      <c r="R7" s="203">
        <f t="shared" si="20"/>
        <v>0.86436413262011225</v>
      </c>
      <c r="S7" s="52">
        <f t="shared" si="21"/>
        <v>2.7250900360144055</v>
      </c>
      <c r="T7" s="52">
        <f>9.9*7.7*7.7*0.52</f>
        <v>305.22492</v>
      </c>
      <c r="U7" s="53">
        <v>270.10000000000002</v>
      </c>
      <c r="V7" s="63"/>
      <c r="W7" s="124">
        <f t="shared" si="22"/>
        <v>547.221</v>
      </c>
      <c r="X7" s="124" t="e">
        <f>IF(ISBLANK(#REF!)=TRUE,"",#REF!*0.0000001+98.321)</f>
        <v>#REF!</v>
      </c>
      <c r="Y7" s="124" t="e">
        <f>IF(ISBLANK(#REF!)=TRUE,"",#REF!*0.0000001+98.321)</f>
        <v>#REF!</v>
      </c>
      <c r="Z7" s="124" t="e">
        <f>IF(ISBLANK(#REF!)=TRUE,"",#REF!*0.0000001+98.321)</f>
        <v>#REF!</v>
      </c>
      <c r="AA7" s="124" t="e">
        <f>IF(ISBLANK(#REF!)=TRUE,"",#REF!*0.0000001+98.321)</f>
        <v>#REF!</v>
      </c>
      <c r="AB7" s="124" t="e">
        <f>IF(ISBLANK(#REF!)=TRUE,"",#REF!*0.0000001+98.321)</f>
        <v>#REF!</v>
      </c>
      <c r="AC7" s="124" t="e">
        <f>IF(ISBLANK(#REF!)=TRUE,"",#REF!*0.0000001+98.321)</f>
        <v>#REF!</v>
      </c>
      <c r="AD7" s="124" t="e">
        <f>IF(ISBLANK(#REF!)=TRUE,"",#REF!*0.0000001+98.321)</f>
        <v>#REF!</v>
      </c>
      <c r="AE7" s="124" t="e">
        <f>IF(ISBLANK(#REF!)=TRUE,"",#REF!*0.0000001+98.321)</f>
        <v>#REF!</v>
      </c>
      <c r="AF7" s="124" t="e">
        <f>IF(ISBLANK(#REF!)=TRUE,"",#REF!*0.0000001+98.321)</f>
        <v>#REF!</v>
      </c>
      <c r="AG7" s="124" t="e">
        <f>IF(ISBLANK(#REF!)=TRUE,"",#REF!*0.0000001+98.321)</f>
        <v>#REF!</v>
      </c>
      <c r="AH7" s="124" t="e">
        <f>IF(ISBLANK(#REF!)=TRUE,"",#REF!*0.0000001+98.321)</f>
        <v>#REF!</v>
      </c>
      <c r="AI7" s="124" t="e">
        <f>IF(ISBLANK(#REF!)=TRUE,"",#REF!*0.0000001+98.321)</f>
        <v>#REF!</v>
      </c>
      <c r="AJ7" s="124" t="e">
        <f>IF(ISBLANK(#REF!)=TRUE,"",#REF!*0.0000001+98.321)</f>
        <v>#REF!</v>
      </c>
      <c r="AK7" s="124" t="e">
        <f>IF(ISBLANK(#REF!)=TRUE,"",#REF!*0.0000001+98.321)</f>
        <v>#REF!</v>
      </c>
      <c r="AL7" s="124" t="e">
        <f>IF(ISBLANK(#REF!)=TRUE,"",#REF!*0.0000001+98.321)</f>
        <v>#REF!</v>
      </c>
      <c r="AM7" s="124" t="e">
        <f>IF(ISBLANK(#REF!)=TRUE,"",#REF!*0.0000001+98.321)</f>
        <v>#REF!</v>
      </c>
      <c r="AN7" s="124" t="e">
        <f>IF(ISBLANK(#REF!)=TRUE,"",#REF!*0.0000001+98.321)</f>
        <v>#REF!</v>
      </c>
      <c r="AO7" s="124" t="e">
        <f>IF(ISBLANK(#REF!)=TRUE,"",#REF!*0.0000001+98.321)</f>
        <v>#REF!</v>
      </c>
      <c r="AP7" s="124" t="e">
        <f>IF(ISBLANK(#REF!)=TRUE,"",#REF!*0.0000001+98.321)</f>
        <v>#REF!</v>
      </c>
      <c r="AQ7" s="124" t="e">
        <f>IF(ISBLANK(#REF!)=TRUE,"",#REF!*0.0000001+98.321)</f>
        <v>#REF!</v>
      </c>
      <c r="AR7" s="24"/>
      <c r="AS7" s="111">
        <f t="shared" si="23"/>
        <v>1</v>
      </c>
      <c r="AT7" s="111" t="str">
        <f t="shared" si="24"/>
        <v/>
      </c>
      <c r="AU7" s="111" t="str">
        <f t="shared" si="25"/>
        <v/>
      </c>
      <c r="AV7" s="111" t="str">
        <f t="shared" si="26"/>
        <v/>
      </c>
      <c r="AW7" s="111" t="str">
        <f t="shared" si="27"/>
        <v/>
      </c>
      <c r="AX7" s="111" t="str">
        <f t="shared" si="28"/>
        <v/>
      </c>
      <c r="AY7" s="111" t="str">
        <f t="shared" si="29"/>
        <v/>
      </c>
      <c r="AZ7" s="111" t="str">
        <f t="shared" si="30"/>
        <v/>
      </c>
      <c r="BA7" s="111" t="str">
        <f t="shared" si="31"/>
        <v/>
      </c>
      <c r="BB7" s="111" t="str">
        <f t="shared" si="32"/>
        <v/>
      </c>
      <c r="BC7" s="111" t="str">
        <f t="shared" si="33"/>
        <v/>
      </c>
      <c r="BD7" s="111" t="str">
        <f t="shared" si="34"/>
        <v/>
      </c>
      <c r="BE7" s="111" t="str">
        <f t="shared" si="35"/>
        <v/>
      </c>
      <c r="BF7" s="111" t="str">
        <f t="shared" si="36"/>
        <v/>
      </c>
      <c r="BG7" s="111" t="str">
        <f t="shared" si="37"/>
        <v/>
      </c>
      <c r="BH7" s="111" t="str">
        <f t="shared" si="38"/>
        <v/>
      </c>
      <c r="BI7" s="111" t="str">
        <f t="shared" si="39"/>
        <v/>
      </c>
      <c r="BJ7" s="111" t="str">
        <f t="shared" si="40"/>
        <v/>
      </c>
      <c r="BK7" s="111" t="str">
        <f t="shared" si="41"/>
        <v/>
      </c>
      <c r="BL7" s="111" t="str">
        <f t="shared" si="42"/>
        <v/>
      </c>
      <c r="BM7" s="111" t="str">
        <f t="shared" si="43"/>
        <v/>
      </c>
      <c r="BN7" s="25"/>
    </row>
    <row r="8" spans="1:66" ht="15.75">
      <c r="A8" s="48"/>
      <c r="B8" s="23">
        <v>21</v>
      </c>
      <c r="C8" s="50"/>
      <c r="D8" s="23" t="s">
        <v>43</v>
      </c>
      <c r="E8" s="213" t="s">
        <v>46</v>
      </c>
      <c r="F8" s="58">
        <v>42244</v>
      </c>
      <c r="G8" s="59">
        <v>31.4</v>
      </c>
      <c r="H8" s="60">
        <v>260</v>
      </c>
      <c r="I8" s="58">
        <v>42265</v>
      </c>
      <c r="J8" s="59">
        <v>32.700000000000003</v>
      </c>
      <c r="K8" s="59"/>
      <c r="L8" s="59">
        <v>450</v>
      </c>
      <c r="M8" s="62">
        <v>129100000</v>
      </c>
      <c r="N8" s="59">
        <f>7.4*6.9*6.9*0.52</f>
        <v>183.20328000000001</v>
      </c>
      <c r="O8" s="59">
        <f t="shared" si="19"/>
        <v>1832.0328</v>
      </c>
      <c r="P8" s="59">
        <f>58.1</f>
        <v>58.1</v>
      </c>
      <c r="Q8" s="59">
        <v>356</v>
      </c>
      <c r="R8" s="203">
        <f t="shared" si="20"/>
        <v>1.943196650190979</v>
      </c>
      <c r="S8" s="52">
        <f t="shared" si="21"/>
        <v>6.1273666092943202</v>
      </c>
      <c r="T8" s="52">
        <f>8.6*6.8*6.8*0.52</f>
        <v>206.78528</v>
      </c>
      <c r="U8" s="53">
        <v>266</v>
      </c>
      <c r="V8" s="63"/>
      <c r="W8" s="124">
        <f t="shared" si="22"/>
        <v>111.23099999999999</v>
      </c>
      <c r="X8" s="124" t="e">
        <f>IF(ISBLANK(#REF!)=TRUE,"",#REF!*0.0000001+98.321)</f>
        <v>#REF!</v>
      </c>
      <c r="Y8" s="124" t="e">
        <f>IF(ISBLANK(#REF!)=TRUE,"",#REF!*0.0000001+98.321)</f>
        <v>#REF!</v>
      </c>
      <c r="Z8" s="124" t="e">
        <f>IF(ISBLANK(#REF!)=TRUE,"",#REF!*0.0000001+98.321)</f>
        <v>#REF!</v>
      </c>
      <c r="AA8" s="124" t="e">
        <f>IF(ISBLANK(#REF!)=TRUE,"",#REF!*0.0000001+98.321)</f>
        <v>#REF!</v>
      </c>
      <c r="AB8" s="124" t="e">
        <f>IF(ISBLANK(#REF!)=TRUE,"",#REF!*0.0000001+98.321)</f>
        <v>#REF!</v>
      </c>
      <c r="AC8" s="124" t="e">
        <f>IF(ISBLANK(#REF!)=TRUE,"",#REF!*0.0000001+98.321)</f>
        <v>#REF!</v>
      </c>
      <c r="AD8" s="124" t="e">
        <f>IF(ISBLANK(#REF!)=TRUE,"",#REF!*0.0000001+98.321)</f>
        <v>#REF!</v>
      </c>
      <c r="AE8" s="124" t="e">
        <f>IF(ISBLANK(#REF!)=TRUE,"",#REF!*0.0000001+98.321)</f>
        <v>#REF!</v>
      </c>
      <c r="AF8" s="124" t="e">
        <f>IF(ISBLANK(#REF!)=TRUE,"",#REF!*0.0000001+98.321)</f>
        <v>#REF!</v>
      </c>
      <c r="AG8" s="124" t="e">
        <f>IF(ISBLANK(#REF!)=TRUE,"",#REF!*0.0000001+98.321)</f>
        <v>#REF!</v>
      </c>
      <c r="AH8" s="124" t="e">
        <f>IF(ISBLANK(#REF!)=TRUE,"",#REF!*0.0000001+98.321)</f>
        <v>#REF!</v>
      </c>
      <c r="AI8" s="124" t="e">
        <f>IF(ISBLANK(#REF!)=TRUE,"",#REF!*0.0000001+98.321)</f>
        <v>#REF!</v>
      </c>
      <c r="AJ8" s="124" t="e">
        <f>IF(ISBLANK(#REF!)=TRUE,"",#REF!*0.0000001+98.321)</f>
        <v>#REF!</v>
      </c>
      <c r="AK8" s="124" t="e">
        <f>IF(ISBLANK(#REF!)=TRUE,"",#REF!*0.0000001+98.321)</f>
        <v>#REF!</v>
      </c>
      <c r="AL8" s="124" t="e">
        <f>IF(ISBLANK(#REF!)=TRUE,"",#REF!*0.0000001+98.321)</f>
        <v>#REF!</v>
      </c>
      <c r="AM8" s="124" t="e">
        <f>IF(ISBLANK(#REF!)=TRUE,"",#REF!*0.0000001+98.321)</f>
        <v>#REF!</v>
      </c>
      <c r="AN8" s="124" t="e">
        <f>IF(ISBLANK(#REF!)=TRUE,"",#REF!*0.0000001+98.321)</f>
        <v>#REF!</v>
      </c>
      <c r="AO8" s="124" t="e">
        <f>IF(ISBLANK(#REF!)=TRUE,"",#REF!*0.0000001+98.321)</f>
        <v>#REF!</v>
      </c>
      <c r="AP8" s="124" t="e">
        <f>IF(ISBLANK(#REF!)=TRUE,"",#REF!*0.0000001+98.321)</f>
        <v>#REF!</v>
      </c>
      <c r="AQ8" s="124" t="e">
        <f>IF(ISBLANK(#REF!)=TRUE,"",#REF!*0.0000001+98.321)</f>
        <v>#REF!</v>
      </c>
      <c r="AR8" s="24"/>
      <c r="AS8" s="111">
        <f t="shared" si="23"/>
        <v>1</v>
      </c>
      <c r="AT8" s="111" t="str">
        <f t="shared" si="24"/>
        <v/>
      </c>
      <c r="AU8" s="111" t="str">
        <f t="shared" si="25"/>
        <v/>
      </c>
      <c r="AV8" s="111" t="str">
        <f t="shared" si="26"/>
        <v/>
      </c>
      <c r="AW8" s="111" t="str">
        <f t="shared" si="27"/>
        <v/>
      </c>
      <c r="AX8" s="111" t="str">
        <f t="shared" si="28"/>
        <v/>
      </c>
      <c r="AY8" s="111" t="str">
        <f t="shared" si="29"/>
        <v/>
      </c>
      <c r="AZ8" s="111" t="str">
        <f t="shared" si="30"/>
        <v/>
      </c>
      <c r="BA8" s="111" t="str">
        <f t="shared" si="31"/>
        <v/>
      </c>
      <c r="BB8" s="111" t="str">
        <f t="shared" si="32"/>
        <v/>
      </c>
      <c r="BC8" s="111" t="str">
        <f t="shared" si="33"/>
        <v/>
      </c>
      <c r="BD8" s="111" t="str">
        <f t="shared" si="34"/>
        <v/>
      </c>
      <c r="BE8" s="111" t="str">
        <f t="shared" si="35"/>
        <v/>
      </c>
      <c r="BF8" s="111" t="str">
        <f t="shared" si="36"/>
        <v/>
      </c>
      <c r="BG8" s="111" t="str">
        <f t="shared" si="37"/>
        <v/>
      </c>
      <c r="BH8" s="111" t="str">
        <f t="shared" si="38"/>
        <v/>
      </c>
      <c r="BI8" s="111" t="str">
        <f t="shared" si="39"/>
        <v/>
      </c>
      <c r="BJ8" s="111" t="str">
        <f t="shared" si="40"/>
        <v/>
      </c>
      <c r="BK8" s="111" t="str">
        <f t="shared" si="41"/>
        <v/>
      </c>
      <c r="BL8" s="111" t="str">
        <f t="shared" si="42"/>
        <v/>
      </c>
      <c r="BM8" s="111" t="str">
        <f t="shared" si="43"/>
        <v/>
      </c>
      <c r="BN8" s="25"/>
    </row>
    <row r="9" spans="1:66">
      <c r="A9" s="48"/>
      <c r="B9" s="23">
        <v>22</v>
      </c>
      <c r="C9" s="50"/>
      <c r="D9" s="23" t="s">
        <v>43</v>
      </c>
      <c r="E9" s="212" t="s">
        <v>45</v>
      </c>
      <c r="F9" s="58">
        <v>42244</v>
      </c>
      <c r="G9" s="59">
        <v>28.8</v>
      </c>
      <c r="H9" s="60">
        <v>280</v>
      </c>
      <c r="I9" s="58">
        <v>42265</v>
      </c>
      <c r="J9" s="59">
        <v>30.5</v>
      </c>
      <c r="K9" s="61"/>
      <c r="L9" s="52">
        <v>360</v>
      </c>
      <c r="M9" s="62">
        <v>261200000</v>
      </c>
      <c r="N9" s="59">
        <f>4.7*3.8*3.8*0.52</f>
        <v>35.291359999999997</v>
      </c>
      <c r="O9" s="59">
        <f t="shared" si="19"/>
        <v>352.91359999999997</v>
      </c>
      <c r="P9" s="59">
        <v>11.8</v>
      </c>
      <c r="Q9" s="59">
        <v>0</v>
      </c>
      <c r="R9" s="203">
        <f t="shared" si="20"/>
        <v>0</v>
      </c>
      <c r="S9" s="52">
        <f t="shared" si="21"/>
        <v>0</v>
      </c>
      <c r="T9" s="52">
        <f>15.1*9.7*9.7*0.52</f>
        <v>738.79467999999997</v>
      </c>
      <c r="U9" s="53">
        <v>879.1</v>
      </c>
      <c r="V9" s="63"/>
      <c r="W9" s="124">
        <f t="shared" si="22"/>
        <v>124.441</v>
      </c>
      <c r="X9" s="124" t="e">
        <f>IF(ISBLANK(#REF!)=TRUE,"",#REF!*0.0000001+98.321)</f>
        <v>#REF!</v>
      </c>
      <c r="Y9" s="124" t="e">
        <f>IF(ISBLANK(#REF!)=TRUE,"",#REF!*0.0000001+98.321)</f>
        <v>#REF!</v>
      </c>
      <c r="Z9" s="124" t="e">
        <f>IF(ISBLANK(#REF!)=TRUE,"",#REF!*0.0000001+98.321)</f>
        <v>#REF!</v>
      </c>
      <c r="AA9" s="124" t="e">
        <f>IF(ISBLANK(#REF!)=TRUE,"",#REF!*0.0000001+98.321)</f>
        <v>#REF!</v>
      </c>
      <c r="AB9" s="124" t="e">
        <f>IF(ISBLANK(#REF!)=TRUE,"",#REF!*0.0000001+98.321)</f>
        <v>#REF!</v>
      </c>
      <c r="AC9" s="124" t="e">
        <f>IF(ISBLANK(#REF!)=TRUE,"",#REF!*0.0000001+98.321)</f>
        <v>#REF!</v>
      </c>
      <c r="AD9" s="124" t="e">
        <f>IF(ISBLANK(#REF!)=TRUE,"",#REF!*0.0000001+98.321)</f>
        <v>#REF!</v>
      </c>
      <c r="AE9" s="124" t="e">
        <f>IF(ISBLANK(#REF!)=TRUE,"",#REF!*0.0000001+98.321)</f>
        <v>#REF!</v>
      </c>
      <c r="AF9" s="124" t="e">
        <f>IF(ISBLANK(#REF!)=TRUE,"",#REF!*0.0000001+98.321)</f>
        <v>#REF!</v>
      </c>
      <c r="AG9" s="124" t="e">
        <f>IF(ISBLANK(#REF!)=TRUE,"",#REF!*0.0000001+98.321)</f>
        <v>#REF!</v>
      </c>
      <c r="AH9" s="124" t="e">
        <f>IF(ISBLANK(#REF!)=TRUE,"",#REF!*0.0000001+98.321)</f>
        <v>#REF!</v>
      </c>
      <c r="AI9" s="124" t="e">
        <f>IF(ISBLANK(#REF!)=TRUE,"",#REF!*0.0000001+98.321)</f>
        <v>#REF!</v>
      </c>
      <c r="AJ9" s="124" t="e">
        <f>IF(ISBLANK(#REF!)=TRUE,"",#REF!*0.0000001+98.321)</f>
        <v>#REF!</v>
      </c>
      <c r="AK9" s="124" t="e">
        <f>IF(ISBLANK(#REF!)=TRUE,"",#REF!*0.0000001+98.321)</f>
        <v>#REF!</v>
      </c>
      <c r="AL9" s="124" t="e">
        <f>IF(ISBLANK(#REF!)=TRUE,"",#REF!*0.0000001+98.321)</f>
        <v>#REF!</v>
      </c>
      <c r="AM9" s="124" t="e">
        <f>IF(ISBLANK(#REF!)=TRUE,"",#REF!*0.0000001+98.321)</f>
        <v>#REF!</v>
      </c>
      <c r="AN9" s="124" t="e">
        <f>IF(ISBLANK(#REF!)=TRUE,"",#REF!*0.0000001+98.321)</f>
        <v>#REF!</v>
      </c>
      <c r="AO9" s="124" t="e">
        <f>IF(ISBLANK(#REF!)=TRUE,"",#REF!*0.0000001+98.321)</f>
        <v>#REF!</v>
      </c>
      <c r="AP9" s="124" t="e">
        <f>IF(ISBLANK(#REF!)=TRUE,"",#REF!*0.0000001+98.321)</f>
        <v>#REF!</v>
      </c>
      <c r="AQ9" s="124" t="e">
        <f>IF(ISBLANK(#REF!)=TRUE,"",#REF!*0.0000001+98.321)</f>
        <v>#REF!</v>
      </c>
      <c r="AR9" s="24"/>
      <c r="AS9" s="111">
        <f t="shared" si="23"/>
        <v>1</v>
      </c>
      <c r="AT9" s="111" t="str">
        <f t="shared" si="24"/>
        <v/>
      </c>
      <c r="AU9" s="111" t="str">
        <f t="shared" si="25"/>
        <v/>
      </c>
      <c r="AV9" s="111" t="str">
        <f t="shared" si="26"/>
        <v/>
      </c>
      <c r="AW9" s="111" t="str">
        <f t="shared" si="27"/>
        <v/>
      </c>
      <c r="AX9" s="111" t="str">
        <f t="shared" si="28"/>
        <v/>
      </c>
      <c r="AY9" s="111" t="str">
        <f t="shared" si="29"/>
        <v/>
      </c>
      <c r="AZ9" s="111" t="str">
        <f t="shared" si="30"/>
        <v/>
      </c>
      <c r="BA9" s="111" t="str">
        <f t="shared" si="31"/>
        <v/>
      </c>
      <c r="BB9" s="111" t="str">
        <f t="shared" si="32"/>
        <v/>
      </c>
      <c r="BC9" s="111" t="str">
        <f t="shared" si="33"/>
        <v/>
      </c>
      <c r="BD9" s="111" t="str">
        <f t="shared" si="34"/>
        <v/>
      </c>
      <c r="BE9" s="111" t="str">
        <f t="shared" si="35"/>
        <v/>
      </c>
      <c r="BF9" s="111" t="str">
        <f t="shared" si="36"/>
        <v/>
      </c>
      <c r="BG9" s="111" t="str">
        <f t="shared" si="37"/>
        <v/>
      </c>
      <c r="BH9" s="111" t="str">
        <f t="shared" si="38"/>
        <v/>
      </c>
      <c r="BI9" s="111" t="str">
        <f t="shared" si="39"/>
        <v/>
      </c>
      <c r="BJ9" s="111" t="str">
        <f t="shared" si="40"/>
        <v/>
      </c>
      <c r="BK9" s="111" t="str">
        <f t="shared" si="41"/>
        <v/>
      </c>
      <c r="BL9" s="111" t="str">
        <f t="shared" si="42"/>
        <v/>
      </c>
      <c r="BM9" s="111" t="str">
        <f t="shared" si="43"/>
        <v/>
      </c>
      <c r="BN9" s="25"/>
    </row>
    <row r="10" spans="1:66">
      <c r="A10" s="64"/>
      <c r="B10" s="23">
        <v>23</v>
      </c>
      <c r="C10" s="50"/>
      <c r="D10" s="23" t="s">
        <v>43</v>
      </c>
      <c r="E10" s="213" t="s">
        <v>47</v>
      </c>
      <c r="F10" s="58">
        <v>42244</v>
      </c>
      <c r="G10" s="59">
        <v>25.8</v>
      </c>
      <c r="H10" s="60">
        <v>260</v>
      </c>
      <c r="I10" s="58">
        <v>42265</v>
      </c>
      <c r="J10" s="59">
        <v>27.1</v>
      </c>
      <c r="K10" s="61"/>
      <c r="L10" s="52" t="s">
        <v>48</v>
      </c>
      <c r="M10" s="62">
        <v>617200000</v>
      </c>
      <c r="N10" s="59"/>
      <c r="O10" s="59">
        <f t="shared" si="19"/>
        <v>0</v>
      </c>
      <c r="P10" s="59">
        <v>0</v>
      </c>
      <c r="Q10" s="59">
        <v>0</v>
      </c>
      <c r="R10" s="203" t="e">
        <f t="shared" si="20"/>
        <v>#DIV/0!</v>
      </c>
      <c r="S10" s="52" t="e">
        <f t="shared" si="21"/>
        <v>#DIV/0!</v>
      </c>
      <c r="T10" s="52">
        <f>13.4*8.7*8.7*0.52</f>
        <v>527.40791999999999</v>
      </c>
      <c r="U10" s="53">
        <v>585.5</v>
      </c>
      <c r="V10" s="63"/>
      <c r="W10" s="124">
        <f t="shared" si="22"/>
        <v>160.041</v>
      </c>
      <c r="X10" s="124" t="e">
        <f>IF(ISBLANK(#REF!)=TRUE,"",#REF!*0.0000001+98.321)</f>
        <v>#REF!</v>
      </c>
      <c r="Y10" s="124" t="e">
        <f>IF(ISBLANK(#REF!)=TRUE,"",#REF!*0.0000001+98.321)</f>
        <v>#REF!</v>
      </c>
      <c r="Z10" s="124" t="e">
        <f>IF(ISBLANK(#REF!)=TRUE,"",#REF!*0.0000001+98.321)</f>
        <v>#REF!</v>
      </c>
      <c r="AA10" s="124" t="e">
        <f>IF(ISBLANK(#REF!)=TRUE,"",#REF!*0.0000001+98.321)</f>
        <v>#REF!</v>
      </c>
      <c r="AB10" s="124" t="e">
        <f>IF(ISBLANK(#REF!)=TRUE,"",#REF!*0.0000001+98.321)</f>
        <v>#REF!</v>
      </c>
      <c r="AC10" s="124" t="e">
        <f>IF(ISBLANK(#REF!)=TRUE,"",#REF!*0.0000001+98.321)</f>
        <v>#REF!</v>
      </c>
      <c r="AD10" s="124" t="e">
        <f>IF(ISBLANK(#REF!)=TRUE,"",#REF!*0.0000001+98.321)</f>
        <v>#REF!</v>
      </c>
      <c r="AE10" s="124" t="e">
        <f>IF(ISBLANK(#REF!)=TRUE,"",#REF!*0.0000001+98.321)</f>
        <v>#REF!</v>
      </c>
      <c r="AF10" s="124" t="e">
        <f>IF(ISBLANK(#REF!)=TRUE,"",#REF!*0.0000001+98.321)</f>
        <v>#REF!</v>
      </c>
      <c r="AG10" s="124" t="e">
        <f>IF(ISBLANK(#REF!)=TRUE,"",#REF!*0.0000001+98.321)</f>
        <v>#REF!</v>
      </c>
      <c r="AH10" s="124" t="e">
        <f>IF(ISBLANK(#REF!)=TRUE,"",#REF!*0.0000001+98.321)</f>
        <v>#REF!</v>
      </c>
      <c r="AI10" s="124" t="e">
        <f>IF(ISBLANK(#REF!)=TRUE,"",#REF!*0.0000001+98.321)</f>
        <v>#REF!</v>
      </c>
      <c r="AJ10" s="124" t="e">
        <f>IF(ISBLANK(#REF!)=TRUE,"",#REF!*0.0000001+98.321)</f>
        <v>#REF!</v>
      </c>
      <c r="AK10" s="124" t="e">
        <f>IF(ISBLANK(#REF!)=TRUE,"",#REF!*0.0000001+98.321)</f>
        <v>#REF!</v>
      </c>
      <c r="AL10" s="124" t="e">
        <f>IF(ISBLANK(#REF!)=TRUE,"",#REF!*0.0000001+98.321)</f>
        <v>#REF!</v>
      </c>
      <c r="AM10" s="124" t="e">
        <f>IF(ISBLANK(#REF!)=TRUE,"",#REF!*0.0000001+98.321)</f>
        <v>#REF!</v>
      </c>
      <c r="AN10" s="124" t="e">
        <f>IF(ISBLANK(#REF!)=TRUE,"",#REF!*0.0000001+98.321)</f>
        <v>#REF!</v>
      </c>
      <c r="AO10" s="124" t="e">
        <f>IF(ISBLANK(#REF!)=TRUE,"",#REF!*0.0000001+98.321)</f>
        <v>#REF!</v>
      </c>
      <c r="AP10" s="124" t="e">
        <f>IF(ISBLANK(#REF!)=TRUE,"",#REF!*0.0000001+98.321)</f>
        <v>#REF!</v>
      </c>
      <c r="AQ10" s="124" t="e">
        <f>IF(ISBLANK(#REF!)=TRUE,"",#REF!*0.0000001+98.321)</f>
        <v>#REF!</v>
      </c>
      <c r="AR10" s="24"/>
      <c r="AS10" s="111">
        <f t="shared" si="23"/>
        <v>1</v>
      </c>
      <c r="AT10" s="111" t="str">
        <f t="shared" si="24"/>
        <v/>
      </c>
      <c r="AU10" s="111" t="str">
        <f t="shared" si="25"/>
        <v/>
      </c>
      <c r="AV10" s="111" t="str">
        <f t="shared" si="26"/>
        <v/>
      </c>
      <c r="AW10" s="111" t="str">
        <f t="shared" si="27"/>
        <v/>
      </c>
      <c r="AX10" s="111" t="str">
        <f t="shared" si="28"/>
        <v/>
      </c>
      <c r="AY10" s="111" t="str">
        <f t="shared" si="29"/>
        <v/>
      </c>
      <c r="AZ10" s="111" t="str">
        <f t="shared" si="30"/>
        <v/>
      </c>
      <c r="BA10" s="111" t="str">
        <f t="shared" si="31"/>
        <v/>
      </c>
      <c r="BB10" s="111" t="str">
        <f t="shared" si="32"/>
        <v/>
      </c>
      <c r="BC10" s="111" t="str">
        <f t="shared" si="33"/>
        <v/>
      </c>
      <c r="BD10" s="111" t="str">
        <f t="shared" si="34"/>
        <v/>
      </c>
      <c r="BE10" s="111" t="str">
        <f t="shared" si="35"/>
        <v/>
      </c>
      <c r="BF10" s="111" t="str">
        <f t="shared" si="36"/>
        <v/>
      </c>
      <c r="BG10" s="111" t="str">
        <f t="shared" si="37"/>
        <v/>
      </c>
      <c r="BH10" s="111" t="str">
        <f t="shared" si="38"/>
        <v/>
      </c>
      <c r="BI10" s="111" t="str">
        <f t="shared" si="39"/>
        <v/>
      </c>
      <c r="BJ10" s="111" t="str">
        <f t="shared" si="40"/>
        <v/>
      </c>
      <c r="BK10" s="111" t="str">
        <f t="shared" si="41"/>
        <v/>
      </c>
      <c r="BL10" s="111" t="str">
        <f t="shared" si="42"/>
        <v/>
      </c>
      <c r="BM10" s="111" t="str">
        <f t="shared" si="43"/>
        <v/>
      </c>
      <c r="BN10" s="25"/>
    </row>
    <row r="11" spans="1:66">
      <c r="A11" s="64"/>
      <c r="B11" s="23">
        <v>24</v>
      </c>
      <c r="C11" s="50"/>
      <c r="D11" s="23" t="s">
        <v>43</v>
      </c>
      <c r="E11" s="212" t="s">
        <v>45</v>
      </c>
      <c r="F11" s="58">
        <v>42244</v>
      </c>
      <c r="G11" s="59">
        <v>28.5</v>
      </c>
      <c r="H11" s="60">
        <v>310</v>
      </c>
      <c r="I11" s="58">
        <v>42265</v>
      </c>
      <c r="J11" s="59">
        <v>29.6</v>
      </c>
      <c r="K11" s="59"/>
      <c r="L11" s="59">
        <v>350</v>
      </c>
      <c r="M11" s="62">
        <v>405800000</v>
      </c>
      <c r="N11" s="59">
        <f>6*4.9*4.9*0.52</f>
        <v>74.911200000000022</v>
      </c>
      <c r="O11" s="59">
        <f t="shared" si="19"/>
        <v>749.11200000000019</v>
      </c>
      <c r="P11" s="59">
        <v>25</v>
      </c>
      <c r="Q11" s="59">
        <v>0</v>
      </c>
      <c r="R11" s="203">
        <f t="shared" si="20"/>
        <v>0</v>
      </c>
      <c r="S11" s="52">
        <f t="shared" si="21"/>
        <v>0</v>
      </c>
      <c r="T11" s="52">
        <f>17.9*11.2*11.2*0.52</f>
        <v>1167.5955199999996</v>
      </c>
      <c r="U11" s="53">
        <v>1111.5999999999999</v>
      </c>
      <c r="V11" s="63"/>
      <c r="W11" s="124">
        <f t="shared" si="22"/>
        <v>138.90100000000001</v>
      </c>
      <c r="X11" s="124" t="e">
        <f>IF(ISBLANK(#REF!)=TRUE,"",#REF!*0.0000001+98.321)</f>
        <v>#REF!</v>
      </c>
      <c r="Y11" s="124" t="e">
        <f>IF(ISBLANK(#REF!)=TRUE,"",#REF!*0.0000001+98.321)</f>
        <v>#REF!</v>
      </c>
      <c r="Z11" s="124" t="e">
        <f>IF(ISBLANK(#REF!)=TRUE,"",#REF!*0.0000001+98.321)</f>
        <v>#REF!</v>
      </c>
      <c r="AA11" s="124" t="e">
        <f>IF(ISBLANK(#REF!)=TRUE,"",#REF!*0.0000001+98.321)</f>
        <v>#REF!</v>
      </c>
      <c r="AB11" s="124" t="e">
        <f>IF(ISBLANK(#REF!)=TRUE,"",#REF!*0.0000001+98.321)</f>
        <v>#REF!</v>
      </c>
      <c r="AC11" s="124" t="e">
        <f>IF(ISBLANK(#REF!)=TRUE,"",#REF!*0.0000001+98.321)</f>
        <v>#REF!</v>
      </c>
      <c r="AD11" s="124" t="e">
        <f>IF(ISBLANK(#REF!)=TRUE,"",#REF!*0.0000001+98.321)</f>
        <v>#REF!</v>
      </c>
      <c r="AE11" s="124" t="e">
        <f>IF(ISBLANK(#REF!)=TRUE,"",#REF!*0.0000001+98.321)</f>
        <v>#REF!</v>
      </c>
      <c r="AF11" s="124" t="e">
        <f>IF(ISBLANK(#REF!)=TRUE,"",#REF!*0.0000001+98.321)</f>
        <v>#REF!</v>
      </c>
      <c r="AG11" s="124" t="e">
        <f>IF(ISBLANK(#REF!)=TRUE,"",#REF!*0.0000001+98.321)</f>
        <v>#REF!</v>
      </c>
      <c r="AH11" s="124" t="e">
        <f>IF(ISBLANK(#REF!)=TRUE,"",#REF!*0.0000001+98.321)</f>
        <v>#REF!</v>
      </c>
      <c r="AI11" s="124" t="e">
        <f>IF(ISBLANK(#REF!)=TRUE,"",#REF!*0.0000001+98.321)</f>
        <v>#REF!</v>
      </c>
      <c r="AJ11" s="124" t="e">
        <f>IF(ISBLANK(#REF!)=TRUE,"",#REF!*0.0000001+98.321)</f>
        <v>#REF!</v>
      </c>
      <c r="AK11" s="124" t="e">
        <f>IF(ISBLANK(#REF!)=TRUE,"",#REF!*0.0000001+98.321)</f>
        <v>#REF!</v>
      </c>
      <c r="AL11" s="124" t="e">
        <f>IF(ISBLANK(#REF!)=TRUE,"",#REF!*0.0000001+98.321)</f>
        <v>#REF!</v>
      </c>
      <c r="AM11" s="124" t="e">
        <f>IF(ISBLANK(#REF!)=TRUE,"",#REF!*0.0000001+98.321)</f>
        <v>#REF!</v>
      </c>
      <c r="AN11" s="124" t="e">
        <f>IF(ISBLANK(#REF!)=TRUE,"",#REF!*0.0000001+98.321)</f>
        <v>#REF!</v>
      </c>
      <c r="AO11" s="124" t="e">
        <f>IF(ISBLANK(#REF!)=TRUE,"",#REF!*0.0000001+98.321)</f>
        <v>#REF!</v>
      </c>
      <c r="AP11" s="124" t="e">
        <f>IF(ISBLANK(#REF!)=TRUE,"",#REF!*0.0000001+98.321)</f>
        <v>#REF!</v>
      </c>
      <c r="AQ11" s="124" t="e">
        <f>IF(ISBLANK(#REF!)=TRUE,"",#REF!*0.0000001+98.321)</f>
        <v>#REF!</v>
      </c>
      <c r="AR11" s="24"/>
      <c r="AS11" s="111">
        <f t="shared" si="23"/>
        <v>1</v>
      </c>
      <c r="AT11" s="111" t="str">
        <f t="shared" si="24"/>
        <v/>
      </c>
      <c r="AU11" s="111" t="str">
        <f t="shared" si="25"/>
        <v/>
      </c>
      <c r="AV11" s="111" t="str">
        <f t="shared" si="26"/>
        <v/>
      </c>
      <c r="AW11" s="111" t="str">
        <f t="shared" si="27"/>
        <v/>
      </c>
      <c r="AX11" s="111" t="str">
        <f t="shared" si="28"/>
        <v/>
      </c>
      <c r="AY11" s="111" t="str">
        <f t="shared" si="29"/>
        <v/>
      </c>
      <c r="AZ11" s="111" t="str">
        <f t="shared" si="30"/>
        <v/>
      </c>
      <c r="BA11" s="111" t="str">
        <f t="shared" si="31"/>
        <v/>
      </c>
      <c r="BB11" s="111" t="str">
        <f t="shared" si="32"/>
        <v/>
      </c>
      <c r="BC11" s="111" t="str">
        <f t="shared" si="33"/>
        <v/>
      </c>
      <c r="BD11" s="111" t="str">
        <f t="shared" si="34"/>
        <v/>
      </c>
      <c r="BE11" s="111" t="str">
        <f t="shared" si="35"/>
        <v/>
      </c>
      <c r="BF11" s="111" t="str">
        <f t="shared" si="36"/>
        <v/>
      </c>
      <c r="BG11" s="111" t="str">
        <f t="shared" si="37"/>
        <v/>
      </c>
      <c r="BH11" s="111" t="str">
        <f t="shared" si="38"/>
        <v/>
      </c>
      <c r="BI11" s="111" t="str">
        <f t="shared" si="39"/>
        <v/>
      </c>
      <c r="BJ11" s="111" t="str">
        <f t="shared" si="40"/>
        <v/>
      </c>
      <c r="BK11" s="111" t="str">
        <f t="shared" si="41"/>
        <v/>
      </c>
      <c r="BL11" s="111" t="str">
        <f t="shared" si="42"/>
        <v/>
      </c>
      <c r="BM11" s="111" t="str">
        <f t="shared" si="43"/>
        <v/>
      </c>
      <c r="BN11" s="25"/>
    </row>
    <row r="12" spans="1:66" ht="15.75">
      <c r="A12" s="64"/>
      <c r="B12" s="23">
        <v>31</v>
      </c>
      <c r="C12" s="50"/>
      <c r="D12" s="23" t="s">
        <v>43</v>
      </c>
      <c r="E12" s="213" t="s">
        <v>46</v>
      </c>
      <c r="F12" s="58">
        <v>42244</v>
      </c>
      <c r="G12" s="59">
        <v>28.1</v>
      </c>
      <c r="H12" s="60">
        <v>280</v>
      </c>
      <c r="I12" s="58">
        <v>42265</v>
      </c>
      <c r="J12" s="59">
        <v>29.9</v>
      </c>
      <c r="K12" s="61"/>
      <c r="L12" s="52" t="s">
        <v>48</v>
      </c>
      <c r="M12" s="62">
        <v>592700000</v>
      </c>
      <c r="N12" s="59">
        <f>6.1*4.7*4.7*0.52</f>
        <v>70.069479999999999</v>
      </c>
      <c r="O12" s="59">
        <f t="shared" si="19"/>
        <v>700.69479999999999</v>
      </c>
      <c r="P12" s="59">
        <v>22.2</v>
      </c>
      <c r="Q12" s="59">
        <v>75.5</v>
      </c>
      <c r="R12" s="203">
        <f t="shared" si="20"/>
        <v>1.0775019309405465</v>
      </c>
      <c r="S12" s="52">
        <f t="shared" si="21"/>
        <v>3.400900900900901</v>
      </c>
      <c r="T12" s="52">
        <f>7.4*6*6*0.52</f>
        <v>138.52800000000002</v>
      </c>
      <c r="U12" s="53">
        <v>165.1</v>
      </c>
      <c r="V12" s="63"/>
      <c r="W12" s="124">
        <f t="shared" si="22"/>
        <v>157.59100000000001</v>
      </c>
      <c r="X12" s="124" t="e">
        <f>IF(ISBLANK(#REF!)=TRUE,"",#REF!*0.0000001+98.321)</f>
        <v>#REF!</v>
      </c>
      <c r="Y12" s="124" t="e">
        <f>IF(ISBLANK(#REF!)=TRUE,"",#REF!*0.0000001+98.321)</f>
        <v>#REF!</v>
      </c>
      <c r="Z12" s="124" t="e">
        <f>IF(ISBLANK(#REF!)=TRUE,"",#REF!*0.0000001+98.321)</f>
        <v>#REF!</v>
      </c>
      <c r="AA12" s="124" t="e">
        <f>IF(ISBLANK(#REF!)=TRUE,"",#REF!*0.0000001+98.321)</f>
        <v>#REF!</v>
      </c>
      <c r="AB12" s="124" t="e">
        <f>IF(ISBLANK(#REF!)=TRUE,"",#REF!*0.0000001+98.321)</f>
        <v>#REF!</v>
      </c>
      <c r="AC12" s="124" t="e">
        <f>IF(ISBLANK(#REF!)=TRUE,"",#REF!*0.0000001+98.321)</f>
        <v>#REF!</v>
      </c>
      <c r="AD12" s="124" t="e">
        <f>IF(ISBLANK(#REF!)=TRUE,"",#REF!*0.0000001+98.321)</f>
        <v>#REF!</v>
      </c>
      <c r="AE12" s="124" t="e">
        <f>IF(ISBLANK(#REF!)=TRUE,"",#REF!*0.0000001+98.321)</f>
        <v>#REF!</v>
      </c>
      <c r="AF12" s="124" t="e">
        <f>IF(ISBLANK(#REF!)=TRUE,"",#REF!*0.0000001+98.321)</f>
        <v>#REF!</v>
      </c>
      <c r="AG12" s="124" t="e">
        <f>IF(ISBLANK(#REF!)=TRUE,"",#REF!*0.0000001+98.321)</f>
        <v>#REF!</v>
      </c>
      <c r="AH12" s="124" t="e">
        <f>IF(ISBLANK(#REF!)=TRUE,"",#REF!*0.0000001+98.321)</f>
        <v>#REF!</v>
      </c>
      <c r="AI12" s="124" t="e">
        <f>IF(ISBLANK(#REF!)=TRUE,"",#REF!*0.0000001+98.321)</f>
        <v>#REF!</v>
      </c>
      <c r="AJ12" s="124" t="e">
        <f>IF(ISBLANK(#REF!)=TRUE,"",#REF!*0.0000001+98.321)</f>
        <v>#REF!</v>
      </c>
      <c r="AK12" s="124" t="e">
        <f>IF(ISBLANK(#REF!)=TRUE,"",#REF!*0.0000001+98.321)</f>
        <v>#REF!</v>
      </c>
      <c r="AL12" s="124" t="e">
        <f>IF(ISBLANK(#REF!)=TRUE,"",#REF!*0.0000001+98.321)</f>
        <v>#REF!</v>
      </c>
      <c r="AM12" s="124" t="e">
        <f>IF(ISBLANK(#REF!)=TRUE,"",#REF!*0.0000001+98.321)</f>
        <v>#REF!</v>
      </c>
      <c r="AN12" s="124" t="e">
        <f>IF(ISBLANK(#REF!)=TRUE,"",#REF!*0.0000001+98.321)</f>
        <v>#REF!</v>
      </c>
      <c r="AO12" s="124" t="e">
        <f>IF(ISBLANK(#REF!)=TRUE,"",#REF!*0.0000001+98.321)</f>
        <v>#REF!</v>
      </c>
      <c r="AP12" s="124" t="e">
        <f>IF(ISBLANK(#REF!)=TRUE,"",#REF!*0.0000001+98.321)</f>
        <v>#REF!</v>
      </c>
      <c r="AQ12" s="124" t="e">
        <f>IF(ISBLANK(#REF!)=TRUE,"",#REF!*0.0000001+98.321)</f>
        <v>#REF!</v>
      </c>
      <c r="AR12" s="24"/>
      <c r="AS12" s="111">
        <f t="shared" si="23"/>
        <v>1</v>
      </c>
      <c r="AT12" s="111" t="str">
        <f t="shared" si="24"/>
        <v/>
      </c>
      <c r="AU12" s="111" t="str">
        <f t="shared" si="25"/>
        <v/>
      </c>
      <c r="AV12" s="111" t="str">
        <f t="shared" si="26"/>
        <v/>
      </c>
      <c r="AW12" s="111" t="str">
        <f t="shared" si="27"/>
        <v/>
      </c>
      <c r="AX12" s="111" t="str">
        <f t="shared" si="28"/>
        <v/>
      </c>
      <c r="AY12" s="111" t="str">
        <f t="shared" si="29"/>
        <v/>
      </c>
      <c r="AZ12" s="111" t="str">
        <f t="shared" si="30"/>
        <v/>
      </c>
      <c r="BA12" s="111" t="str">
        <f t="shared" si="31"/>
        <v/>
      </c>
      <c r="BB12" s="111" t="str">
        <f t="shared" si="32"/>
        <v/>
      </c>
      <c r="BC12" s="111" t="str">
        <f t="shared" si="33"/>
        <v/>
      </c>
      <c r="BD12" s="111" t="str">
        <f t="shared" si="34"/>
        <v/>
      </c>
      <c r="BE12" s="111" t="str">
        <f t="shared" si="35"/>
        <v/>
      </c>
      <c r="BF12" s="111" t="str">
        <f t="shared" si="36"/>
        <v/>
      </c>
      <c r="BG12" s="111" t="str">
        <f t="shared" si="37"/>
        <v/>
      </c>
      <c r="BH12" s="111" t="str">
        <f t="shared" si="38"/>
        <v/>
      </c>
      <c r="BI12" s="111" t="str">
        <f t="shared" si="39"/>
        <v/>
      </c>
      <c r="BJ12" s="111" t="str">
        <f t="shared" si="40"/>
        <v/>
      </c>
      <c r="BK12" s="111" t="str">
        <f t="shared" si="41"/>
        <v/>
      </c>
      <c r="BL12" s="111" t="str">
        <f t="shared" si="42"/>
        <v/>
      </c>
      <c r="BM12" s="111" t="str">
        <f t="shared" si="43"/>
        <v/>
      </c>
      <c r="BN12" s="25"/>
    </row>
    <row r="13" spans="1:66" ht="15.75">
      <c r="A13" s="64"/>
      <c r="B13" s="23">
        <v>32</v>
      </c>
      <c r="C13" s="50"/>
      <c r="D13" s="23" t="s">
        <v>43</v>
      </c>
      <c r="E13" s="212" t="s">
        <v>44</v>
      </c>
      <c r="F13" s="58">
        <v>42244</v>
      </c>
      <c r="G13" s="59">
        <v>29.6</v>
      </c>
      <c r="H13" s="60">
        <v>300</v>
      </c>
      <c r="I13" s="58">
        <v>42265</v>
      </c>
      <c r="J13" s="59">
        <v>31.3</v>
      </c>
      <c r="K13" s="61"/>
      <c r="L13" s="52">
        <v>310</v>
      </c>
      <c r="M13" s="62">
        <v>363000000</v>
      </c>
      <c r="N13" s="59">
        <f>6*5.2*5.2*0.52</f>
        <v>84.364800000000002</v>
      </c>
      <c r="O13" s="59">
        <f t="shared" si="19"/>
        <v>843.64800000000002</v>
      </c>
      <c r="P13" s="59">
        <v>26.7</v>
      </c>
      <c r="Q13" s="59">
        <v>178</v>
      </c>
      <c r="R13" s="203">
        <f t="shared" si="20"/>
        <v>2.1098846912456377</v>
      </c>
      <c r="S13" s="52">
        <f t="shared" si="21"/>
        <v>6.666666666666667</v>
      </c>
      <c r="T13" s="52">
        <f>10.1*7.6*7.6*0.52</f>
        <v>303.35551999999996</v>
      </c>
      <c r="U13" s="53">
        <v>471.6</v>
      </c>
      <c r="V13" s="63"/>
      <c r="W13" s="124">
        <f t="shared" si="22"/>
        <v>134.62099999999998</v>
      </c>
      <c r="X13" s="124" t="e">
        <f>IF(ISBLANK(#REF!)=TRUE,"",#REF!*0.0000001+98.321)</f>
        <v>#REF!</v>
      </c>
      <c r="Y13" s="124" t="e">
        <f>IF(ISBLANK(#REF!)=TRUE,"",#REF!*0.0000001+98.321)</f>
        <v>#REF!</v>
      </c>
      <c r="Z13" s="124" t="e">
        <f>IF(ISBLANK(#REF!)=TRUE,"",#REF!*0.0000001+98.321)</f>
        <v>#REF!</v>
      </c>
      <c r="AA13" s="124" t="e">
        <f>IF(ISBLANK(#REF!)=TRUE,"",#REF!*0.0000001+98.321)</f>
        <v>#REF!</v>
      </c>
      <c r="AB13" s="124" t="e">
        <f>IF(ISBLANK(#REF!)=TRUE,"",#REF!*0.0000001+98.321)</f>
        <v>#REF!</v>
      </c>
      <c r="AC13" s="124" t="e">
        <f>IF(ISBLANK(#REF!)=TRUE,"",#REF!*0.0000001+98.321)</f>
        <v>#REF!</v>
      </c>
      <c r="AD13" s="124" t="e">
        <f>IF(ISBLANK(#REF!)=TRUE,"",#REF!*0.0000001+98.321)</f>
        <v>#REF!</v>
      </c>
      <c r="AE13" s="124" t="e">
        <f>IF(ISBLANK(#REF!)=TRUE,"",#REF!*0.0000001+98.321)</f>
        <v>#REF!</v>
      </c>
      <c r="AF13" s="124" t="e">
        <f>IF(ISBLANK(#REF!)=TRUE,"",#REF!*0.0000001+98.321)</f>
        <v>#REF!</v>
      </c>
      <c r="AG13" s="124" t="e">
        <f>IF(ISBLANK(#REF!)=TRUE,"",#REF!*0.0000001+98.321)</f>
        <v>#REF!</v>
      </c>
      <c r="AH13" s="124" t="e">
        <f>IF(ISBLANK(#REF!)=TRUE,"",#REF!*0.0000001+98.321)</f>
        <v>#REF!</v>
      </c>
      <c r="AI13" s="124" t="e">
        <f>IF(ISBLANK(#REF!)=TRUE,"",#REF!*0.0000001+98.321)</f>
        <v>#REF!</v>
      </c>
      <c r="AJ13" s="124" t="e">
        <f>IF(ISBLANK(#REF!)=TRUE,"",#REF!*0.0000001+98.321)</f>
        <v>#REF!</v>
      </c>
      <c r="AK13" s="124" t="e">
        <f>IF(ISBLANK(#REF!)=TRUE,"",#REF!*0.0000001+98.321)</f>
        <v>#REF!</v>
      </c>
      <c r="AL13" s="124" t="e">
        <f>IF(ISBLANK(#REF!)=TRUE,"",#REF!*0.0000001+98.321)</f>
        <v>#REF!</v>
      </c>
      <c r="AM13" s="124" t="e">
        <f>IF(ISBLANK(#REF!)=TRUE,"",#REF!*0.0000001+98.321)</f>
        <v>#REF!</v>
      </c>
      <c r="AN13" s="124" t="e">
        <f>IF(ISBLANK(#REF!)=TRUE,"",#REF!*0.0000001+98.321)</f>
        <v>#REF!</v>
      </c>
      <c r="AO13" s="124" t="e">
        <f>IF(ISBLANK(#REF!)=TRUE,"",#REF!*0.0000001+98.321)</f>
        <v>#REF!</v>
      </c>
      <c r="AP13" s="124" t="e">
        <f>IF(ISBLANK(#REF!)=TRUE,"",#REF!*0.0000001+98.321)</f>
        <v>#REF!</v>
      </c>
      <c r="AQ13" s="124" t="e">
        <f>IF(ISBLANK(#REF!)=TRUE,"",#REF!*0.0000001+98.321)</f>
        <v>#REF!</v>
      </c>
      <c r="AR13" s="24"/>
      <c r="AS13" s="111">
        <f t="shared" si="23"/>
        <v>1</v>
      </c>
      <c r="AT13" s="111" t="str">
        <f t="shared" si="24"/>
        <v/>
      </c>
      <c r="AU13" s="111" t="str">
        <f t="shared" si="25"/>
        <v/>
      </c>
      <c r="AV13" s="111" t="str">
        <f t="shared" si="26"/>
        <v/>
      </c>
      <c r="AW13" s="111" t="str">
        <f t="shared" si="27"/>
        <v/>
      </c>
      <c r="AX13" s="111" t="str">
        <f t="shared" si="28"/>
        <v/>
      </c>
      <c r="AY13" s="111" t="str">
        <f t="shared" si="29"/>
        <v/>
      </c>
      <c r="AZ13" s="111" t="str">
        <f t="shared" si="30"/>
        <v/>
      </c>
      <c r="BA13" s="111" t="str">
        <f t="shared" si="31"/>
        <v/>
      </c>
      <c r="BB13" s="111" t="str">
        <f t="shared" si="32"/>
        <v/>
      </c>
      <c r="BC13" s="111" t="str">
        <f t="shared" si="33"/>
        <v/>
      </c>
      <c r="BD13" s="111" t="str">
        <f t="shared" si="34"/>
        <v/>
      </c>
      <c r="BE13" s="111" t="str">
        <f t="shared" si="35"/>
        <v/>
      </c>
      <c r="BF13" s="111" t="str">
        <f t="shared" si="36"/>
        <v/>
      </c>
      <c r="BG13" s="111" t="str">
        <f t="shared" si="37"/>
        <v/>
      </c>
      <c r="BH13" s="111" t="str">
        <f t="shared" si="38"/>
        <v/>
      </c>
      <c r="BI13" s="111" t="str">
        <f t="shared" si="39"/>
        <v/>
      </c>
      <c r="BJ13" s="111" t="str">
        <f t="shared" si="40"/>
        <v/>
      </c>
      <c r="BK13" s="111" t="str">
        <f t="shared" si="41"/>
        <v/>
      </c>
      <c r="BL13" s="111" t="str">
        <f t="shared" si="42"/>
        <v/>
      </c>
      <c r="BM13" s="111" t="str">
        <f t="shared" si="43"/>
        <v/>
      </c>
      <c r="BN13" s="25"/>
    </row>
    <row r="14" spans="1:66">
      <c r="A14" s="64"/>
      <c r="B14" s="23">
        <v>33</v>
      </c>
      <c r="C14" s="50"/>
      <c r="D14" s="23" t="s">
        <v>43</v>
      </c>
      <c r="E14" s="213" t="s">
        <v>47</v>
      </c>
      <c r="F14" s="58">
        <v>42244</v>
      </c>
      <c r="G14" s="59">
        <v>26</v>
      </c>
      <c r="H14" s="60">
        <v>260</v>
      </c>
      <c r="I14" s="58">
        <v>42265</v>
      </c>
      <c r="J14" s="59">
        <v>28.5</v>
      </c>
      <c r="K14" s="61"/>
      <c r="L14" s="52" t="s">
        <v>48</v>
      </c>
      <c r="M14" s="62">
        <v>700100000</v>
      </c>
      <c r="N14" s="59"/>
      <c r="O14" s="59">
        <f t="shared" si="19"/>
        <v>0</v>
      </c>
      <c r="P14" s="59">
        <v>0</v>
      </c>
      <c r="Q14" s="59">
        <v>0</v>
      </c>
      <c r="R14" s="203" t="e">
        <f t="shared" si="20"/>
        <v>#DIV/0!</v>
      </c>
      <c r="S14" s="52" t="e">
        <f t="shared" si="21"/>
        <v>#DIV/0!</v>
      </c>
      <c r="T14" s="52">
        <f>9.7*6.5*6.5*0.52</f>
        <v>213.10900000000001</v>
      </c>
      <c r="U14" s="53">
        <v>204.5</v>
      </c>
      <c r="V14" s="63"/>
      <c r="W14" s="124">
        <f t="shared" si="22"/>
        <v>168.33099999999999</v>
      </c>
      <c r="X14" s="124" t="e">
        <f>IF(ISBLANK(#REF!)=TRUE,"",#REF!*0.0000001+98.321)</f>
        <v>#REF!</v>
      </c>
      <c r="Y14" s="124" t="e">
        <f>IF(ISBLANK(#REF!)=TRUE,"",#REF!*0.0000001+98.321)</f>
        <v>#REF!</v>
      </c>
      <c r="Z14" s="124" t="e">
        <f>IF(ISBLANK(#REF!)=TRUE,"",#REF!*0.0000001+98.321)</f>
        <v>#REF!</v>
      </c>
      <c r="AA14" s="124" t="e">
        <f>IF(ISBLANK(#REF!)=TRUE,"",#REF!*0.0000001+98.321)</f>
        <v>#REF!</v>
      </c>
      <c r="AB14" s="124" t="e">
        <f>IF(ISBLANK(#REF!)=TRUE,"",#REF!*0.0000001+98.321)</f>
        <v>#REF!</v>
      </c>
      <c r="AC14" s="124" t="e">
        <f>IF(ISBLANK(#REF!)=TRUE,"",#REF!*0.0000001+98.321)</f>
        <v>#REF!</v>
      </c>
      <c r="AD14" s="124" t="e">
        <f>IF(ISBLANK(#REF!)=TRUE,"",#REF!*0.0000001+98.321)</f>
        <v>#REF!</v>
      </c>
      <c r="AE14" s="124" t="e">
        <f>IF(ISBLANK(#REF!)=TRUE,"",#REF!*0.0000001+98.321)</f>
        <v>#REF!</v>
      </c>
      <c r="AF14" s="124" t="e">
        <f>IF(ISBLANK(#REF!)=TRUE,"",#REF!*0.0000001+98.321)</f>
        <v>#REF!</v>
      </c>
      <c r="AG14" s="124" t="e">
        <f>IF(ISBLANK(#REF!)=TRUE,"",#REF!*0.0000001+98.321)</f>
        <v>#REF!</v>
      </c>
      <c r="AH14" s="124" t="e">
        <f>IF(ISBLANK(#REF!)=TRUE,"",#REF!*0.0000001+98.321)</f>
        <v>#REF!</v>
      </c>
      <c r="AI14" s="124" t="e">
        <f>IF(ISBLANK(#REF!)=TRUE,"",#REF!*0.0000001+98.321)</f>
        <v>#REF!</v>
      </c>
      <c r="AJ14" s="124" t="e">
        <f>IF(ISBLANK(#REF!)=TRUE,"",#REF!*0.0000001+98.321)</f>
        <v>#REF!</v>
      </c>
      <c r="AK14" s="124" t="e">
        <f>IF(ISBLANK(#REF!)=TRUE,"",#REF!*0.0000001+98.321)</f>
        <v>#REF!</v>
      </c>
      <c r="AL14" s="124" t="e">
        <f>IF(ISBLANK(#REF!)=TRUE,"",#REF!*0.0000001+98.321)</f>
        <v>#REF!</v>
      </c>
      <c r="AM14" s="124" t="e">
        <f>IF(ISBLANK(#REF!)=TRUE,"",#REF!*0.0000001+98.321)</f>
        <v>#REF!</v>
      </c>
      <c r="AN14" s="124" t="e">
        <f>IF(ISBLANK(#REF!)=TRUE,"",#REF!*0.0000001+98.321)</f>
        <v>#REF!</v>
      </c>
      <c r="AO14" s="124" t="e">
        <f>IF(ISBLANK(#REF!)=TRUE,"",#REF!*0.0000001+98.321)</f>
        <v>#REF!</v>
      </c>
      <c r="AP14" s="124" t="e">
        <f>IF(ISBLANK(#REF!)=TRUE,"",#REF!*0.0000001+98.321)</f>
        <v>#REF!</v>
      </c>
      <c r="AQ14" s="124" t="e">
        <f>IF(ISBLANK(#REF!)=TRUE,"",#REF!*0.0000001+98.321)</f>
        <v>#REF!</v>
      </c>
      <c r="AR14" s="24"/>
      <c r="AS14" s="111">
        <f t="shared" si="23"/>
        <v>1</v>
      </c>
      <c r="AT14" s="111" t="str">
        <f t="shared" si="24"/>
        <v/>
      </c>
      <c r="AU14" s="111" t="str">
        <f t="shared" si="25"/>
        <v/>
      </c>
      <c r="AV14" s="111" t="str">
        <f t="shared" si="26"/>
        <v/>
      </c>
      <c r="AW14" s="111" t="str">
        <f t="shared" si="27"/>
        <v/>
      </c>
      <c r="AX14" s="111" t="str">
        <f t="shared" si="28"/>
        <v/>
      </c>
      <c r="AY14" s="111" t="str">
        <f t="shared" si="29"/>
        <v/>
      </c>
      <c r="AZ14" s="111" t="str">
        <f t="shared" si="30"/>
        <v/>
      </c>
      <c r="BA14" s="111" t="str">
        <f t="shared" si="31"/>
        <v/>
      </c>
      <c r="BB14" s="111" t="str">
        <f t="shared" si="32"/>
        <v/>
      </c>
      <c r="BC14" s="111" t="str">
        <f t="shared" si="33"/>
        <v/>
      </c>
      <c r="BD14" s="111" t="str">
        <f t="shared" si="34"/>
        <v/>
      </c>
      <c r="BE14" s="111" t="str">
        <f t="shared" si="35"/>
        <v/>
      </c>
      <c r="BF14" s="111" t="str">
        <f t="shared" si="36"/>
        <v/>
      </c>
      <c r="BG14" s="111" t="str">
        <f t="shared" si="37"/>
        <v/>
      </c>
      <c r="BH14" s="111" t="str">
        <f t="shared" si="38"/>
        <v/>
      </c>
      <c r="BI14" s="111" t="str">
        <f t="shared" si="39"/>
        <v/>
      </c>
      <c r="BJ14" s="111" t="str">
        <f t="shared" si="40"/>
        <v/>
      </c>
      <c r="BK14" s="111" t="str">
        <f t="shared" si="41"/>
        <v/>
      </c>
      <c r="BL14" s="111" t="str">
        <f t="shared" si="42"/>
        <v/>
      </c>
      <c r="BM14" s="111" t="str">
        <f t="shared" si="43"/>
        <v/>
      </c>
      <c r="BN14" s="25"/>
    </row>
    <row r="15" spans="1:66" ht="15.75">
      <c r="A15" s="64"/>
      <c r="B15" s="23">
        <v>34</v>
      </c>
      <c r="C15" s="50"/>
      <c r="D15" s="23" t="s">
        <v>43</v>
      </c>
      <c r="E15" s="213" t="s">
        <v>46</v>
      </c>
      <c r="F15" s="58">
        <v>42244</v>
      </c>
      <c r="G15" s="59">
        <v>26.9</v>
      </c>
      <c r="H15" s="60">
        <v>270</v>
      </c>
      <c r="I15" s="58">
        <v>42265</v>
      </c>
      <c r="J15" s="59">
        <v>29.4</v>
      </c>
      <c r="K15" s="59"/>
      <c r="L15" s="59">
        <v>390</v>
      </c>
      <c r="M15" s="62">
        <v>1363000000</v>
      </c>
      <c r="N15" s="59">
        <f>8.6*6*6*0.52</f>
        <v>160.99199999999999</v>
      </c>
      <c r="O15" s="59">
        <f t="shared" si="19"/>
        <v>1609.9199999999998</v>
      </c>
      <c r="P15" s="59">
        <v>80</v>
      </c>
      <c r="Q15" s="59">
        <v>209</v>
      </c>
      <c r="R15" s="203">
        <f t="shared" si="20"/>
        <v>1.2982011528523156</v>
      </c>
      <c r="S15" s="52">
        <f t="shared" si="21"/>
        <v>2.6124999999999998</v>
      </c>
      <c r="T15" s="52">
        <f>9.6*7.4*7.4*0.52</f>
        <v>273.36192</v>
      </c>
      <c r="U15" s="53">
        <v>447.5</v>
      </c>
      <c r="V15" s="63"/>
      <c r="W15" s="124">
        <f t="shared" si="22"/>
        <v>234.62099999999998</v>
      </c>
      <c r="X15" s="124" t="e">
        <f>IF(ISBLANK(#REF!)=TRUE,"",#REF!*0.0000001+98.321)</f>
        <v>#REF!</v>
      </c>
      <c r="Y15" s="124" t="e">
        <f>IF(ISBLANK(#REF!)=TRUE,"",#REF!*0.0000001+98.321)</f>
        <v>#REF!</v>
      </c>
      <c r="Z15" s="124" t="e">
        <f>IF(ISBLANK(#REF!)=TRUE,"",#REF!*0.0000001+98.321)</f>
        <v>#REF!</v>
      </c>
      <c r="AA15" s="124" t="e">
        <f>IF(ISBLANK(#REF!)=TRUE,"",#REF!*0.0000001+98.321)</f>
        <v>#REF!</v>
      </c>
      <c r="AB15" s="124" t="e">
        <f>IF(ISBLANK(#REF!)=TRUE,"",#REF!*0.0000001+98.321)</f>
        <v>#REF!</v>
      </c>
      <c r="AC15" s="124" t="e">
        <f>IF(ISBLANK(#REF!)=TRUE,"",#REF!*0.0000001+98.321)</f>
        <v>#REF!</v>
      </c>
      <c r="AD15" s="124" t="e">
        <f>IF(ISBLANK(#REF!)=TRUE,"",#REF!*0.0000001+98.321)</f>
        <v>#REF!</v>
      </c>
      <c r="AE15" s="124" t="e">
        <f>IF(ISBLANK(#REF!)=TRUE,"",#REF!*0.0000001+98.321)</f>
        <v>#REF!</v>
      </c>
      <c r="AF15" s="124" t="e">
        <f>IF(ISBLANK(#REF!)=TRUE,"",#REF!*0.0000001+98.321)</f>
        <v>#REF!</v>
      </c>
      <c r="AG15" s="124" t="e">
        <f>IF(ISBLANK(#REF!)=TRUE,"",#REF!*0.0000001+98.321)</f>
        <v>#REF!</v>
      </c>
      <c r="AH15" s="124" t="e">
        <f>IF(ISBLANK(#REF!)=TRUE,"",#REF!*0.0000001+98.321)</f>
        <v>#REF!</v>
      </c>
      <c r="AI15" s="124" t="e">
        <f>IF(ISBLANK(#REF!)=TRUE,"",#REF!*0.0000001+98.321)</f>
        <v>#REF!</v>
      </c>
      <c r="AJ15" s="124" t="e">
        <f>IF(ISBLANK(#REF!)=TRUE,"",#REF!*0.0000001+98.321)</f>
        <v>#REF!</v>
      </c>
      <c r="AK15" s="124" t="e">
        <f>IF(ISBLANK(#REF!)=TRUE,"",#REF!*0.0000001+98.321)</f>
        <v>#REF!</v>
      </c>
      <c r="AL15" s="124" t="e">
        <f>IF(ISBLANK(#REF!)=TRUE,"",#REF!*0.0000001+98.321)</f>
        <v>#REF!</v>
      </c>
      <c r="AM15" s="124" t="e">
        <f>IF(ISBLANK(#REF!)=TRUE,"",#REF!*0.0000001+98.321)</f>
        <v>#REF!</v>
      </c>
      <c r="AN15" s="124" t="e">
        <f>IF(ISBLANK(#REF!)=TRUE,"",#REF!*0.0000001+98.321)</f>
        <v>#REF!</v>
      </c>
      <c r="AO15" s="124" t="e">
        <f>IF(ISBLANK(#REF!)=TRUE,"",#REF!*0.0000001+98.321)</f>
        <v>#REF!</v>
      </c>
      <c r="AP15" s="124" t="e">
        <f>IF(ISBLANK(#REF!)=TRUE,"",#REF!*0.0000001+98.321)</f>
        <v>#REF!</v>
      </c>
      <c r="AQ15" s="124" t="e">
        <f>IF(ISBLANK(#REF!)=TRUE,"",#REF!*0.0000001+98.321)</f>
        <v>#REF!</v>
      </c>
      <c r="AR15" s="24"/>
      <c r="AS15" s="111">
        <f t="shared" si="23"/>
        <v>1</v>
      </c>
      <c r="AT15" s="111" t="str">
        <f t="shared" si="24"/>
        <v/>
      </c>
      <c r="AU15" s="111" t="str">
        <f t="shared" si="25"/>
        <v/>
      </c>
      <c r="AV15" s="111" t="str">
        <f t="shared" si="26"/>
        <v/>
      </c>
      <c r="AW15" s="111" t="str">
        <f t="shared" si="27"/>
        <v/>
      </c>
      <c r="AX15" s="111" t="str">
        <f t="shared" si="28"/>
        <v/>
      </c>
      <c r="AY15" s="111" t="str">
        <f t="shared" si="29"/>
        <v/>
      </c>
      <c r="AZ15" s="111" t="str">
        <f t="shared" si="30"/>
        <v/>
      </c>
      <c r="BA15" s="111" t="str">
        <f t="shared" si="31"/>
        <v/>
      </c>
      <c r="BB15" s="111" t="str">
        <f t="shared" si="32"/>
        <v/>
      </c>
      <c r="BC15" s="111" t="str">
        <f t="shared" si="33"/>
        <v/>
      </c>
      <c r="BD15" s="111" t="str">
        <f t="shared" si="34"/>
        <v/>
      </c>
      <c r="BE15" s="111" t="str">
        <f t="shared" si="35"/>
        <v/>
      </c>
      <c r="BF15" s="111" t="str">
        <f t="shared" si="36"/>
        <v/>
      </c>
      <c r="BG15" s="111" t="str">
        <f t="shared" si="37"/>
        <v/>
      </c>
      <c r="BH15" s="111" t="str">
        <f t="shared" si="38"/>
        <v/>
      </c>
      <c r="BI15" s="111" t="str">
        <f t="shared" si="39"/>
        <v/>
      </c>
      <c r="BJ15" s="111" t="str">
        <f t="shared" si="40"/>
        <v/>
      </c>
      <c r="BK15" s="111" t="str">
        <f t="shared" si="41"/>
        <v/>
      </c>
      <c r="BL15" s="111" t="str">
        <f t="shared" si="42"/>
        <v/>
      </c>
      <c r="BM15" s="111" t="str">
        <f t="shared" si="43"/>
        <v/>
      </c>
      <c r="BN15" s="25"/>
    </row>
    <row r="16" spans="1:66" ht="15.75">
      <c r="A16" s="64"/>
      <c r="B16" s="23">
        <v>41</v>
      </c>
      <c r="C16" s="50"/>
      <c r="D16" s="23" t="s">
        <v>43</v>
      </c>
      <c r="E16" s="212" t="s">
        <v>44</v>
      </c>
      <c r="F16" s="58">
        <v>42244</v>
      </c>
      <c r="G16" s="59">
        <v>27.3</v>
      </c>
      <c r="H16" s="60">
        <v>270</v>
      </c>
      <c r="I16" s="58">
        <v>42265</v>
      </c>
      <c r="J16" s="59">
        <v>29.6</v>
      </c>
      <c r="K16" s="61"/>
      <c r="L16" s="52">
        <v>300</v>
      </c>
      <c r="M16" s="62">
        <v>268900000</v>
      </c>
      <c r="N16" s="59">
        <f>7.7*5.4*5.4*0.52</f>
        <v>116.75664000000002</v>
      </c>
      <c r="O16" s="59">
        <f t="shared" si="19"/>
        <v>1167.5664000000002</v>
      </c>
      <c r="P16" s="59">
        <v>37.1</v>
      </c>
      <c r="Q16" s="59">
        <v>135</v>
      </c>
      <c r="R16" s="203">
        <f t="shared" si="20"/>
        <v>1.1562511562511562</v>
      </c>
      <c r="S16" s="52">
        <f t="shared" si="21"/>
        <v>3.6388140161725064</v>
      </c>
      <c r="T16" s="52"/>
      <c r="U16" s="53"/>
      <c r="V16" s="63"/>
      <c r="W16" s="124">
        <f t="shared" ref="W16" si="44">M16*0.0000001+98.321</f>
        <v>125.211</v>
      </c>
      <c r="X16" s="124" t="e">
        <f>IF(ISBLANK(#REF!)=TRUE,"",#REF!*0.0000001+98.321)</f>
        <v>#REF!</v>
      </c>
      <c r="Y16" s="124" t="e">
        <f>IF(ISBLANK(#REF!)=TRUE,"",#REF!*0.0000001+98.321)</f>
        <v>#REF!</v>
      </c>
      <c r="Z16" s="124" t="e">
        <f>IF(ISBLANK(#REF!)=TRUE,"",#REF!*0.0000001+98.321)</f>
        <v>#REF!</v>
      </c>
      <c r="AA16" s="124" t="e">
        <f>IF(ISBLANK(#REF!)=TRUE,"",#REF!*0.0000001+98.321)</f>
        <v>#REF!</v>
      </c>
      <c r="AB16" s="124" t="e">
        <f>IF(ISBLANK(#REF!)=TRUE,"",#REF!*0.0000001+98.321)</f>
        <v>#REF!</v>
      </c>
      <c r="AC16" s="124" t="e">
        <f>IF(ISBLANK(#REF!)=TRUE,"",#REF!*0.0000001+98.321)</f>
        <v>#REF!</v>
      </c>
      <c r="AD16" s="124" t="e">
        <f>IF(ISBLANK(#REF!)=TRUE,"",#REF!*0.0000001+98.321)</f>
        <v>#REF!</v>
      </c>
      <c r="AE16" s="124" t="e">
        <f>IF(ISBLANK(#REF!)=TRUE,"",#REF!*0.0000001+98.321)</f>
        <v>#REF!</v>
      </c>
      <c r="AF16" s="124" t="e">
        <f>IF(ISBLANK(#REF!)=TRUE,"",#REF!*0.0000001+98.321)</f>
        <v>#REF!</v>
      </c>
      <c r="AG16" s="124" t="e">
        <f>IF(ISBLANK(#REF!)=TRUE,"",#REF!*0.0000001+98.321)</f>
        <v>#REF!</v>
      </c>
      <c r="AH16" s="124" t="e">
        <f>IF(ISBLANK(#REF!)=TRUE,"",#REF!*0.0000001+98.321)</f>
        <v>#REF!</v>
      </c>
      <c r="AI16" s="124" t="e">
        <f>IF(ISBLANK(#REF!)=TRUE,"",#REF!*0.0000001+98.321)</f>
        <v>#REF!</v>
      </c>
      <c r="AJ16" s="124" t="e">
        <f>IF(ISBLANK(#REF!)=TRUE,"",#REF!*0.0000001+98.321)</f>
        <v>#REF!</v>
      </c>
      <c r="AK16" s="124" t="e">
        <f>IF(ISBLANK(#REF!)=TRUE,"",#REF!*0.0000001+98.321)</f>
        <v>#REF!</v>
      </c>
      <c r="AL16" s="124" t="e">
        <f>IF(ISBLANK(#REF!)=TRUE,"",#REF!*0.0000001+98.321)</f>
        <v>#REF!</v>
      </c>
      <c r="AM16" s="124" t="e">
        <f>IF(ISBLANK(#REF!)=TRUE,"",#REF!*0.0000001+98.321)</f>
        <v>#REF!</v>
      </c>
      <c r="AN16" s="124" t="e">
        <f>IF(ISBLANK(#REF!)=TRUE,"",#REF!*0.0000001+98.321)</f>
        <v>#REF!</v>
      </c>
      <c r="AO16" s="124" t="e">
        <f>IF(ISBLANK(#REF!)=TRUE,"",#REF!*0.0000001+98.321)</f>
        <v>#REF!</v>
      </c>
      <c r="AP16" s="124" t="e">
        <f>IF(ISBLANK(#REF!)=TRUE,"",#REF!*0.0000001+98.321)</f>
        <v>#REF!</v>
      </c>
      <c r="AQ16" s="124" t="e">
        <f>IF(ISBLANK(#REF!)=TRUE,"",#REF!*0.0000001+98.321)</f>
        <v>#REF!</v>
      </c>
      <c r="AR16" s="24"/>
      <c r="AS16" s="111">
        <f t="shared" si="23"/>
        <v>1</v>
      </c>
      <c r="AT16" s="111" t="str">
        <f t="shared" si="24"/>
        <v/>
      </c>
      <c r="AU16" s="111" t="str">
        <f t="shared" si="25"/>
        <v/>
      </c>
      <c r="AV16" s="111" t="str">
        <f t="shared" si="26"/>
        <v/>
      </c>
      <c r="AW16" s="111" t="str">
        <f t="shared" si="27"/>
        <v/>
      </c>
      <c r="AX16" s="111" t="str">
        <f t="shared" si="28"/>
        <v/>
      </c>
      <c r="AY16" s="111" t="str">
        <f t="shared" si="29"/>
        <v/>
      </c>
      <c r="AZ16" s="111" t="str">
        <f t="shared" si="30"/>
        <v/>
      </c>
      <c r="BA16" s="111" t="str">
        <f t="shared" si="31"/>
        <v/>
      </c>
      <c r="BB16" s="111" t="str">
        <f t="shared" si="32"/>
        <v/>
      </c>
      <c r="BC16" s="111" t="str">
        <f t="shared" si="33"/>
        <v/>
      </c>
      <c r="BD16" s="111" t="str">
        <f t="shared" si="34"/>
        <v/>
      </c>
      <c r="BE16" s="111" t="str">
        <f t="shared" si="35"/>
        <v/>
      </c>
      <c r="BF16" s="111" t="str">
        <f t="shared" si="36"/>
        <v/>
      </c>
      <c r="BG16" s="111" t="str">
        <f t="shared" si="37"/>
        <v/>
      </c>
      <c r="BH16" s="111" t="str">
        <f t="shared" si="38"/>
        <v/>
      </c>
      <c r="BI16" s="111" t="str">
        <f t="shared" si="39"/>
        <v/>
      </c>
      <c r="BJ16" s="111" t="str">
        <f t="shared" si="40"/>
        <v/>
      </c>
      <c r="BK16" s="111" t="str">
        <f t="shared" si="41"/>
        <v/>
      </c>
      <c r="BL16" s="111" t="str">
        <f t="shared" si="42"/>
        <v/>
      </c>
      <c r="BM16" s="111" t="str">
        <f t="shared" si="43"/>
        <v/>
      </c>
      <c r="BN16" s="25"/>
    </row>
    <row r="17" spans="1:66" ht="15.75">
      <c r="A17" s="64"/>
      <c r="B17" s="23">
        <v>42</v>
      </c>
      <c r="C17" s="50"/>
      <c r="D17" s="23" t="s">
        <v>43</v>
      </c>
      <c r="E17" s="212" t="s">
        <v>44</v>
      </c>
      <c r="F17" s="58">
        <v>42244</v>
      </c>
      <c r="G17" s="59">
        <v>29.9</v>
      </c>
      <c r="H17" s="60">
        <v>300</v>
      </c>
      <c r="I17" s="58">
        <v>42265</v>
      </c>
      <c r="J17" s="59">
        <v>33.799999999999997</v>
      </c>
      <c r="K17" s="61"/>
      <c r="L17" s="52">
        <v>480</v>
      </c>
      <c r="M17" s="62">
        <v>2709000000</v>
      </c>
      <c r="N17" s="59">
        <f>7.3*6.7*6.7*0.52</f>
        <v>170.40244000000001</v>
      </c>
      <c r="O17" s="59">
        <f t="shared" si="19"/>
        <v>1704.0244000000002</v>
      </c>
      <c r="P17" s="59">
        <v>54</v>
      </c>
      <c r="Q17" s="59">
        <v>340</v>
      </c>
      <c r="R17" s="203">
        <f t="shared" si="20"/>
        <v>1.9952765934572296</v>
      </c>
      <c r="S17" s="52">
        <f t="shared" si="21"/>
        <v>6.2962962962962967</v>
      </c>
      <c r="T17" s="52"/>
      <c r="U17" s="53">
        <f>562</f>
        <v>562</v>
      </c>
      <c r="V17" s="63"/>
      <c r="W17" s="124">
        <f t="shared" si="22"/>
        <v>369.221</v>
      </c>
      <c r="X17" s="124" t="e">
        <f>IF(ISBLANK(#REF!)=TRUE,"",#REF!*0.0000001+98.321)</f>
        <v>#REF!</v>
      </c>
      <c r="Y17" s="124" t="e">
        <f>IF(ISBLANK(#REF!)=TRUE,"",#REF!*0.0000001+98.321)</f>
        <v>#REF!</v>
      </c>
      <c r="Z17" s="124" t="e">
        <f>IF(ISBLANK(#REF!)=TRUE,"",#REF!*0.0000001+98.321)</f>
        <v>#REF!</v>
      </c>
      <c r="AA17" s="124" t="e">
        <f>IF(ISBLANK(#REF!)=TRUE,"",#REF!*0.0000001+98.321)</f>
        <v>#REF!</v>
      </c>
      <c r="AB17" s="124" t="e">
        <f>IF(ISBLANK(#REF!)=TRUE,"",#REF!*0.0000001+98.321)</f>
        <v>#REF!</v>
      </c>
      <c r="AC17" s="124" t="e">
        <f>IF(ISBLANK(#REF!)=TRUE,"",#REF!*0.0000001+98.321)</f>
        <v>#REF!</v>
      </c>
      <c r="AD17" s="130" t="e">
        <f>IF(ISBLANK(#REF!)=TRUE,"",#REF!*0.0000001+98.321)</f>
        <v>#REF!</v>
      </c>
      <c r="AE17" s="130" t="e">
        <f>IF(ISBLANK(#REF!)=TRUE,"",#REF!*0.0000001+98.321)</f>
        <v>#REF!</v>
      </c>
      <c r="AF17" s="130" t="e">
        <f>IF(ISBLANK(#REF!)=TRUE,"",#REF!*0.0000001+98.321)</f>
        <v>#REF!</v>
      </c>
      <c r="AG17" s="130" t="e">
        <f>IF(ISBLANK(#REF!)=TRUE,"",#REF!*0.0000001+98.321)</f>
        <v>#REF!</v>
      </c>
      <c r="AH17" s="130" t="e">
        <f>IF(ISBLANK(#REF!)=TRUE,"",#REF!*0.0000001+98.321)</f>
        <v>#REF!</v>
      </c>
      <c r="AI17" s="130" t="e">
        <f>IF(ISBLANK(#REF!)=TRUE,"",#REF!*0.0000001+98.321)</f>
        <v>#REF!</v>
      </c>
      <c r="AJ17" s="130" t="e">
        <f>IF(ISBLANK(#REF!)=TRUE,"",#REF!*0.0000001+98.321)</f>
        <v>#REF!</v>
      </c>
      <c r="AK17" s="130" t="e">
        <f>IF(ISBLANK(#REF!)=TRUE,"",#REF!*0.0000001+98.321)</f>
        <v>#REF!</v>
      </c>
      <c r="AL17" s="130" t="e">
        <f>IF(ISBLANK(#REF!)=TRUE,"",#REF!*0.0000001+98.321)</f>
        <v>#REF!</v>
      </c>
      <c r="AM17" s="130" t="e">
        <f>IF(ISBLANK(#REF!)=TRUE,"",#REF!*0.0000001+98.321)</f>
        <v>#REF!</v>
      </c>
      <c r="AN17" s="130" t="e">
        <f>IF(ISBLANK(#REF!)=TRUE,"",#REF!*0.0000001+98.321)</f>
        <v>#REF!</v>
      </c>
      <c r="AO17" s="130" t="e">
        <f>IF(ISBLANK(#REF!)=TRUE,"",#REF!*0.0000001+98.321)</f>
        <v>#REF!</v>
      </c>
      <c r="AP17" s="130" t="e">
        <f>IF(ISBLANK(#REF!)=TRUE,"",#REF!*0.0000001+98.321)</f>
        <v>#REF!</v>
      </c>
      <c r="AQ17" s="222" t="e">
        <f>IF(ISBLANK(#REF!)=TRUE,"",#REF!*0.0000001+98.321)</f>
        <v>#REF!</v>
      </c>
      <c r="AR17" s="24"/>
      <c r="AS17" s="111">
        <f t="shared" si="23"/>
        <v>1</v>
      </c>
      <c r="AT17" s="111" t="str">
        <f t="shared" si="24"/>
        <v/>
      </c>
      <c r="AU17" s="111" t="str">
        <f t="shared" si="25"/>
        <v/>
      </c>
      <c r="AV17" s="111" t="str">
        <f t="shared" si="26"/>
        <v/>
      </c>
      <c r="AW17" s="111" t="str">
        <f t="shared" si="27"/>
        <v/>
      </c>
      <c r="AX17" s="111" t="str">
        <f t="shared" si="28"/>
        <v/>
      </c>
      <c r="AY17" s="111" t="str">
        <f t="shared" si="29"/>
        <v/>
      </c>
      <c r="AZ17" s="111" t="str">
        <f t="shared" si="30"/>
        <v/>
      </c>
      <c r="BA17" s="111" t="str">
        <f t="shared" si="31"/>
        <v/>
      </c>
      <c r="BB17" s="111" t="str">
        <f t="shared" si="32"/>
        <v/>
      </c>
      <c r="BC17" s="111" t="str">
        <f t="shared" si="33"/>
        <v/>
      </c>
      <c r="BD17" s="111" t="str">
        <f t="shared" si="34"/>
        <v/>
      </c>
      <c r="BE17" s="111" t="str">
        <f t="shared" si="35"/>
        <v/>
      </c>
      <c r="BF17" s="111" t="str">
        <f t="shared" si="36"/>
        <v/>
      </c>
      <c r="BG17" s="111" t="str">
        <f t="shared" si="37"/>
        <v/>
      </c>
      <c r="BH17" s="111" t="str">
        <f t="shared" si="38"/>
        <v/>
      </c>
      <c r="BI17" s="111" t="str">
        <f t="shared" si="39"/>
        <v/>
      </c>
      <c r="BJ17" s="111" t="str">
        <f t="shared" si="40"/>
        <v/>
      </c>
      <c r="BK17" s="111" t="str">
        <f t="shared" si="41"/>
        <v/>
      </c>
      <c r="BL17" s="111" t="str">
        <f t="shared" si="42"/>
        <v/>
      </c>
      <c r="BM17" s="111" t="str">
        <f t="shared" si="43"/>
        <v/>
      </c>
      <c r="BN17" s="25"/>
    </row>
    <row r="18" spans="1:66">
      <c r="A18" s="64"/>
      <c r="B18" s="23">
        <v>43</v>
      </c>
      <c r="C18" s="50"/>
      <c r="D18" s="23" t="s">
        <v>43</v>
      </c>
      <c r="E18" s="213" t="s">
        <v>47</v>
      </c>
      <c r="F18" s="58">
        <v>42244</v>
      </c>
      <c r="G18" s="59">
        <v>27.9</v>
      </c>
      <c r="H18" s="60">
        <v>280</v>
      </c>
      <c r="I18" s="58">
        <v>42265</v>
      </c>
      <c r="J18" s="59">
        <v>30</v>
      </c>
      <c r="K18" s="61"/>
      <c r="L18" s="52" t="s">
        <v>48</v>
      </c>
      <c r="M18" s="62">
        <v>672600000</v>
      </c>
      <c r="N18" s="59"/>
      <c r="O18" s="59">
        <f t="shared" si="19"/>
        <v>0</v>
      </c>
      <c r="P18" s="59">
        <v>0</v>
      </c>
      <c r="Q18" s="59">
        <v>0</v>
      </c>
      <c r="R18" s="203" t="e">
        <f t="shared" si="20"/>
        <v>#DIV/0!</v>
      </c>
      <c r="S18" s="52" t="e">
        <f t="shared" si="21"/>
        <v>#DIV/0!</v>
      </c>
      <c r="T18" s="52">
        <f>9.5*8.7*8.7*0.52</f>
        <v>373.90859999999992</v>
      </c>
      <c r="U18" s="53">
        <v>377</v>
      </c>
      <c r="V18" s="63"/>
      <c r="W18" s="174">
        <f t="shared" si="22"/>
        <v>165.58099999999999</v>
      </c>
      <c r="X18" s="130" t="e">
        <f>IF(ISBLANK(#REF!)=TRUE,"",#REF!*0.0000001+98.321)</f>
        <v>#REF!</v>
      </c>
      <c r="Y18" s="130" t="e">
        <f>IF(ISBLANK(#REF!)=TRUE,"",#REF!*0.0000001+98.321)</f>
        <v>#REF!</v>
      </c>
      <c r="Z18" s="130" t="e">
        <f>IF(ISBLANK(#REF!)=TRUE,"",#REF!*0.0000001+98.321)</f>
        <v>#REF!</v>
      </c>
      <c r="AA18" s="130" t="e">
        <f>IF(ISBLANK(#REF!)=TRUE,"",#REF!*0.0000001+98.321)</f>
        <v>#REF!</v>
      </c>
      <c r="AB18" s="130" t="e">
        <f>IF(ISBLANK(#REF!)=TRUE,"",#REF!*0.0000001+98.321)</f>
        <v>#REF!</v>
      </c>
      <c r="AC18" s="130" t="e">
        <f>IF(ISBLANK(#REF!)=TRUE,"",#REF!*0.0000001+98.321)</f>
        <v>#REF!</v>
      </c>
      <c r="AD18" s="124" t="e">
        <f>IF(ISBLANK(#REF!)=TRUE,"",#REF!*0.0000001+98.321)</f>
        <v>#REF!</v>
      </c>
      <c r="AE18" s="124" t="e">
        <f>IF(ISBLANK(#REF!)=TRUE,"",#REF!*0.0000001+98.321)</f>
        <v>#REF!</v>
      </c>
      <c r="AF18" s="124" t="e">
        <f>IF(ISBLANK(#REF!)=TRUE,"",#REF!*0.0000001+98.321)</f>
        <v>#REF!</v>
      </c>
      <c r="AG18" s="124" t="e">
        <f>IF(ISBLANK(#REF!)=TRUE,"",#REF!*0.0000001+98.321)</f>
        <v>#REF!</v>
      </c>
      <c r="AH18" s="124" t="e">
        <f>IF(ISBLANK(#REF!)=TRUE,"",#REF!*0.0000001+98.321)</f>
        <v>#REF!</v>
      </c>
      <c r="AI18" s="124" t="e">
        <f>IF(ISBLANK(#REF!)=TRUE,"",#REF!*0.0000001+98.321)</f>
        <v>#REF!</v>
      </c>
      <c r="AJ18" s="124" t="e">
        <f>IF(ISBLANK(#REF!)=TRUE,"",#REF!*0.0000001+98.321)</f>
        <v>#REF!</v>
      </c>
      <c r="AK18" s="124" t="e">
        <f>IF(ISBLANK(#REF!)=TRUE,"",#REF!*0.0000001+98.321)</f>
        <v>#REF!</v>
      </c>
      <c r="AL18" s="124" t="e">
        <f>IF(ISBLANK(#REF!)=TRUE,"",#REF!*0.0000001+98.321)</f>
        <v>#REF!</v>
      </c>
      <c r="AM18" s="124" t="e">
        <f>IF(ISBLANK(#REF!)=TRUE,"",#REF!*0.0000001+98.321)</f>
        <v>#REF!</v>
      </c>
      <c r="AN18" s="124" t="e">
        <f>IF(ISBLANK(#REF!)=TRUE,"",#REF!*0.0000001+98.321)</f>
        <v>#REF!</v>
      </c>
      <c r="AO18" s="124" t="e">
        <f>IF(ISBLANK(#REF!)=TRUE,"",#REF!*0.0000001+98.321)</f>
        <v>#REF!</v>
      </c>
      <c r="AP18" s="124" t="e">
        <f>IF(ISBLANK(#REF!)=TRUE,"",#REF!*0.0000001+98.321)</f>
        <v>#REF!</v>
      </c>
      <c r="AQ18" s="223" t="e">
        <f>IF(ISBLANK(#REF!)=TRUE,"",#REF!*0.0000001+98.321)</f>
        <v>#REF!</v>
      </c>
      <c r="AR18" s="24"/>
      <c r="AS18" s="129">
        <f t="shared" si="23"/>
        <v>1</v>
      </c>
      <c r="AT18" s="129" t="str">
        <f t="shared" si="24"/>
        <v/>
      </c>
      <c r="AU18" s="129" t="str">
        <f t="shared" si="25"/>
        <v/>
      </c>
      <c r="AV18" s="129" t="str">
        <f t="shared" si="26"/>
        <v/>
      </c>
      <c r="AW18" s="129" t="str">
        <f t="shared" si="27"/>
        <v/>
      </c>
      <c r="AX18" s="129" t="str">
        <f t="shared" si="28"/>
        <v/>
      </c>
      <c r="AY18" s="129" t="str">
        <f t="shared" si="29"/>
        <v/>
      </c>
      <c r="AZ18" s="129" t="str">
        <f t="shared" si="30"/>
        <v/>
      </c>
      <c r="BA18" s="129" t="str">
        <f t="shared" si="31"/>
        <v/>
      </c>
      <c r="BB18" s="129" t="str">
        <f t="shared" si="32"/>
        <v/>
      </c>
      <c r="BC18" s="129" t="str">
        <f t="shared" si="33"/>
        <v/>
      </c>
      <c r="BD18" s="129" t="str">
        <f t="shared" si="34"/>
        <v/>
      </c>
      <c r="BE18" s="129" t="str">
        <f t="shared" si="35"/>
        <v/>
      </c>
      <c r="BF18" s="129" t="str">
        <f t="shared" si="36"/>
        <v/>
      </c>
      <c r="BG18" s="129" t="str">
        <f t="shared" si="37"/>
        <v/>
      </c>
      <c r="BH18" s="129" t="str">
        <f t="shared" si="38"/>
        <v/>
      </c>
      <c r="BI18" s="129" t="str">
        <f t="shared" si="39"/>
        <v/>
      </c>
      <c r="BJ18" s="129" t="str">
        <f t="shared" si="40"/>
        <v/>
      </c>
      <c r="BK18" s="129" t="str">
        <f t="shared" si="41"/>
        <v/>
      </c>
      <c r="BL18" s="129" t="str">
        <f t="shared" si="42"/>
        <v/>
      </c>
      <c r="BM18" s="184" t="str">
        <f t="shared" si="43"/>
        <v/>
      </c>
      <c r="BN18" s="25"/>
    </row>
    <row r="19" spans="1:66" ht="15.75">
      <c r="A19" s="64"/>
      <c r="B19" s="23">
        <v>44</v>
      </c>
      <c r="C19" s="50"/>
      <c r="D19" s="23" t="s">
        <v>43</v>
      </c>
      <c r="E19" s="212" t="s">
        <v>44</v>
      </c>
      <c r="F19" s="58">
        <v>42244</v>
      </c>
      <c r="G19" s="59">
        <v>25.4</v>
      </c>
      <c r="H19" s="60">
        <v>250</v>
      </c>
      <c r="I19" s="58">
        <v>42265</v>
      </c>
      <c r="J19" s="59">
        <v>28</v>
      </c>
      <c r="K19" s="61"/>
      <c r="L19" s="52">
        <v>280</v>
      </c>
      <c r="M19" s="62">
        <v>7068000000</v>
      </c>
      <c r="N19" s="59">
        <f>11.8*7.7*7.7*0.52</f>
        <v>363.80344000000002</v>
      </c>
      <c r="O19" s="59">
        <f t="shared" ref="O19" si="45">N19*10</f>
        <v>3638.0344000000005</v>
      </c>
      <c r="P19" s="59">
        <v>115</v>
      </c>
      <c r="Q19" s="59">
        <v>310</v>
      </c>
      <c r="R19" s="203">
        <f t="shared" ref="R19" si="46">Q19/N19</f>
        <v>0.85210849023307744</v>
      </c>
      <c r="S19" s="52">
        <f t="shared" ref="S19" si="47">Q19/P19</f>
        <v>2.6956521739130435</v>
      </c>
      <c r="T19" s="52"/>
      <c r="U19" s="52"/>
      <c r="V19" s="63"/>
      <c r="W19" s="124">
        <f t="shared" ref="W19" si="48">M19*0.0000001+98.321</f>
        <v>805.12099999999998</v>
      </c>
      <c r="X19" s="124" t="e">
        <f>IF(ISBLANK(#REF!)=TRUE,"",#REF!*0.0000001+98.321)</f>
        <v>#REF!</v>
      </c>
      <c r="Y19" s="124" t="e">
        <f>IF(ISBLANK(#REF!)=TRUE,"",#REF!*0.0000001+98.321)</f>
        <v>#REF!</v>
      </c>
      <c r="Z19" s="124" t="e">
        <f>IF(ISBLANK(#REF!)=TRUE,"",#REF!*0.0000001+98.321)</f>
        <v>#REF!</v>
      </c>
      <c r="AA19" s="124" t="e">
        <f>IF(ISBLANK(#REF!)=TRUE,"",#REF!*0.0000001+98.321)</f>
        <v>#REF!</v>
      </c>
      <c r="AB19" s="124" t="e">
        <f>IF(ISBLANK(#REF!)=TRUE,"",#REF!*0.0000001+98.321)</f>
        <v>#REF!</v>
      </c>
      <c r="AC19" s="124" t="e">
        <f>IF(ISBLANK(#REF!)=TRUE,"",#REF!*0.0000001+98.321)</f>
        <v>#REF!</v>
      </c>
      <c r="AD19" s="124" t="e">
        <f>IF(ISBLANK(#REF!)=TRUE,"",#REF!*0.0000001+98.321)</f>
        <v>#REF!</v>
      </c>
      <c r="AE19" s="124" t="e">
        <f>IF(ISBLANK(#REF!)=TRUE,"",#REF!*0.0000001+98.321)</f>
        <v>#REF!</v>
      </c>
      <c r="AF19" s="124" t="e">
        <f>IF(ISBLANK(#REF!)=TRUE,"",#REF!*0.0000001+98.321)</f>
        <v>#REF!</v>
      </c>
      <c r="AG19" s="124" t="e">
        <f>IF(ISBLANK(#REF!)=TRUE,"",#REF!*0.0000001+98.321)</f>
        <v>#REF!</v>
      </c>
      <c r="AH19" s="124" t="e">
        <f>IF(ISBLANK(#REF!)=TRUE,"",#REF!*0.0000001+98.321)</f>
        <v>#REF!</v>
      </c>
      <c r="AI19" s="124" t="e">
        <f>IF(ISBLANK(#REF!)=TRUE,"",#REF!*0.0000001+98.321)</f>
        <v>#REF!</v>
      </c>
      <c r="AJ19" s="124" t="e">
        <f>IF(ISBLANK(#REF!)=TRUE,"",#REF!*0.0000001+98.321)</f>
        <v>#REF!</v>
      </c>
      <c r="AK19" s="124" t="e">
        <f>IF(ISBLANK(#REF!)=TRUE,"",#REF!*0.0000001+98.321)</f>
        <v>#REF!</v>
      </c>
      <c r="AL19" s="124" t="e">
        <f>IF(ISBLANK(#REF!)=TRUE,"",#REF!*0.0000001+98.321)</f>
        <v>#REF!</v>
      </c>
      <c r="AM19" s="124" t="e">
        <f>IF(ISBLANK(#REF!)=TRUE,"",#REF!*0.0000001+98.321)</f>
        <v>#REF!</v>
      </c>
      <c r="AN19" s="124" t="e">
        <f>IF(ISBLANK(#REF!)=TRUE,"",#REF!*0.0000001+98.321)</f>
        <v>#REF!</v>
      </c>
      <c r="AO19" s="124" t="e">
        <f>IF(ISBLANK(#REF!)=TRUE,"",#REF!*0.0000001+98.321)</f>
        <v>#REF!</v>
      </c>
      <c r="AP19" s="124" t="e">
        <f>IF(ISBLANK(#REF!)=TRUE,"",#REF!*0.0000001+98.321)</f>
        <v>#REF!</v>
      </c>
      <c r="AQ19" s="223" t="e">
        <f>IF(ISBLANK(#REF!)=TRUE,"",#REF!*0.0000001+98.321)</f>
        <v>#REF!</v>
      </c>
      <c r="AR19" s="24"/>
      <c r="AS19" s="111">
        <f t="shared" ref="AS19:AS31" si="49">IF(OR(ISERROR(W19/$W19)=TRUE,ISBLANK(W19)=TRUE),"",W19/$W19)</f>
        <v>1</v>
      </c>
      <c r="AT19" s="111" t="str">
        <f t="shared" ref="AT19:AT31" si="50">IF(OR(ISERROR(X19/$W19)=TRUE,ISBLANK(X19)=TRUE),"",X19/$W19)</f>
        <v/>
      </c>
      <c r="AU19" s="111" t="str">
        <f t="shared" ref="AU19:AU31" si="51">IF(OR(ISERROR(Y19/$W19)=TRUE,ISBLANK(Y19)=TRUE),"",Y19/$W19)</f>
        <v/>
      </c>
      <c r="AV19" s="111" t="str">
        <f t="shared" ref="AV19:AV31" si="52">IF(OR(ISERROR(Z19/$W19)=TRUE,ISBLANK(Z19)=TRUE),"",Z19/$W19)</f>
        <v/>
      </c>
      <c r="AW19" s="111" t="str">
        <f t="shared" ref="AW19:AW31" si="53">IF(OR(ISERROR(AA19/$W19)=TRUE,ISBLANK(AA19)=TRUE),"",AA19/$W19)</f>
        <v/>
      </c>
      <c r="AX19" s="111" t="str">
        <f t="shared" ref="AX19:AX31" si="54">IF(OR(ISERROR(AB19/$W19)=TRUE,ISBLANK(AB19)=TRUE),"",AB19/$W19)</f>
        <v/>
      </c>
      <c r="AY19" s="111" t="str">
        <f t="shared" ref="AY19:AY31" si="55">IF(OR(ISERROR(AC19/$W19)=TRUE,ISBLANK(AC19)=TRUE),"",AC19/$W19)</f>
        <v/>
      </c>
      <c r="AZ19" s="111" t="str">
        <f t="shared" ref="AZ19:AZ31" si="56">IF(OR(ISERROR(AD19/$W19)=TRUE,ISBLANK(AD19)=TRUE),"",AD19/$W19)</f>
        <v/>
      </c>
      <c r="BA19" s="111" t="str">
        <f t="shared" ref="BA19:BA31" si="57">IF(OR(ISERROR(AE19/$W19)=TRUE,ISBLANK(AE19)=TRUE),"",AE19/$W19)</f>
        <v/>
      </c>
      <c r="BB19" s="111" t="str">
        <f t="shared" ref="BB19:BB31" si="58">IF(OR(ISERROR(AF19/$W19)=TRUE,ISBLANK(AF19)=TRUE),"",AF19/$W19)</f>
        <v/>
      </c>
      <c r="BC19" s="111" t="str">
        <f t="shared" ref="BC19:BC31" si="59">IF(OR(ISERROR(AG19/$W19)=TRUE,ISBLANK(AG19)=TRUE),"",AG19/$W19)</f>
        <v/>
      </c>
      <c r="BD19" s="111" t="str">
        <f t="shared" ref="BD19:BD31" si="60">IF(OR(ISERROR(AH19/$W19)=TRUE,ISBLANK(AH19)=TRUE),"",AH19/$W19)</f>
        <v/>
      </c>
      <c r="BE19" s="111" t="str">
        <f t="shared" ref="BE19:BE31" si="61">IF(OR(ISERROR(AI19/$W19)=TRUE,ISBLANK(AI19)=TRUE),"",AI19/$W19)</f>
        <v/>
      </c>
      <c r="BF19" s="111" t="str">
        <f t="shared" ref="BF19:BF31" si="62">IF(OR(ISERROR(AJ19/$W19)=TRUE,ISBLANK(AJ19)=TRUE),"",AJ19/$W19)</f>
        <v/>
      </c>
      <c r="BG19" s="111" t="str">
        <f t="shared" ref="BG19:BG31" si="63">IF(OR(ISERROR(AK19/$W19)=TRUE,ISBLANK(AK19)=TRUE),"",AK19/$W19)</f>
        <v/>
      </c>
      <c r="BH19" s="111" t="str">
        <f t="shared" ref="BH19:BH31" si="64">IF(OR(ISERROR(AL19/$W19)=TRUE,ISBLANK(AL19)=TRUE),"",AL19/$W19)</f>
        <v/>
      </c>
      <c r="BI19" s="111" t="str">
        <f t="shared" ref="BI19:BI31" si="65">IF(OR(ISERROR(AM19/$W19)=TRUE,ISBLANK(AM19)=TRUE),"",AM19/$W19)</f>
        <v/>
      </c>
      <c r="BJ19" s="111" t="str">
        <f t="shared" ref="BJ19:BJ31" si="66">IF(OR(ISERROR(AN19/$W19)=TRUE,ISBLANK(AN19)=TRUE),"",AN19/$W19)</f>
        <v/>
      </c>
      <c r="BK19" s="111" t="str">
        <f t="shared" ref="BK19:BK31" si="67">IF(OR(ISERROR(AO19/$W19)=TRUE,ISBLANK(AO19)=TRUE),"",AO19/$W19)</f>
        <v/>
      </c>
      <c r="BL19" s="111" t="str">
        <f t="shared" ref="BL19:BL31" si="68">IF(OR(ISERROR(AP19/$W19)=TRUE,ISBLANK(AP19)=TRUE),"",AP19/$W19)</f>
        <v/>
      </c>
      <c r="BM19" s="171" t="str">
        <f t="shared" ref="BM19:BM31" si="69">IF(OR(ISERROR(AQ19/$W19)=TRUE,ISBLANK(AQ19)=TRUE),"",AQ19/$W19)</f>
        <v/>
      </c>
      <c r="BN19" s="25"/>
    </row>
    <row r="20" spans="1:66">
      <c r="A20" s="64"/>
      <c r="B20" s="23"/>
      <c r="C20" s="50"/>
      <c r="D20" s="23"/>
      <c r="E20" s="212"/>
      <c r="F20" s="58"/>
      <c r="G20" s="59"/>
      <c r="H20" s="60"/>
      <c r="I20" s="58"/>
      <c r="J20" s="59"/>
      <c r="K20" s="61"/>
      <c r="L20" s="52"/>
      <c r="M20" s="62"/>
      <c r="N20" s="59"/>
      <c r="O20" s="59"/>
      <c r="P20" s="59"/>
      <c r="Q20" s="59"/>
      <c r="R20" s="203"/>
      <c r="S20" s="52"/>
      <c r="T20" s="52"/>
      <c r="U20" s="52"/>
      <c r="V20" s="63"/>
      <c r="W20" s="124">
        <f t="shared" ref="W20:W31" si="70">M20*0.0000001+98.321</f>
        <v>98.320999999999998</v>
      </c>
      <c r="X20" s="124" t="e">
        <f>IF(ISBLANK(#REF!)=TRUE,"",#REF!*0.0000001+98.321)</f>
        <v>#REF!</v>
      </c>
      <c r="Y20" s="124" t="e">
        <f>IF(ISBLANK(#REF!)=TRUE,"",#REF!*0.0000001+98.321)</f>
        <v>#REF!</v>
      </c>
      <c r="Z20" s="124" t="e">
        <f>IF(ISBLANK(#REF!)=TRUE,"",#REF!*0.0000001+98.321)</f>
        <v>#REF!</v>
      </c>
      <c r="AA20" s="124" t="e">
        <f>IF(ISBLANK(#REF!)=TRUE,"",#REF!*0.0000001+98.321)</f>
        <v>#REF!</v>
      </c>
      <c r="AB20" s="124" t="e">
        <f>IF(ISBLANK(#REF!)=TRUE,"",#REF!*0.0000001+98.321)</f>
        <v>#REF!</v>
      </c>
      <c r="AC20" s="124" t="e">
        <f>IF(ISBLANK(#REF!)=TRUE,"",#REF!*0.0000001+98.321)</f>
        <v>#REF!</v>
      </c>
      <c r="AD20" s="124" t="e">
        <f>IF(ISBLANK(#REF!)=TRUE,"",#REF!*0.0000001+98.321)</f>
        <v>#REF!</v>
      </c>
      <c r="AE20" s="124" t="e">
        <f>IF(ISBLANK(#REF!)=TRUE,"",#REF!*0.0000001+98.321)</f>
        <v>#REF!</v>
      </c>
      <c r="AF20" s="124" t="e">
        <f>IF(ISBLANK(#REF!)=TRUE,"",#REF!*0.0000001+98.321)</f>
        <v>#REF!</v>
      </c>
      <c r="AG20" s="124" t="e">
        <f>IF(ISBLANK(#REF!)=TRUE,"",#REF!*0.0000001+98.321)</f>
        <v>#REF!</v>
      </c>
      <c r="AH20" s="124" t="e">
        <f>IF(ISBLANK(#REF!)=TRUE,"",#REF!*0.0000001+98.321)</f>
        <v>#REF!</v>
      </c>
      <c r="AI20" s="124" t="e">
        <f>IF(ISBLANK(#REF!)=TRUE,"",#REF!*0.0000001+98.321)</f>
        <v>#REF!</v>
      </c>
      <c r="AJ20" s="124" t="e">
        <f>IF(ISBLANK(#REF!)=TRUE,"",#REF!*0.0000001+98.321)</f>
        <v>#REF!</v>
      </c>
      <c r="AK20" s="124" t="e">
        <f>IF(ISBLANK(#REF!)=TRUE,"",#REF!*0.0000001+98.321)</f>
        <v>#REF!</v>
      </c>
      <c r="AL20" s="124" t="e">
        <f>IF(ISBLANK(#REF!)=TRUE,"",#REF!*0.0000001+98.321)</f>
        <v>#REF!</v>
      </c>
      <c r="AM20" s="124" t="e">
        <f>IF(ISBLANK(#REF!)=TRUE,"",#REF!*0.0000001+98.321)</f>
        <v>#REF!</v>
      </c>
      <c r="AN20" s="124" t="e">
        <f>IF(ISBLANK(#REF!)=TRUE,"",#REF!*0.0000001+98.321)</f>
        <v>#REF!</v>
      </c>
      <c r="AO20" s="124" t="e">
        <f>IF(ISBLANK(#REF!)=TRUE,"",#REF!*0.0000001+98.321)</f>
        <v>#REF!</v>
      </c>
      <c r="AP20" s="124" t="e">
        <f>IF(ISBLANK(#REF!)=TRUE,"",#REF!*0.0000001+98.321)</f>
        <v>#REF!</v>
      </c>
      <c r="AQ20" s="223" t="e">
        <f>IF(ISBLANK(#REF!)=TRUE,"",#REF!*0.0000001+98.321)</f>
        <v>#REF!</v>
      </c>
      <c r="AR20" s="24"/>
      <c r="AS20" s="111">
        <f t="shared" si="49"/>
        <v>1</v>
      </c>
      <c r="AT20" s="111" t="str">
        <f t="shared" si="50"/>
        <v/>
      </c>
      <c r="AU20" s="111" t="str">
        <f t="shared" si="51"/>
        <v/>
      </c>
      <c r="AV20" s="111" t="str">
        <f t="shared" si="52"/>
        <v/>
      </c>
      <c r="AW20" s="111" t="str">
        <f t="shared" si="53"/>
        <v/>
      </c>
      <c r="AX20" s="111" t="str">
        <f t="shared" si="54"/>
        <v/>
      </c>
      <c r="AY20" s="111" t="str">
        <f t="shared" si="55"/>
        <v/>
      </c>
      <c r="AZ20" s="111" t="str">
        <f t="shared" si="56"/>
        <v/>
      </c>
      <c r="BA20" s="111" t="str">
        <f t="shared" si="57"/>
        <v/>
      </c>
      <c r="BB20" s="111" t="str">
        <f t="shared" si="58"/>
        <v/>
      </c>
      <c r="BC20" s="111" t="str">
        <f t="shared" si="59"/>
        <v/>
      </c>
      <c r="BD20" s="111" t="str">
        <f t="shared" si="60"/>
        <v/>
      </c>
      <c r="BE20" s="111" t="str">
        <f t="shared" si="61"/>
        <v/>
      </c>
      <c r="BF20" s="111" t="str">
        <f t="shared" si="62"/>
        <v/>
      </c>
      <c r="BG20" s="111" t="str">
        <f t="shared" si="63"/>
        <v/>
      </c>
      <c r="BH20" s="111" t="str">
        <f t="shared" si="64"/>
        <v/>
      </c>
      <c r="BI20" s="111" t="str">
        <f t="shared" si="65"/>
        <v/>
      </c>
      <c r="BJ20" s="111" t="str">
        <f t="shared" si="66"/>
        <v/>
      </c>
      <c r="BK20" s="111" t="str">
        <f t="shared" si="67"/>
        <v/>
      </c>
      <c r="BL20" s="111" t="str">
        <f t="shared" si="68"/>
        <v/>
      </c>
      <c r="BM20" s="171" t="str">
        <f t="shared" si="69"/>
        <v/>
      </c>
      <c r="BN20" s="25"/>
    </row>
    <row r="21" spans="1:66">
      <c r="A21" s="64"/>
      <c r="B21" s="23"/>
      <c r="C21" s="50"/>
      <c r="D21" s="23"/>
      <c r="E21" s="212"/>
      <c r="F21" s="58"/>
      <c r="G21" s="59"/>
      <c r="H21" s="60"/>
      <c r="I21" s="58"/>
      <c r="J21" s="59"/>
      <c r="K21" s="61"/>
      <c r="L21" s="52"/>
      <c r="M21" s="62"/>
      <c r="N21" s="59"/>
      <c r="O21" s="59"/>
      <c r="P21" s="59"/>
      <c r="Q21" s="59"/>
      <c r="R21" s="203"/>
      <c r="S21" s="52"/>
      <c r="T21" s="52"/>
      <c r="U21" s="52"/>
      <c r="V21" s="63"/>
      <c r="W21" s="124">
        <f t="shared" si="70"/>
        <v>98.320999999999998</v>
      </c>
      <c r="X21" s="124" t="e">
        <f>IF(ISBLANK(#REF!)=TRUE,"",#REF!*0.0000001+98.321)</f>
        <v>#REF!</v>
      </c>
      <c r="Y21" s="124" t="e">
        <f>IF(ISBLANK(#REF!)=TRUE,"",#REF!*0.0000001+98.321)</f>
        <v>#REF!</v>
      </c>
      <c r="Z21" s="124" t="e">
        <f>IF(ISBLANK(#REF!)=TRUE,"",#REF!*0.0000001+98.321)</f>
        <v>#REF!</v>
      </c>
      <c r="AA21" s="124" t="e">
        <f>IF(ISBLANK(#REF!)=TRUE,"",#REF!*0.0000001+98.321)</f>
        <v>#REF!</v>
      </c>
      <c r="AB21" s="124" t="e">
        <f>IF(ISBLANK(#REF!)=TRUE,"",#REF!*0.0000001+98.321)</f>
        <v>#REF!</v>
      </c>
      <c r="AC21" s="124" t="e">
        <f>IF(ISBLANK(#REF!)=TRUE,"",#REF!*0.0000001+98.321)</f>
        <v>#REF!</v>
      </c>
      <c r="AD21" s="124" t="e">
        <f>IF(ISBLANK(#REF!)=TRUE,"",#REF!*0.0000001+98.321)</f>
        <v>#REF!</v>
      </c>
      <c r="AE21" s="124" t="e">
        <f>IF(ISBLANK(#REF!)=TRUE,"",#REF!*0.0000001+98.321)</f>
        <v>#REF!</v>
      </c>
      <c r="AF21" s="124" t="e">
        <f>IF(ISBLANK(#REF!)=TRUE,"",#REF!*0.0000001+98.321)</f>
        <v>#REF!</v>
      </c>
      <c r="AG21" s="124" t="e">
        <f>IF(ISBLANK(#REF!)=TRUE,"",#REF!*0.0000001+98.321)</f>
        <v>#REF!</v>
      </c>
      <c r="AH21" s="124" t="e">
        <f>IF(ISBLANK(#REF!)=TRUE,"",#REF!*0.0000001+98.321)</f>
        <v>#REF!</v>
      </c>
      <c r="AI21" s="124" t="e">
        <f>IF(ISBLANK(#REF!)=TRUE,"",#REF!*0.0000001+98.321)</f>
        <v>#REF!</v>
      </c>
      <c r="AJ21" s="124" t="e">
        <f>IF(ISBLANK(#REF!)=TRUE,"",#REF!*0.0000001+98.321)</f>
        <v>#REF!</v>
      </c>
      <c r="AK21" s="124" t="e">
        <f>IF(ISBLANK(#REF!)=TRUE,"",#REF!*0.0000001+98.321)</f>
        <v>#REF!</v>
      </c>
      <c r="AL21" s="124" t="e">
        <f>IF(ISBLANK(#REF!)=TRUE,"",#REF!*0.0000001+98.321)</f>
        <v>#REF!</v>
      </c>
      <c r="AM21" s="124" t="e">
        <f>IF(ISBLANK(#REF!)=TRUE,"",#REF!*0.0000001+98.321)</f>
        <v>#REF!</v>
      </c>
      <c r="AN21" s="124" t="e">
        <f>IF(ISBLANK(#REF!)=TRUE,"",#REF!*0.0000001+98.321)</f>
        <v>#REF!</v>
      </c>
      <c r="AO21" s="124" t="e">
        <f>IF(ISBLANK(#REF!)=TRUE,"",#REF!*0.0000001+98.321)</f>
        <v>#REF!</v>
      </c>
      <c r="AP21" s="124" t="e">
        <f>IF(ISBLANK(#REF!)=TRUE,"",#REF!*0.0000001+98.321)</f>
        <v>#REF!</v>
      </c>
      <c r="AQ21" s="223" t="e">
        <f>IF(ISBLANK(#REF!)=TRUE,"",#REF!*0.0000001+98.321)</f>
        <v>#REF!</v>
      </c>
      <c r="AR21" s="24"/>
      <c r="AS21" s="111">
        <f t="shared" si="49"/>
        <v>1</v>
      </c>
      <c r="AT21" s="111" t="str">
        <f t="shared" si="50"/>
        <v/>
      </c>
      <c r="AU21" s="111" t="str">
        <f t="shared" si="51"/>
        <v/>
      </c>
      <c r="AV21" s="111" t="str">
        <f t="shared" si="52"/>
        <v/>
      </c>
      <c r="AW21" s="111" t="str">
        <f t="shared" si="53"/>
        <v/>
      </c>
      <c r="AX21" s="111" t="str">
        <f t="shared" si="54"/>
        <v/>
      </c>
      <c r="AY21" s="111" t="str">
        <f t="shared" si="55"/>
        <v/>
      </c>
      <c r="AZ21" s="111" t="str">
        <f t="shared" si="56"/>
        <v/>
      </c>
      <c r="BA21" s="111" t="str">
        <f t="shared" si="57"/>
        <v/>
      </c>
      <c r="BB21" s="111" t="str">
        <f t="shared" si="58"/>
        <v/>
      </c>
      <c r="BC21" s="111" t="str">
        <f t="shared" si="59"/>
        <v/>
      </c>
      <c r="BD21" s="111" t="str">
        <f t="shared" si="60"/>
        <v/>
      </c>
      <c r="BE21" s="111" t="str">
        <f t="shared" si="61"/>
        <v/>
      </c>
      <c r="BF21" s="111" t="str">
        <f t="shared" si="62"/>
        <v/>
      </c>
      <c r="BG21" s="111" t="str">
        <f t="shared" si="63"/>
        <v/>
      </c>
      <c r="BH21" s="111" t="str">
        <f t="shared" si="64"/>
        <v/>
      </c>
      <c r="BI21" s="111" t="str">
        <f t="shared" si="65"/>
        <v/>
      </c>
      <c r="BJ21" s="111" t="str">
        <f t="shared" si="66"/>
        <v/>
      </c>
      <c r="BK21" s="111" t="str">
        <f t="shared" si="67"/>
        <v/>
      </c>
      <c r="BL21" s="111" t="str">
        <f t="shared" si="68"/>
        <v/>
      </c>
      <c r="BM21" s="171" t="str">
        <f t="shared" si="69"/>
        <v/>
      </c>
      <c r="BN21" s="25"/>
    </row>
    <row r="22" spans="1:66">
      <c r="A22" s="64"/>
      <c r="B22" s="23"/>
      <c r="C22" s="50"/>
      <c r="D22" s="23"/>
      <c r="E22" s="212"/>
      <c r="F22" s="58"/>
      <c r="G22" s="59"/>
      <c r="H22" s="60"/>
      <c r="I22" s="58"/>
      <c r="J22" s="59"/>
      <c r="K22" s="61"/>
      <c r="L22" s="52"/>
      <c r="M22" s="62"/>
      <c r="N22" s="59"/>
      <c r="O22" s="59"/>
      <c r="P22" s="59"/>
      <c r="Q22" s="59"/>
      <c r="R22" s="203"/>
      <c r="S22" s="52"/>
      <c r="T22" s="52"/>
      <c r="U22" s="52"/>
      <c r="V22" s="63"/>
      <c r="W22" s="124">
        <f t="shared" si="70"/>
        <v>98.320999999999998</v>
      </c>
      <c r="X22" s="124" t="e">
        <f>IF(ISBLANK(#REF!)=TRUE,"",#REF!*0.0000001+98.321)</f>
        <v>#REF!</v>
      </c>
      <c r="Y22" s="124" t="e">
        <f>IF(ISBLANK(#REF!)=TRUE,"",#REF!*0.0000001+98.321)</f>
        <v>#REF!</v>
      </c>
      <c r="Z22" s="124" t="e">
        <f>IF(ISBLANK(#REF!)=TRUE,"",#REF!*0.0000001+98.321)</f>
        <v>#REF!</v>
      </c>
      <c r="AA22" s="124" t="e">
        <f>IF(ISBLANK(#REF!)=TRUE,"",#REF!*0.0000001+98.321)</f>
        <v>#REF!</v>
      </c>
      <c r="AB22" s="124" t="e">
        <f>IF(ISBLANK(#REF!)=TRUE,"",#REF!*0.0000001+98.321)</f>
        <v>#REF!</v>
      </c>
      <c r="AC22" s="124" t="e">
        <f>IF(ISBLANK(#REF!)=TRUE,"",#REF!*0.0000001+98.321)</f>
        <v>#REF!</v>
      </c>
      <c r="AD22" s="124" t="e">
        <f>IF(ISBLANK(#REF!)=TRUE,"",#REF!*0.0000001+98.321)</f>
        <v>#REF!</v>
      </c>
      <c r="AE22" s="124" t="e">
        <f>IF(ISBLANK(#REF!)=TRUE,"",#REF!*0.0000001+98.321)</f>
        <v>#REF!</v>
      </c>
      <c r="AF22" s="124" t="e">
        <f>IF(ISBLANK(#REF!)=TRUE,"",#REF!*0.0000001+98.321)</f>
        <v>#REF!</v>
      </c>
      <c r="AG22" s="124" t="e">
        <f>IF(ISBLANK(#REF!)=TRUE,"",#REF!*0.0000001+98.321)</f>
        <v>#REF!</v>
      </c>
      <c r="AH22" s="124" t="e">
        <f>IF(ISBLANK(#REF!)=TRUE,"",#REF!*0.0000001+98.321)</f>
        <v>#REF!</v>
      </c>
      <c r="AI22" s="124" t="e">
        <f>IF(ISBLANK(#REF!)=TRUE,"",#REF!*0.0000001+98.321)</f>
        <v>#REF!</v>
      </c>
      <c r="AJ22" s="124" t="e">
        <f>IF(ISBLANK(#REF!)=TRUE,"",#REF!*0.0000001+98.321)</f>
        <v>#REF!</v>
      </c>
      <c r="AK22" s="124" t="e">
        <f>IF(ISBLANK(#REF!)=TRUE,"",#REF!*0.0000001+98.321)</f>
        <v>#REF!</v>
      </c>
      <c r="AL22" s="124" t="e">
        <f>IF(ISBLANK(#REF!)=TRUE,"",#REF!*0.0000001+98.321)</f>
        <v>#REF!</v>
      </c>
      <c r="AM22" s="124" t="e">
        <f>IF(ISBLANK(#REF!)=TRUE,"",#REF!*0.0000001+98.321)</f>
        <v>#REF!</v>
      </c>
      <c r="AN22" s="124" t="e">
        <f>IF(ISBLANK(#REF!)=TRUE,"",#REF!*0.0000001+98.321)</f>
        <v>#REF!</v>
      </c>
      <c r="AO22" s="124" t="e">
        <f>IF(ISBLANK(#REF!)=TRUE,"",#REF!*0.0000001+98.321)</f>
        <v>#REF!</v>
      </c>
      <c r="AP22" s="124" t="e">
        <f>IF(ISBLANK(#REF!)=TRUE,"",#REF!*0.0000001+98.321)</f>
        <v>#REF!</v>
      </c>
      <c r="AQ22" s="223" t="e">
        <f>IF(ISBLANK(#REF!)=TRUE,"",#REF!*0.0000001+98.321)</f>
        <v>#REF!</v>
      </c>
      <c r="AR22" s="24"/>
      <c r="AS22" s="111">
        <f t="shared" si="49"/>
        <v>1</v>
      </c>
      <c r="AT22" s="111" t="str">
        <f t="shared" si="50"/>
        <v/>
      </c>
      <c r="AU22" s="111" t="str">
        <f t="shared" si="51"/>
        <v/>
      </c>
      <c r="AV22" s="111" t="str">
        <f t="shared" si="52"/>
        <v/>
      </c>
      <c r="AW22" s="111" t="str">
        <f t="shared" si="53"/>
        <v/>
      </c>
      <c r="AX22" s="111" t="str">
        <f t="shared" si="54"/>
        <v/>
      </c>
      <c r="AY22" s="111" t="str">
        <f t="shared" si="55"/>
        <v/>
      </c>
      <c r="AZ22" s="111" t="str">
        <f t="shared" si="56"/>
        <v/>
      </c>
      <c r="BA22" s="111" t="str">
        <f t="shared" si="57"/>
        <v/>
      </c>
      <c r="BB22" s="111" t="str">
        <f t="shared" si="58"/>
        <v/>
      </c>
      <c r="BC22" s="111" t="str">
        <f t="shared" si="59"/>
        <v/>
      </c>
      <c r="BD22" s="111" t="str">
        <f t="shared" si="60"/>
        <v/>
      </c>
      <c r="BE22" s="111" t="str">
        <f t="shared" si="61"/>
        <v/>
      </c>
      <c r="BF22" s="111" t="str">
        <f t="shared" si="62"/>
        <v/>
      </c>
      <c r="BG22" s="111" t="str">
        <f t="shared" si="63"/>
        <v/>
      </c>
      <c r="BH22" s="111" t="str">
        <f t="shared" si="64"/>
        <v/>
      </c>
      <c r="BI22" s="111" t="str">
        <f t="shared" si="65"/>
        <v/>
      </c>
      <c r="BJ22" s="111" t="str">
        <f t="shared" si="66"/>
        <v/>
      </c>
      <c r="BK22" s="111" t="str">
        <f t="shared" si="67"/>
        <v/>
      </c>
      <c r="BL22" s="111" t="str">
        <f t="shared" si="68"/>
        <v/>
      </c>
      <c r="BM22" s="171" t="str">
        <f t="shared" si="69"/>
        <v/>
      </c>
      <c r="BN22" s="25"/>
    </row>
    <row r="23" spans="1:66">
      <c r="A23" s="64"/>
      <c r="B23" s="23"/>
      <c r="C23" s="50"/>
      <c r="D23" s="23"/>
      <c r="E23" s="212"/>
      <c r="F23" s="58"/>
      <c r="G23" s="59"/>
      <c r="H23" s="60"/>
      <c r="I23" s="58"/>
      <c r="J23" s="59"/>
      <c r="K23" s="61"/>
      <c r="L23" s="52"/>
      <c r="M23" s="62"/>
      <c r="N23" s="59"/>
      <c r="O23" s="59"/>
      <c r="P23" s="59"/>
      <c r="Q23" s="59"/>
      <c r="R23" s="203"/>
      <c r="S23" s="52"/>
      <c r="T23" s="52"/>
      <c r="U23" s="52"/>
      <c r="V23" s="63"/>
      <c r="W23" s="124">
        <f t="shared" si="70"/>
        <v>98.320999999999998</v>
      </c>
      <c r="X23" s="124" t="e">
        <f>IF(ISBLANK(#REF!)=TRUE,"",#REF!*0.0000001+98.321)</f>
        <v>#REF!</v>
      </c>
      <c r="Y23" s="124" t="e">
        <f>IF(ISBLANK(#REF!)=TRUE,"",#REF!*0.0000001+98.321)</f>
        <v>#REF!</v>
      </c>
      <c r="Z23" s="124" t="e">
        <f>IF(ISBLANK(#REF!)=TRUE,"",#REF!*0.0000001+98.321)</f>
        <v>#REF!</v>
      </c>
      <c r="AA23" s="124" t="e">
        <f>IF(ISBLANK(#REF!)=TRUE,"",#REF!*0.0000001+98.321)</f>
        <v>#REF!</v>
      </c>
      <c r="AB23" s="124" t="e">
        <f>IF(ISBLANK(#REF!)=TRUE,"",#REF!*0.0000001+98.321)</f>
        <v>#REF!</v>
      </c>
      <c r="AC23" s="124" t="e">
        <f>IF(ISBLANK(#REF!)=TRUE,"",#REF!*0.0000001+98.321)</f>
        <v>#REF!</v>
      </c>
      <c r="AD23" s="124" t="e">
        <f>IF(ISBLANK(#REF!)=TRUE,"",#REF!*0.0000001+98.321)</f>
        <v>#REF!</v>
      </c>
      <c r="AE23" s="124" t="e">
        <f>IF(ISBLANK(#REF!)=TRUE,"",#REF!*0.0000001+98.321)</f>
        <v>#REF!</v>
      </c>
      <c r="AF23" s="124" t="e">
        <f>IF(ISBLANK(#REF!)=TRUE,"",#REF!*0.0000001+98.321)</f>
        <v>#REF!</v>
      </c>
      <c r="AG23" s="124" t="e">
        <f>IF(ISBLANK(#REF!)=TRUE,"",#REF!*0.0000001+98.321)</f>
        <v>#REF!</v>
      </c>
      <c r="AH23" s="124" t="e">
        <f>IF(ISBLANK(#REF!)=TRUE,"",#REF!*0.0000001+98.321)</f>
        <v>#REF!</v>
      </c>
      <c r="AI23" s="124" t="e">
        <f>IF(ISBLANK(#REF!)=TRUE,"",#REF!*0.0000001+98.321)</f>
        <v>#REF!</v>
      </c>
      <c r="AJ23" s="124" t="e">
        <f>IF(ISBLANK(#REF!)=TRUE,"",#REF!*0.0000001+98.321)</f>
        <v>#REF!</v>
      </c>
      <c r="AK23" s="124" t="e">
        <f>IF(ISBLANK(#REF!)=TRUE,"",#REF!*0.0000001+98.321)</f>
        <v>#REF!</v>
      </c>
      <c r="AL23" s="124" t="e">
        <f>IF(ISBLANK(#REF!)=TRUE,"",#REF!*0.0000001+98.321)</f>
        <v>#REF!</v>
      </c>
      <c r="AM23" s="124" t="e">
        <f>IF(ISBLANK(#REF!)=TRUE,"",#REF!*0.0000001+98.321)</f>
        <v>#REF!</v>
      </c>
      <c r="AN23" s="124" t="e">
        <f>IF(ISBLANK(#REF!)=TRUE,"",#REF!*0.0000001+98.321)</f>
        <v>#REF!</v>
      </c>
      <c r="AO23" s="124" t="e">
        <f>IF(ISBLANK(#REF!)=TRUE,"",#REF!*0.0000001+98.321)</f>
        <v>#REF!</v>
      </c>
      <c r="AP23" s="124" t="e">
        <f>IF(ISBLANK(#REF!)=TRUE,"",#REF!*0.0000001+98.321)</f>
        <v>#REF!</v>
      </c>
      <c r="AQ23" s="223" t="e">
        <f>IF(ISBLANK(#REF!)=TRUE,"",#REF!*0.0000001+98.321)</f>
        <v>#REF!</v>
      </c>
      <c r="AR23" s="24"/>
      <c r="AS23" s="111">
        <f t="shared" si="49"/>
        <v>1</v>
      </c>
      <c r="AT23" s="111" t="str">
        <f t="shared" si="50"/>
        <v/>
      </c>
      <c r="AU23" s="111" t="str">
        <f t="shared" si="51"/>
        <v/>
      </c>
      <c r="AV23" s="111" t="str">
        <f t="shared" si="52"/>
        <v/>
      </c>
      <c r="AW23" s="111" t="str">
        <f t="shared" si="53"/>
        <v/>
      </c>
      <c r="AX23" s="111" t="str">
        <f t="shared" si="54"/>
        <v/>
      </c>
      <c r="AY23" s="111" t="str">
        <f t="shared" si="55"/>
        <v/>
      </c>
      <c r="AZ23" s="111" t="str">
        <f t="shared" si="56"/>
        <v/>
      </c>
      <c r="BA23" s="111" t="str">
        <f t="shared" si="57"/>
        <v/>
      </c>
      <c r="BB23" s="111" t="str">
        <f t="shared" si="58"/>
        <v/>
      </c>
      <c r="BC23" s="111" t="str">
        <f t="shared" si="59"/>
        <v/>
      </c>
      <c r="BD23" s="111" t="str">
        <f t="shared" si="60"/>
        <v/>
      </c>
      <c r="BE23" s="111" t="str">
        <f t="shared" si="61"/>
        <v/>
      </c>
      <c r="BF23" s="111" t="str">
        <f t="shared" si="62"/>
        <v/>
      </c>
      <c r="BG23" s="111" t="str">
        <f t="shared" si="63"/>
        <v/>
      </c>
      <c r="BH23" s="111" t="str">
        <f t="shared" si="64"/>
        <v/>
      </c>
      <c r="BI23" s="111" t="str">
        <f t="shared" si="65"/>
        <v/>
      </c>
      <c r="BJ23" s="111" t="str">
        <f t="shared" si="66"/>
        <v/>
      </c>
      <c r="BK23" s="111" t="str">
        <f t="shared" si="67"/>
        <v/>
      </c>
      <c r="BL23" s="111" t="str">
        <f t="shared" si="68"/>
        <v/>
      </c>
      <c r="BM23" s="171" t="str">
        <f t="shared" si="69"/>
        <v/>
      </c>
      <c r="BN23" s="25"/>
    </row>
    <row r="24" spans="1:66">
      <c r="A24" s="64"/>
      <c r="B24" s="23"/>
      <c r="C24" s="50"/>
      <c r="D24" s="23"/>
      <c r="E24" s="212"/>
      <c r="F24" s="58"/>
      <c r="G24" s="59"/>
      <c r="H24" s="60"/>
      <c r="I24" s="58"/>
      <c r="J24" s="59"/>
      <c r="K24" s="61"/>
      <c r="L24" s="52"/>
      <c r="M24" s="62"/>
      <c r="N24" s="59"/>
      <c r="O24" s="59"/>
      <c r="P24" s="59"/>
      <c r="Q24" s="59"/>
      <c r="R24" s="203"/>
      <c r="S24" s="52"/>
      <c r="T24" s="52"/>
      <c r="U24" s="52"/>
      <c r="V24" s="63"/>
      <c r="W24" s="124">
        <f t="shared" si="70"/>
        <v>98.320999999999998</v>
      </c>
      <c r="X24" s="124" t="e">
        <f>IF(ISBLANK(#REF!)=TRUE,"",#REF!*0.0000001+98.321)</f>
        <v>#REF!</v>
      </c>
      <c r="Y24" s="124" t="e">
        <f>IF(ISBLANK(#REF!)=TRUE,"",#REF!*0.0000001+98.321)</f>
        <v>#REF!</v>
      </c>
      <c r="Z24" s="124" t="e">
        <f>IF(ISBLANK(#REF!)=TRUE,"",#REF!*0.0000001+98.321)</f>
        <v>#REF!</v>
      </c>
      <c r="AA24" s="124" t="e">
        <f>IF(ISBLANK(#REF!)=TRUE,"",#REF!*0.0000001+98.321)</f>
        <v>#REF!</v>
      </c>
      <c r="AB24" s="124" t="e">
        <f>IF(ISBLANK(#REF!)=TRUE,"",#REF!*0.0000001+98.321)</f>
        <v>#REF!</v>
      </c>
      <c r="AC24" s="124" t="e">
        <f>IF(ISBLANK(#REF!)=TRUE,"",#REF!*0.0000001+98.321)</f>
        <v>#REF!</v>
      </c>
      <c r="AD24" s="124" t="e">
        <f>IF(ISBLANK(#REF!)=TRUE,"",#REF!*0.0000001+98.321)</f>
        <v>#REF!</v>
      </c>
      <c r="AE24" s="124" t="e">
        <f>IF(ISBLANK(#REF!)=TRUE,"",#REF!*0.0000001+98.321)</f>
        <v>#REF!</v>
      </c>
      <c r="AF24" s="124" t="e">
        <f>IF(ISBLANK(#REF!)=TRUE,"",#REF!*0.0000001+98.321)</f>
        <v>#REF!</v>
      </c>
      <c r="AG24" s="124" t="e">
        <f>IF(ISBLANK(#REF!)=TRUE,"",#REF!*0.0000001+98.321)</f>
        <v>#REF!</v>
      </c>
      <c r="AH24" s="124" t="e">
        <f>IF(ISBLANK(#REF!)=TRUE,"",#REF!*0.0000001+98.321)</f>
        <v>#REF!</v>
      </c>
      <c r="AI24" s="124" t="e">
        <f>IF(ISBLANK(#REF!)=TRUE,"",#REF!*0.0000001+98.321)</f>
        <v>#REF!</v>
      </c>
      <c r="AJ24" s="124" t="e">
        <f>IF(ISBLANK(#REF!)=TRUE,"",#REF!*0.0000001+98.321)</f>
        <v>#REF!</v>
      </c>
      <c r="AK24" s="124" t="e">
        <f>IF(ISBLANK(#REF!)=TRUE,"",#REF!*0.0000001+98.321)</f>
        <v>#REF!</v>
      </c>
      <c r="AL24" s="124" t="e">
        <f>IF(ISBLANK(#REF!)=TRUE,"",#REF!*0.0000001+98.321)</f>
        <v>#REF!</v>
      </c>
      <c r="AM24" s="124" t="e">
        <f>IF(ISBLANK(#REF!)=TRUE,"",#REF!*0.0000001+98.321)</f>
        <v>#REF!</v>
      </c>
      <c r="AN24" s="124" t="e">
        <f>IF(ISBLANK(#REF!)=TRUE,"",#REF!*0.0000001+98.321)</f>
        <v>#REF!</v>
      </c>
      <c r="AO24" s="124" t="e">
        <f>IF(ISBLANK(#REF!)=TRUE,"",#REF!*0.0000001+98.321)</f>
        <v>#REF!</v>
      </c>
      <c r="AP24" s="124" t="e">
        <f>IF(ISBLANK(#REF!)=TRUE,"",#REF!*0.0000001+98.321)</f>
        <v>#REF!</v>
      </c>
      <c r="AQ24" s="223" t="e">
        <f>IF(ISBLANK(#REF!)=TRUE,"",#REF!*0.0000001+98.321)</f>
        <v>#REF!</v>
      </c>
      <c r="AR24" s="24"/>
      <c r="AS24" s="111">
        <f t="shared" si="49"/>
        <v>1</v>
      </c>
      <c r="AT24" s="111" t="str">
        <f t="shared" si="50"/>
        <v/>
      </c>
      <c r="AU24" s="111" t="str">
        <f t="shared" si="51"/>
        <v/>
      </c>
      <c r="AV24" s="111" t="str">
        <f t="shared" si="52"/>
        <v/>
      </c>
      <c r="AW24" s="111" t="str">
        <f t="shared" si="53"/>
        <v/>
      </c>
      <c r="AX24" s="111" t="str">
        <f t="shared" si="54"/>
        <v/>
      </c>
      <c r="AY24" s="111" t="str">
        <f t="shared" si="55"/>
        <v/>
      </c>
      <c r="AZ24" s="111" t="str">
        <f t="shared" si="56"/>
        <v/>
      </c>
      <c r="BA24" s="111" t="str">
        <f t="shared" si="57"/>
        <v/>
      </c>
      <c r="BB24" s="111" t="str">
        <f t="shared" si="58"/>
        <v/>
      </c>
      <c r="BC24" s="111" t="str">
        <f t="shared" si="59"/>
        <v/>
      </c>
      <c r="BD24" s="111" t="str">
        <f t="shared" si="60"/>
        <v/>
      </c>
      <c r="BE24" s="111" t="str">
        <f t="shared" si="61"/>
        <v/>
      </c>
      <c r="BF24" s="111" t="str">
        <f t="shared" si="62"/>
        <v/>
      </c>
      <c r="BG24" s="111" t="str">
        <f t="shared" si="63"/>
        <v/>
      </c>
      <c r="BH24" s="111" t="str">
        <f t="shared" si="64"/>
        <v/>
      </c>
      <c r="BI24" s="111" t="str">
        <f t="shared" si="65"/>
        <v/>
      </c>
      <c r="BJ24" s="111" t="str">
        <f t="shared" si="66"/>
        <v/>
      </c>
      <c r="BK24" s="111" t="str">
        <f t="shared" si="67"/>
        <v/>
      </c>
      <c r="BL24" s="111" t="str">
        <f t="shared" si="68"/>
        <v/>
      </c>
      <c r="BM24" s="171" t="str">
        <f t="shared" si="69"/>
        <v/>
      </c>
      <c r="BN24" s="25"/>
    </row>
    <row r="25" spans="1:66">
      <c r="A25" s="64"/>
      <c r="B25" s="23"/>
      <c r="C25" s="50"/>
      <c r="D25" s="23"/>
      <c r="E25" s="212"/>
      <c r="F25" s="58"/>
      <c r="G25" s="59"/>
      <c r="H25" s="60"/>
      <c r="I25" s="58"/>
      <c r="J25" s="59"/>
      <c r="K25" s="61"/>
      <c r="L25" s="52"/>
      <c r="M25" s="62"/>
      <c r="N25" s="59"/>
      <c r="O25" s="59"/>
      <c r="P25" s="59"/>
      <c r="Q25" s="59"/>
      <c r="R25" s="203"/>
      <c r="S25" s="52"/>
      <c r="T25" s="52"/>
      <c r="U25" s="52"/>
      <c r="V25" s="63"/>
      <c r="W25" s="124">
        <f t="shared" si="70"/>
        <v>98.320999999999998</v>
      </c>
      <c r="X25" s="124" t="e">
        <f>IF(ISBLANK(#REF!)=TRUE,"",#REF!*0.0000001+98.321)</f>
        <v>#REF!</v>
      </c>
      <c r="Y25" s="124" t="e">
        <f>IF(ISBLANK(#REF!)=TRUE,"",#REF!*0.0000001+98.321)</f>
        <v>#REF!</v>
      </c>
      <c r="Z25" s="124" t="e">
        <f>IF(ISBLANK(#REF!)=TRUE,"",#REF!*0.0000001+98.321)</f>
        <v>#REF!</v>
      </c>
      <c r="AA25" s="124" t="e">
        <f>IF(ISBLANK(#REF!)=TRUE,"",#REF!*0.0000001+98.321)</f>
        <v>#REF!</v>
      </c>
      <c r="AB25" s="124" t="e">
        <f>IF(ISBLANK(#REF!)=TRUE,"",#REF!*0.0000001+98.321)</f>
        <v>#REF!</v>
      </c>
      <c r="AC25" s="124" t="e">
        <f>IF(ISBLANK(#REF!)=TRUE,"",#REF!*0.0000001+98.321)</f>
        <v>#REF!</v>
      </c>
      <c r="AD25" s="124" t="e">
        <f>IF(ISBLANK(#REF!)=TRUE,"",#REF!*0.0000001+98.321)</f>
        <v>#REF!</v>
      </c>
      <c r="AE25" s="124" t="e">
        <f>IF(ISBLANK(#REF!)=TRUE,"",#REF!*0.0000001+98.321)</f>
        <v>#REF!</v>
      </c>
      <c r="AF25" s="124" t="e">
        <f>IF(ISBLANK(#REF!)=TRUE,"",#REF!*0.0000001+98.321)</f>
        <v>#REF!</v>
      </c>
      <c r="AG25" s="124" t="e">
        <f>IF(ISBLANK(#REF!)=TRUE,"",#REF!*0.0000001+98.321)</f>
        <v>#REF!</v>
      </c>
      <c r="AH25" s="124" t="e">
        <f>IF(ISBLANK(#REF!)=TRUE,"",#REF!*0.0000001+98.321)</f>
        <v>#REF!</v>
      </c>
      <c r="AI25" s="124" t="e">
        <f>IF(ISBLANK(#REF!)=TRUE,"",#REF!*0.0000001+98.321)</f>
        <v>#REF!</v>
      </c>
      <c r="AJ25" s="124" t="e">
        <f>IF(ISBLANK(#REF!)=TRUE,"",#REF!*0.0000001+98.321)</f>
        <v>#REF!</v>
      </c>
      <c r="AK25" s="124" t="e">
        <f>IF(ISBLANK(#REF!)=TRUE,"",#REF!*0.0000001+98.321)</f>
        <v>#REF!</v>
      </c>
      <c r="AL25" s="124" t="e">
        <f>IF(ISBLANK(#REF!)=TRUE,"",#REF!*0.0000001+98.321)</f>
        <v>#REF!</v>
      </c>
      <c r="AM25" s="124" t="e">
        <f>IF(ISBLANK(#REF!)=TRUE,"",#REF!*0.0000001+98.321)</f>
        <v>#REF!</v>
      </c>
      <c r="AN25" s="124" t="e">
        <f>IF(ISBLANK(#REF!)=TRUE,"",#REF!*0.0000001+98.321)</f>
        <v>#REF!</v>
      </c>
      <c r="AO25" s="124" t="e">
        <f>IF(ISBLANK(#REF!)=TRUE,"",#REF!*0.0000001+98.321)</f>
        <v>#REF!</v>
      </c>
      <c r="AP25" s="124" t="e">
        <f>IF(ISBLANK(#REF!)=TRUE,"",#REF!*0.0000001+98.321)</f>
        <v>#REF!</v>
      </c>
      <c r="AQ25" s="223" t="e">
        <f>IF(ISBLANK(#REF!)=TRUE,"",#REF!*0.0000001+98.321)</f>
        <v>#REF!</v>
      </c>
      <c r="AR25" s="24"/>
      <c r="AS25" s="111">
        <f t="shared" si="49"/>
        <v>1</v>
      </c>
      <c r="AT25" s="111" t="str">
        <f t="shared" si="50"/>
        <v/>
      </c>
      <c r="AU25" s="111" t="str">
        <f t="shared" si="51"/>
        <v/>
      </c>
      <c r="AV25" s="111" t="str">
        <f t="shared" si="52"/>
        <v/>
      </c>
      <c r="AW25" s="111" t="str">
        <f t="shared" si="53"/>
        <v/>
      </c>
      <c r="AX25" s="111" t="str">
        <f t="shared" si="54"/>
        <v/>
      </c>
      <c r="AY25" s="111" t="str">
        <f t="shared" si="55"/>
        <v/>
      </c>
      <c r="AZ25" s="111" t="str">
        <f t="shared" si="56"/>
        <v/>
      </c>
      <c r="BA25" s="111" t="str">
        <f t="shared" si="57"/>
        <v/>
      </c>
      <c r="BB25" s="111" t="str">
        <f t="shared" si="58"/>
        <v/>
      </c>
      <c r="BC25" s="111" t="str">
        <f t="shared" si="59"/>
        <v/>
      </c>
      <c r="BD25" s="111" t="str">
        <f t="shared" si="60"/>
        <v/>
      </c>
      <c r="BE25" s="111" t="str">
        <f t="shared" si="61"/>
        <v/>
      </c>
      <c r="BF25" s="111" t="str">
        <f t="shared" si="62"/>
        <v/>
      </c>
      <c r="BG25" s="111" t="str">
        <f t="shared" si="63"/>
        <v/>
      </c>
      <c r="BH25" s="111" t="str">
        <f t="shared" si="64"/>
        <v/>
      </c>
      <c r="BI25" s="111" t="str">
        <f t="shared" si="65"/>
        <v/>
      </c>
      <c r="BJ25" s="111" t="str">
        <f t="shared" si="66"/>
        <v/>
      </c>
      <c r="BK25" s="111" t="str">
        <f t="shared" si="67"/>
        <v/>
      </c>
      <c r="BL25" s="111" t="str">
        <f t="shared" si="68"/>
        <v/>
      </c>
      <c r="BM25" s="171" t="str">
        <f t="shared" si="69"/>
        <v/>
      </c>
      <c r="BN25" s="25"/>
    </row>
    <row r="26" spans="1:66">
      <c r="A26" s="64"/>
      <c r="B26" s="23"/>
      <c r="C26" s="50"/>
      <c r="D26" s="23"/>
      <c r="E26" s="212"/>
      <c r="F26" s="58"/>
      <c r="G26" s="59"/>
      <c r="H26" s="60"/>
      <c r="I26" s="58"/>
      <c r="J26" s="59"/>
      <c r="K26" s="61"/>
      <c r="L26" s="52"/>
      <c r="M26" s="62"/>
      <c r="N26" s="59"/>
      <c r="O26" s="59"/>
      <c r="P26" s="59"/>
      <c r="Q26" s="59"/>
      <c r="R26" s="203"/>
      <c r="S26" s="52"/>
      <c r="T26" s="52"/>
      <c r="U26" s="52"/>
      <c r="V26" s="63"/>
      <c r="W26" s="124">
        <f t="shared" si="70"/>
        <v>98.320999999999998</v>
      </c>
      <c r="X26" s="124" t="e">
        <f>IF(ISBLANK(#REF!)=TRUE,"",#REF!*0.0000001+98.321)</f>
        <v>#REF!</v>
      </c>
      <c r="Y26" s="124" t="e">
        <f>IF(ISBLANK(#REF!)=TRUE,"",#REF!*0.0000001+98.321)</f>
        <v>#REF!</v>
      </c>
      <c r="Z26" s="124" t="e">
        <f>IF(ISBLANK(#REF!)=TRUE,"",#REF!*0.0000001+98.321)</f>
        <v>#REF!</v>
      </c>
      <c r="AA26" s="124" t="e">
        <f>IF(ISBLANK(#REF!)=TRUE,"",#REF!*0.0000001+98.321)</f>
        <v>#REF!</v>
      </c>
      <c r="AB26" s="124" t="e">
        <f>IF(ISBLANK(#REF!)=TRUE,"",#REF!*0.0000001+98.321)</f>
        <v>#REF!</v>
      </c>
      <c r="AC26" s="124" t="e">
        <f>IF(ISBLANK(#REF!)=TRUE,"",#REF!*0.0000001+98.321)</f>
        <v>#REF!</v>
      </c>
      <c r="AD26" s="124" t="e">
        <f>IF(ISBLANK(#REF!)=TRUE,"",#REF!*0.0000001+98.321)</f>
        <v>#REF!</v>
      </c>
      <c r="AE26" s="124" t="e">
        <f>IF(ISBLANK(#REF!)=TRUE,"",#REF!*0.0000001+98.321)</f>
        <v>#REF!</v>
      </c>
      <c r="AF26" s="124" t="e">
        <f>IF(ISBLANK(#REF!)=TRUE,"",#REF!*0.0000001+98.321)</f>
        <v>#REF!</v>
      </c>
      <c r="AG26" s="124" t="e">
        <f>IF(ISBLANK(#REF!)=TRUE,"",#REF!*0.0000001+98.321)</f>
        <v>#REF!</v>
      </c>
      <c r="AH26" s="124" t="e">
        <f>IF(ISBLANK(#REF!)=TRUE,"",#REF!*0.0000001+98.321)</f>
        <v>#REF!</v>
      </c>
      <c r="AI26" s="124" t="e">
        <f>IF(ISBLANK(#REF!)=TRUE,"",#REF!*0.0000001+98.321)</f>
        <v>#REF!</v>
      </c>
      <c r="AJ26" s="124" t="e">
        <f>IF(ISBLANK(#REF!)=TRUE,"",#REF!*0.0000001+98.321)</f>
        <v>#REF!</v>
      </c>
      <c r="AK26" s="124" t="e">
        <f>IF(ISBLANK(#REF!)=TRUE,"",#REF!*0.0000001+98.321)</f>
        <v>#REF!</v>
      </c>
      <c r="AL26" s="124" t="e">
        <f>IF(ISBLANK(#REF!)=TRUE,"",#REF!*0.0000001+98.321)</f>
        <v>#REF!</v>
      </c>
      <c r="AM26" s="124" t="e">
        <f>IF(ISBLANK(#REF!)=TRUE,"",#REF!*0.0000001+98.321)</f>
        <v>#REF!</v>
      </c>
      <c r="AN26" s="124" t="e">
        <f>IF(ISBLANK(#REF!)=TRUE,"",#REF!*0.0000001+98.321)</f>
        <v>#REF!</v>
      </c>
      <c r="AO26" s="124" t="e">
        <f>IF(ISBLANK(#REF!)=TRUE,"",#REF!*0.0000001+98.321)</f>
        <v>#REF!</v>
      </c>
      <c r="AP26" s="124" t="e">
        <f>IF(ISBLANK(#REF!)=TRUE,"",#REF!*0.0000001+98.321)</f>
        <v>#REF!</v>
      </c>
      <c r="AQ26" s="223" t="e">
        <f>IF(ISBLANK(#REF!)=TRUE,"",#REF!*0.0000001+98.321)</f>
        <v>#REF!</v>
      </c>
      <c r="AR26" s="24"/>
      <c r="AS26" s="111">
        <f t="shared" si="49"/>
        <v>1</v>
      </c>
      <c r="AT26" s="111" t="str">
        <f t="shared" si="50"/>
        <v/>
      </c>
      <c r="AU26" s="111" t="str">
        <f t="shared" si="51"/>
        <v/>
      </c>
      <c r="AV26" s="111" t="str">
        <f t="shared" si="52"/>
        <v/>
      </c>
      <c r="AW26" s="111" t="str">
        <f t="shared" si="53"/>
        <v/>
      </c>
      <c r="AX26" s="111" t="str">
        <f t="shared" si="54"/>
        <v/>
      </c>
      <c r="AY26" s="111" t="str">
        <f t="shared" si="55"/>
        <v/>
      </c>
      <c r="AZ26" s="111" t="str">
        <f t="shared" si="56"/>
        <v/>
      </c>
      <c r="BA26" s="111" t="str">
        <f t="shared" si="57"/>
        <v/>
      </c>
      <c r="BB26" s="111" t="str">
        <f t="shared" si="58"/>
        <v/>
      </c>
      <c r="BC26" s="111" t="str">
        <f t="shared" si="59"/>
        <v/>
      </c>
      <c r="BD26" s="111" t="str">
        <f t="shared" si="60"/>
        <v/>
      </c>
      <c r="BE26" s="111" t="str">
        <f t="shared" si="61"/>
        <v/>
      </c>
      <c r="BF26" s="111" t="str">
        <f t="shared" si="62"/>
        <v/>
      </c>
      <c r="BG26" s="111" t="str">
        <f t="shared" si="63"/>
        <v/>
      </c>
      <c r="BH26" s="111" t="str">
        <f t="shared" si="64"/>
        <v/>
      </c>
      <c r="BI26" s="111" t="str">
        <f t="shared" si="65"/>
        <v/>
      </c>
      <c r="BJ26" s="111" t="str">
        <f t="shared" si="66"/>
        <v/>
      </c>
      <c r="BK26" s="111" t="str">
        <f t="shared" si="67"/>
        <v/>
      </c>
      <c r="BL26" s="111" t="str">
        <f t="shared" si="68"/>
        <v/>
      </c>
      <c r="BM26" s="171" t="str">
        <f t="shared" si="69"/>
        <v/>
      </c>
      <c r="BN26" s="25"/>
    </row>
    <row r="27" spans="1:66">
      <c r="A27" s="64"/>
      <c r="B27" s="23"/>
      <c r="C27" s="50"/>
      <c r="D27" s="23"/>
      <c r="E27" s="212"/>
      <c r="F27" s="58"/>
      <c r="G27" s="59"/>
      <c r="H27" s="60"/>
      <c r="I27" s="58"/>
      <c r="J27" s="59"/>
      <c r="K27" s="61"/>
      <c r="L27" s="52"/>
      <c r="M27" s="62"/>
      <c r="N27" s="59"/>
      <c r="O27" s="59"/>
      <c r="P27" s="59"/>
      <c r="Q27" s="59"/>
      <c r="R27" s="203"/>
      <c r="S27" s="52"/>
      <c r="T27" s="52"/>
      <c r="U27" s="52"/>
      <c r="V27" s="63"/>
      <c r="W27" s="124">
        <f t="shared" si="70"/>
        <v>98.320999999999998</v>
      </c>
      <c r="X27" s="124" t="e">
        <f>IF(ISBLANK(#REF!)=TRUE,"",#REF!*0.0000001+98.321)</f>
        <v>#REF!</v>
      </c>
      <c r="Y27" s="124" t="e">
        <f>IF(ISBLANK(#REF!)=TRUE,"",#REF!*0.0000001+98.321)</f>
        <v>#REF!</v>
      </c>
      <c r="Z27" s="124" t="e">
        <f>IF(ISBLANK(#REF!)=TRUE,"",#REF!*0.0000001+98.321)</f>
        <v>#REF!</v>
      </c>
      <c r="AA27" s="124" t="e">
        <f>IF(ISBLANK(#REF!)=TRUE,"",#REF!*0.0000001+98.321)</f>
        <v>#REF!</v>
      </c>
      <c r="AB27" s="124" t="e">
        <f>IF(ISBLANK(#REF!)=TRUE,"",#REF!*0.0000001+98.321)</f>
        <v>#REF!</v>
      </c>
      <c r="AC27" s="124" t="e">
        <f>IF(ISBLANK(#REF!)=TRUE,"",#REF!*0.0000001+98.321)</f>
        <v>#REF!</v>
      </c>
      <c r="AD27" s="124" t="e">
        <f>IF(ISBLANK(#REF!)=TRUE,"",#REF!*0.0000001+98.321)</f>
        <v>#REF!</v>
      </c>
      <c r="AE27" s="124" t="e">
        <f>IF(ISBLANK(#REF!)=TRUE,"",#REF!*0.0000001+98.321)</f>
        <v>#REF!</v>
      </c>
      <c r="AF27" s="124" t="e">
        <f>IF(ISBLANK(#REF!)=TRUE,"",#REF!*0.0000001+98.321)</f>
        <v>#REF!</v>
      </c>
      <c r="AG27" s="124" t="e">
        <f>IF(ISBLANK(#REF!)=TRUE,"",#REF!*0.0000001+98.321)</f>
        <v>#REF!</v>
      </c>
      <c r="AH27" s="124" t="e">
        <f>IF(ISBLANK(#REF!)=TRUE,"",#REF!*0.0000001+98.321)</f>
        <v>#REF!</v>
      </c>
      <c r="AI27" s="124" t="e">
        <f>IF(ISBLANK(#REF!)=TRUE,"",#REF!*0.0000001+98.321)</f>
        <v>#REF!</v>
      </c>
      <c r="AJ27" s="124" t="e">
        <f>IF(ISBLANK(#REF!)=TRUE,"",#REF!*0.0000001+98.321)</f>
        <v>#REF!</v>
      </c>
      <c r="AK27" s="124" t="e">
        <f>IF(ISBLANK(#REF!)=TRUE,"",#REF!*0.0000001+98.321)</f>
        <v>#REF!</v>
      </c>
      <c r="AL27" s="124" t="e">
        <f>IF(ISBLANK(#REF!)=TRUE,"",#REF!*0.0000001+98.321)</f>
        <v>#REF!</v>
      </c>
      <c r="AM27" s="124" t="e">
        <f>IF(ISBLANK(#REF!)=TRUE,"",#REF!*0.0000001+98.321)</f>
        <v>#REF!</v>
      </c>
      <c r="AN27" s="124" t="e">
        <f>IF(ISBLANK(#REF!)=TRUE,"",#REF!*0.0000001+98.321)</f>
        <v>#REF!</v>
      </c>
      <c r="AO27" s="124" t="e">
        <f>IF(ISBLANK(#REF!)=TRUE,"",#REF!*0.0000001+98.321)</f>
        <v>#REF!</v>
      </c>
      <c r="AP27" s="124" t="e">
        <f>IF(ISBLANK(#REF!)=TRUE,"",#REF!*0.0000001+98.321)</f>
        <v>#REF!</v>
      </c>
      <c r="AQ27" s="223" t="e">
        <f>IF(ISBLANK(#REF!)=TRUE,"",#REF!*0.0000001+98.321)</f>
        <v>#REF!</v>
      </c>
      <c r="AR27" s="24"/>
      <c r="AS27" s="111">
        <f t="shared" si="49"/>
        <v>1</v>
      </c>
      <c r="AT27" s="111" t="str">
        <f t="shared" si="50"/>
        <v/>
      </c>
      <c r="AU27" s="111" t="str">
        <f t="shared" si="51"/>
        <v/>
      </c>
      <c r="AV27" s="111" t="str">
        <f t="shared" si="52"/>
        <v/>
      </c>
      <c r="AW27" s="111" t="str">
        <f t="shared" si="53"/>
        <v/>
      </c>
      <c r="AX27" s="111" t="str">
        <f t="shared" si="54"/>
        <v/>
      </c>
      <c r="AY27" s="111" t="str">
        <f t="shared" si="55"/>
        <v/>
      </c>
      <c r="AZ27" s="111" t="str">
        <f t="shared" si="56"/>
        <v/>
      </c>
      <c r="BA27" s="111" t="str">
        <f t="shared" si="57"/>
        <v/>
      </c>
      <c r="BB27" s="111" t="str">
        <f t="shared" si="58"/>
        <v/>
      </c>
      <c r="BC27" s="111" t="str">
        <f t="shared" si="59"/>
        <v/>
      </c>
      <c r="BD27" s="111" t="str">
        <f t="shared" si="60"/>
        <v/>
      </c>
      <c r="BE27" s="111" t="str">
        <f t="shared" si="61"/>
        <v/>
      </c>
      <c r="BF27" s="111" t="str">
        <f t="shared" si="62"/>
        <v/>
      </c>
      <c r="BG27" s="111" t="str">
        <f t="shared" si="63"/>
        <v/>
      </c>
      <c r="BH27" s="111" t="str">
        <f t="shared" si="64"/>
        <v/>
      </c>
      <c r="BI27" s="111" t="str">
        <f t="shared" si="65"/>
        <v/>
      </c>
      <c r="BJ27" s="111" t="str">
        <f t="shared" si="66"/>
        <v/>
      </c>
      <c r="BK27" s="111" t="str">
        <f t="shared" si="67"/>
        <v/>
      </c>
      <c r="BL27" s="111" t="str">
        <f t="shared" si="68"/>
        <v/>
      </c>
      <c r="BM27" s="171" t="str">
        <f t="shared" si="69"/>
        <v/>
      </c>
      <c r="BN27" s="25"/>
    </row>
    <row r="28" spans="1:66">
      <c r="A28" s="64"/>
      <c r="B28" s="23"/>
      <c r="C28" s="50"/>
      <c r="D28" s="23"/>
      <c r="E28" s="212"/>
      <c r="F28" s="58"/>
      <c r="G28" s="59"/>
      <c r="H28" s="60"/>
      <c r="I28" s="58"/>
      <c r="J28" s="59"/>
      <c r="K28" s="61"/>
      <c r="L28" s="52"/>
      <c r="M28" s="62"/>
      <c r="N28" s="59"/>
      <c r="O28" s="59"/>
      <c r="P28" s="59"/>
      <c r="Q28" s="59"/>
      <c r="R28" s="203"/>
      <c r="S28" s="52"/>
      <c r="T28" s="52"/>
      <c r="U28" s="52"/>
      <c r="V28" s="63"/>
      <c r="W28" s="124">
        <f t="shared" si="70"/>
        <v>98.320999999999998</v>
      </c>
      <c r="X28" s="124" t="e">
        <f>IF(ISBLANK(#REF!)=TRUE,"",#REF!*0.0000001+98.321)</f>
        <v>#REF!</v>
      </c>
      <c r="Y28" s="124" t="e">
        <f>IF(ISBLANK(#REF!)=TRUE,"",#REF!*0.0000001+98.321)</f>
        <v>#REF!</v>
      </c>
      <c r="Z28" s="124" t="e">
        <f>IF(ISBLANK(#REF!)=TRUE,"",#REF!*0.0000001+98.321)</f>
        <v>#REF!</v>
      </c>
      <c r="AA28" s="124" t="e">
        <f>IF(ISBLANK(#REF!)=TRUE,"",#REF!*0.0000001+98.321)</f>
        <v>#REF!</v>
      </c>
      <c r="AB28" s="124" t="e">
        <f>IF(ISBLANK(#REF!)=TRUE,"",#REF!*0.0000001+98.321)</f>
        <v>#REF!</v>
      </c>
      <c r="AC28" s="124" t="e">
        <f>IF(ISBLANK(#REF!)=TRUE,"",#REF!*0.0000001+98.321)</f>
        <v>#REF!</v>
      </c>
      <c r="AD28" s="124" t="e">
        <f>IF(ISBLANK(#REF!)=TRUE,"",#REF!*0.0000001+98.321)</f>
        <v>#REF!</v>
      </c>
      <c r="AE28" s="124" t="e">
        <f>IF(ISBLANK(#REF!)=TRUE,"",#REF!*0.0000001+98.321)</f>
        <v>#REF!</v>
      </c>
      <c r="AF28" s="124" t="e">
        <f>IF(ISBLANK(#REF!)=TRUE,"",#REF!*0.0000001+98.321)</f>
        <v>#REF!</v>
      </c>
      <c r="AG28" s="124" t="e">
        <f>IF(ISBLANK(#REF!)=TRUE,"",#REF!*0.0000001+98.321)</f>
        <v>#REF!</v>
      </c>
      <c r="AH28" s="124" t="e">
        <f>IF(ISBLANK(#REF!)=TRUE,"",#REF!*0.0000001+98.321)</f>
        <v>#REF!</v>
      </c>
      <c r="AI28" s="124" t="e">
        <f>IF(ISBLANK(#REF!)=TRUE,"",#REF!*0.0000001+98.321)</f>
        <v>#REF!</v>
      </c>
      <c r="AJ28" s="124" t="e">
        <f>IF(ISBLANK(#REF!)=TRUE,"",#REF!*0.0000001+98.321)</f>
        <v>#REF!</v>
      </c>
      <c r="AK28" s="124" t="e">
        <f>IF(ISBLANK(#REF!)=TRUE,"",#REF!*0.0000001+98.321)</f>
        <v>#REF!</v>
      </c>
      <c r="AL28" s="124" t="e">
        <f>IF(ISBLANK(#REF!)=TRUE,"",#REF!*0.0000001+98.321)</f>
        <v>#REF!</v>
      </c>
      <c r="AM28" s="124" t="e">
        <f>IF(ISBLANK(#REF!)=TRUE,"",#REF!*0.0000001+98.321)</f>
        <v>#REF!</v>
      </c>
      <c r="AN28" s="124" t="e">
        <f>IF(ISBLANK(#REF!)=TRUE,"",#REF!*0.0000001+98.321)</f>
        <v>#REF!</v>
      </c>
      <c r="AO28" s="124" t="e">
        <f>IF(ISBLANK(#REF!)=TRUE,"",#REF!*0.0000001+98.321)</f>
        <v>#REF!</v>
      </c>
      <c r="AP28" s="124" t="e">
        <f>IF(ISBLANK(#REF!)=TRUE,"",#REF!*0.0000001+98.321)</f>
        <v>#REF!</v>
      </c>
      <c r="AQ28" s="223" t="e">
        <f>IF(ISBLANK(#REF!)=TRUE,"",#REF!*0.0000001+98.321)</f>
        <v>#REF!</v>
      </c>
      <c r="AR28" s="24"/>
      <c r="AS28" s="111">
        <f t="shared" si="49"/>
        <v>1</v>
      </c>
      <c r="AT28" s="111" t="str">
        <f t="shared" si="50"/>
        <v/>
      </c>
      <c r="AU28" s="111" t="str">
        <f t="shared" si="51"/>
        <v/>
      </c>
      <c r="AV28" s="111" t="str">
        <f t="shared" si="52"/>
        <v/>
      </c>
      <c r="AW28" s="111" t="str">
        <f t="shared" si="53"/>
        <v/>
      </c>
      <c r="AX28" s="111" t="str">
        <f t="shared" si="54"/>
        <v/>
      </c>
      <c r="AY28" s="111" t="str">
        <f t="shared" si="55"/>
        <v/>
      </c>
      <c r="AZ28" s="111" t="str">
        <f t="shared" si="56"/>
        <v/>
      </c>
      <c r="BA28" s="111" t="str">
        <f t="shared" si="57"/>
        <v/>
      </c>
      <c r="BB28" s="111" t="str">
        <f t="shared" si="58"/>
        <v/>
      </c>
      <c r="BC28" s="111" t="str">
        <f t="shared" si="59"/>
        <v/>
      </c>
      <c r="BD28" s="111" t="str">
        <f t="shared" si="60"/>
        <v/>
      </c>
      <c r="BE28" s="111" t="str">
        <f t="shared" si="61"/>
        <v/>
      </c>
      <c r="BF28" s="111" t="str">
        <f t="shared" si="62"/>
        <v/>
      </c>
      <c r="BG28" s="111" t="str">
        <f t="shared" si="63"/>
        <v/>
      </c>
      <c r="BH28" s="111" t="str">
        <f t="shared" si="64"/>
        <v/>
      </c>
      <c r="BI28" s="111" t="str">
        <f t="shared" si="65"/>
        <v/>
      </c>
      <c r="BJ28" s="111" t="str">
        <f t="shared" si="66"/>
        <v/>
      </c>
      <c r="BK28" s="111" t="str">
        <f t="shared" si="67"/>
        <v/>
      </c>
      <c r="BL28" s="111" t="str">
        <f t="shared" si="68"/>
        <v/>
      </c>
      <c r="BM28" s="171" t="str">
        <f t="shared" si="69"/>
        <v/>
      </c>
      <c r="BN28" s="25"/>
    </row>
    <row r="29" spans="1:66">
      <c r="A29" s="64"/>
      <c r="B29" s="23"/>
      <c r="C29" s="50"/>
      <c r="D29" s="23"/>
      <c r="E29" s="212"/>
      <c r="F29" s="58"/>
      <c r="G29" s="59"/>
      <c r="H29" s="60"/>
      <c r="I29" s="58"/>
      <c r="J29" s="59"/>
      <c r="K29" s="61"/>
      <c r="L29" s="52"/>
      <c r="M29" s="62"/>
      <c r="N29" s="59"/>
      <c r="O29" s="59"/>
      <c r="P29" s="59"/>
      <c r="Q29" s="59"/>
      <c r="R29" s="203"/>
      <c r="S29" s="52"/>
      <c r="T29" s="52"/>
      <c r="U29" s="52"/>
      <c r="V29" s="63"/>
      <c r="W29" s="124">
        <f t="shared" si="70"/>
        <v>98.320999999999998</v>
      </c>
      <c r="X29" s="124" t="e">
        <f>IF(ISBLANK(#REF!)=TRUE,"",#REF!*0.0000001+98.321)</f>
        <v>#REF!</v>
      </c>
      <c r="Y29" s="124" t="e">
        <f>IF(ISBLANK(#REF!)=TRUE,"",#REF!*0.0000001+98.321)</f>
        <v>#REF!</v>
      </c>
      <c r="Z29" s="124" t="e">
        <f>IF(ISBLANK(#REF!)=TRUE,"",#REF!*0.0000001+98.321)</f>
        <v>#REF!</v>
      </c>
      <c r="AA29" s="124" t="e">
        <f>IF(ISBLANK(#REF!)=TRUE,"",#REF!*0.0000001+98.321)</f>
        <v>#REF!</v>
      </c>
      <c r="AB29" s="124" t="e">
        <f>IF(ISBLANK(#REF!)=TRUE,"",#REF!*0.0000001+98.321)</f>
        <v>#REF!</v>
      </c>
      <c r="AC29" s="124" t="e">
        <f>IF(ISBLANK(#REF!)=TRUE,"",#REF!*0.0000001+98.321)</f>
        <v>#REF!</v>
      </c>
      <c r="AD29" s="124" t="e">
        <f>IF(ISBLANK(#REF!)=TRUE,"",#REF!*0.0000001+98.321)</f>
        <v>#REF!</v>
      </c>
      <c r="AE29" s="124" t="e">
        <f>IF(ISBLANK(#REF!)=TRUE,"",#REF!*0.0000001+98.321)</f>
        <v>#REF!</v>
      </c>
      <c r="AF29" s="124" t="e">
        <f>IF(ISBLANK(#REF!)=TRUE,"",#REF!*0.0000001+98.321)</f>
        <v>#REF!</v>
      </c>
      <c r="AG29" s="124" t="e">
        <f>IF(ISBLANK(#REF!)=TRUE,"",#REF!*0.0000001+98.321)</f>
        <v>#REF!</v>
      </c>
      <c r="AH29" s="124" t="e">
        <f>IF(ISBLANK(#REF!)=TRUE,"",#REF!*0.0000001+98.321)</f>
        <v>#REF!</v>
      </c>
      <c r="AI29" s="124" t="e">
        <f>IF(ISBLANK(#REF!)=TRUE,"",#REF!*0.0000001+98.321)</f>
        <v>#REF!</v>
      </c>
      <c r="AJ29" s="124" t="e">
        <f>IF(ISBLANK(#REF!)=TRUE,"",#REF!*0.0000001+98.321)</f>
        <v>#REF!</v>
      </c>
      <c r="AK29" s="124" t="e">
        <f>IF(ISBLANK(#REF!)=TRUE,"",#REF!*0.0000001+98.321)</f>
        <v>#REF!</v>
      </c>
      <c r="AL29" s="124" t="e">
        <f>IF(ISBLANK(#REF!)=TRUE,"",#REF!*0.0000001+98.321)</f>
        <v>#REF!</v>
      </c>
      <c r="AM29" s="124" t="e">
        <f>IF(ISBLANK(#REF!)=TRUE,"",#REF!*0.0000001+98.321)</f>
        <v>#REF!</v>
      </c>
      <c r="AN29" s="124" t="e">
        <f>IF(ISBLANK(#REF!)=TRUE,"",#REF!*0.0000001+98.321)</f>
        <v>#REF!</v>
      </c>
      <c r="AO29" s="124" t="e">
        <f>IF(ISBLANK(#REF!)=TRUE,"",#REF!*0.0000001+98.321)</f>
        <v>#REF!</v>
      </c>
      <c r="AP29" s="124" t="e">
        <f>IF(ISBLANK(#REF!)=TRUE,"",#REF!*0.0000001+98.321)</f>
        <v>#REF!</v>
      </c>
      <c r="AQ29" s="223" t="e">
        <f>IF(ISBLANK(#REF!)=TRUE,"",#REF!*0.0000001+98.321)</f>
        <v>#REF!</v>
      </c>
      <c r="AR29" s="24"/>
      <c r="AS29" s="111">
        <f t="shared" si="49"/>
        <v>1</v>
      </c>
      <c r="AT29" s="111" t="str">
        <f t="shared" si="50"/>
        <v/>
      </c>
      <c r="AU29" s="111" t="str">
        <f t="shared" si="51"/>
        <v/>
      </c>
      <c r="AV29" s="111" t="str">
        <f t="shared" si="52"/>
        <v/>
      </c>
      <c r="AW29" s="111" t="str">
        <f t="shared" si="53"/>
        <v/>
      </c>
      <c r="AX29" s="111" t="str">
        <f t="shared" si="54"/>
        <v/>
      </c>
      <c r="AY29" s="111" t="str">
        <f t="shared" si="55"/>
        <v/>
      </c>
      <c r="AZ29" s="111" t="str">
        <f t="shared" si="56"/>
        <v/>
      </c>
      <c r="BA29" s="111" t="str">
        <f t="shared" si="57"/>
        <v/>
      </c>
      <c r="BB29" s="111" t="str">
        <f t="shared" si="58"/>
        <v/>
      </c>
      <c r="BC29" s="111" t="str">
        <f t="shared" si="59"/>
        <v/>
      </c>
      <c r="BD29" s="111" t="str">
        <f t="shared" si="60"/>
        <v/>
      </c>
      <c r="BE29" s="111" t="str">
        <f t="shared" si="61"/>
        <v/>
      </c>
      <c r="BF29" s="111" t="str">
        <f t="shared" si="62"/>
        <v/>
      </c>
      <c r="BG29" s="111" t="str">
        <f t="shared" si="63"/>
        <v/>
      </c>
      <c r="BH29" s="111" t="str">
        <f t="shared" si="64"/>
        <v/>
      </c>
      <c r="BI29" s="111" t="str">
        <f t="shared" si="65"/>
        <v/>
      </c>
      <c r="BJ29" s="111" t="str">
        <f t="shared" si="66"/>
        <v/>
      </c>
      <c r="BK29" s="111" t="str">
        <f t="shared" si="67"/>
        <v/>
      </c>
      <c r="BL29" s="111" t="str">
        <f t="shared" si="68"/>
        <v/>
      </c>
      <c r="BM29" s="171" t="str">
        <f t="shared" si="69"/>
        <v/>
      </c>
      <c r="BN29" s="25"/>
    </row>
    <row r="30" spans="1:66">
      <c r="A30" s="64"/>
      <c r="B30" s="23"/>
      <c r="C30" s="50"/>
      <c r="D30" s="23"/>
      <c r="E30" s="212"/>
      <c r="F30" s="58"/>
      <c r="G30" s="59"/>
      <c r="H30" s="60"/>
      <c r="I30" s="58"/>
      <c r="J30" s="59"/>
      <c r="K30" s="61"/>
      <c r="L30" s="52"/>
      <c r="M30" s="62"/>
      <c r="N30" s="59"/>
      <c r="O30" s="59"/>
      <c r="P30" s="59"/>
      <c r="Q30" s="59"/>
      <c r="R30" s="203"/>
      <c r="S30" s="52"/>
      <c r="T30" s="52"/>
      <c r="U30" s="52"/>
      <c r="V30" s="63"/>
      <c r="W30" s="124">
        <f t="shared" si="70"/>
        <v>98.320999999999998</v>
      </c>
      <c r="X30" s="124" t="e">
        <f>IF(ISBLANK(#REF!)=TRUE,"",#REF!*0.0000001+98.321)</f>
        <v>#REF!</v>
      </c>
      <c r="Y30" s="124" t="e">
        <f>IF(ISBLANK(#REF!)=TRUE,"",#REF!*0.0000001+98.321)</f>
        <v>#REF!</v>
      </c>
      <c r="Z30" s="124" t="e">
        <f>IF(ISBLANK(#REF!)=TRUE,"",#REF!*0.0000001+98.321)</f>
        <v>#REF!</v>
      </c>
      <c r="AA30" s="124" t="e">
        <f>IF(ISBLANK(#REF!)=TRUE,"",#REF!*0.0000001+98.321)</f>
        <v>#REF!</v>
      </c>
      <c r="AB30" s="124" t="e">
        <f>IF(ISBLANK(#REF!)=TRUE,"",#REF!*0.0000001+98.321)</f>
        <v>#REF!</v>
      </c>
      <c r="AC30" s="124" t="e">
        <f>IF(ISBLANK(#REF!)=TRUE,"",#REF!*0.0000001+98.321)</f>
        <v>#REF!</v>
      </c>
      <c r="AD30" s="124" t="e">
        <f>IF(ISBLANK(#REF!)=TRUE,"",#REF!*0.0000001+98.321)</f>
        <v>#REF!</v>
      </c>
      <c r="AE30" s="124" t="e">
        <f>IF(ISBLANK(#REF!)=TRUE,"",#REF!*0.0000001+98.321)</f>
        <v>#REF!</v>
      </c>
      <c r="AF30" s="124" t="e">
        <f>IF(ISBLANK(#REF!)=TRUE,"",#REF!*0.0000001+98.321)</f>
        <v>#REF!</v>
      </c>
      <c r="AG30" s="124" t="e">
        <f>IF(ISBLANK(#REF!)=TRUE,"",#REF!*0.0000001+98.321)</f>
        <v>#REF!</v>
      </c>
      <c r="AH30" s="124" t="e">
        <f>IF(ISBLANK(#REF!)=TRUE,"",#REF!*0.0000001+98.321)</f>
        <v>#REF!</v>
      </c>
      <c r="AI30" s="124" t="e">
        <f>IF(ISBLANK(#REF!)=TRUE,"",#REF!*0.0000001+98.321)</f>
        <v>#REF!</v>
      </c>
      <c r="AJ30" s="124" t="e">
        <f>IF(ISBLANK(#REF!)=TRUE,"",#REF!*0.0000001+98.321)</f>
        <v>#REF!</v>
      </c>
      <c r="AK30" s="124" t="e">
        <f>IF(ISBLANK(#REF!)=TRUE,"",#REF!*0.0000001+98.321)</f>
        <v>#REF!</v>
      </c>
      <c r="AL30" s="124" t="e">
        <f>IF(ISBLANK(#REF!)=TRUE,"",#REF!*0.0000001+98.321)</f>
        <v>#REF!</v>
      </c>
      <c r="AM30" s="124" t="e">
        <f>IF(ISBLANK(#REF!)=TRUE,"",#REF!*0.0000001+98.321)</f>
        <v>#REF!</v>
      </c>
      <c r="AN30" s="124" t="e">
        <f>IF(ISBLANK(#REF!)=TRUE,"",#REF!*0.0000001+98.321)</f>
        <v>#REF!</v>
      </c>
      <c r="AO30" s="124" t="e">
        <f>IF(ISBLANK(#REF!)=TRUE,"",#REF!*0.0000001+98.321)</f>
        <v>#REF!</v>
      </c>
      <c r="AP30" s="124" t="e">
        <f>IF(ISBLANK(#REF!)=TRUE,"",#REF!*0.0000001+98.321)</f>
        <v>#REF!</v>
      </c>
      <c r="AQ30" s="223" t="e">
        <f>IF(ISBLANK(#REF!)=TRUE,"",#REF!*0.0000001+98.321)</f>
        <v>#REF!</v>
      </c>
      <c r="AR30" s="24"/>
      <c r="AS30" s="111">
        <f t="shared" si="49"/>
        <v>1</v>
      </c>
      <c r="AT30" s="111" t="str">
        <f t="shared" si="50"/>
        <v/>
      </c>
      <c r="AU30" s="111" t="str">
        <f t="shared" si="51"/>
        <v/>
      </c>
      <c r="AV30" s="111" t="str">
        <f t="shared" si="52"/>
        <v/>
      </c>
      <c r="AW30" s="111" t="str">
        <f t="shared" si="53"/>
        <v/>
      </c>
      <c r="AX30" s="111" t="str">
        <f t="shared" si="54"/>
        <v/>
      </c>
      <c r="AY30" s="111" t="str">
        <f t="shared" si="55"/>
        <v/>
      </c>
      <c r="AZ30" s="111" t="str">
        <f t="shared" si="56"/>
        <v/>
      </c>
      <c r="BA30" s="111" t="str">
        <f t="shared" si="57"/>
        <v/>
      </c>
      <c r="BB30" s="111" t="str">
        <f t="shared" si="58"/>
        <v/>
      </c>
      <c r="BC30" s="111" t="str">
        <f t="shared" si="59"/>
        <v/>
      </c>
      <c r="BD30" s="111" t="str">
        <f t="shared" si="60"/>
        <v/>
      </c>
      <c r="BE30" s="111" t="str">
        <f t="shared" si="61"/>
        <v/>
      </c>
      <c r="BF30" s="111" t="str">
        <f t="shared" si="62"/>
        <v/>
      </c>
      <c r="BG30" s="111" t="str">
        <f t="shared" si="63"/>
        <v/>
      </c>
      <c r="BH30" s="111" t="str">
        <f t="shared" si="64"/>
        <v/>
      </c>
      <c r="BI30" s="111" t="str">
        <f t="shared" si="65"/>
        <v/>
      </c>
      <c r="BJ30" s="111" t="str">
        <f t="shared" si="66"/>
        <v/>
      </c>
      <c r="BK30" s="111" t="str">
        <f t="shared" si="67"/>
        <v/>
      </c>
      <c r="BL30" s="111" t="str">
        <f t="shared" si="68"/>
        <v/>
      </c>
      <c r="BM30" s="171" t="str">
        <f t="shared" si="69"/>
        <v/>
      </c>
      <c r="BN30" s="25"/>
    </row>
    <row r="31" spans="1:66">
      <c r="A31" s="64"/>
      <c r="B31" s="23"/>
      <c r="C31" s="50"/>
      <c r="D31" s="23"/>
      <c r="E31" s="212"/>
      <c r="F31" s="58"/>
      <c r="G31" s="59"/>
      <c r="H31" s="60"/>
      <c r="I31" s="58"/>
      <c r="J31" s="59"/>
      <c r="K31" s="61"/>
      <c r="L31" s="52"/>
      <c r="M31" s="62"/>
      <c r="N31" s="59"/>
      <c r="O31" s="59"/>
      <c r="P31" s="59"/>
      <c r="Q31" s="59"/>
      <c r="R31" s="203"/>
      <c r="S31" s="52"/>
      <c r="T31" s="52"/>
      <c r="U31" s="52"/>
      <c r="V31" s="63"/>
      <c r="W31" s="124">
        <f t="shared" si="70"/>
        <v>98.320999999999998</v>
      </c>
      <c r="X31" s="124" t="e">
        <f>IF(ISBLANK(#REF!)=TRUE,"",#REF!*0.0000001+98.321)</f>
        <v>#REF!</v>
      </c>
      <c r="Y31" s="124" t="e">
        <f>IF(ISBLANK(#REF!)=TRUE,"",#REF!*0.0000001+98.321)</f>
        <v>#REF!</v>
      </c>
      <c r="Z31" s="124" t="e">
        <f>IF(ISBLANK(#REF!)=TRUE,"",#REF!*0.0000001+98.321)</f>
        <v>#REF!</v>
      </c>
      <c r="AA31" s="124" t="e">
        <f>IF(ISBLANK(#REF!)=TRUE,"",#REF!*0.0000001+98.321)</f>
        <v>#REF!</v>
      </c>
      <c r="AB31" s="124" t="e">
        <f>IF(ISBLANK(#REF!)=TRUE,"",#REF!*0.0000001+98.321)</f>
        <v>#REF!</v>
      </c>
      <c r="AC31" s="124" t="e">
        <f>IF(ISBLANK(#REF!)=TRUE,"",#REF!*0.0000001+98.321)</f>
        <v>#REF!</v>
      </c>
      <c r="AD31" s="224" t="e">
        <f>IF(ISBLANK(#REF!)=TRUE,"",#REF!*0.0000001+98.321)</f>
        <v>#REF!</v>
      </c>
      <c r="AE31" s="224" t="e">
        <f>IF(ISBLANK(#REF!)=TRUE,"",#REF!*0.0000001+98.321)</f>
        <v>#REF!</v>
      </c>
      <c r="AF31" s="224" t="e">
        <f>IF(ISBLANK(#REF!)=TRUE,"",#REF!*0.0000001+98.321)</f>
        <v>#REF!</v>
      </c>
      <c r="AG31" s="224" t="e">
        <f>IF(ISBLANK(#REF!)=TRUE,"",#REF!*0.0000001+98.321)</f>
        <v>#REF!</v>
      </c>
      <c r="AH31" s="224" t="e">
        <f>IF(ISBLANK(#REF!)=TRUE,"",#REF!*0.0000001+98.321)</f>
        <v>#REF!</v>
      </c>
      <c r="AI31" s="224" t="e">
        <f>IF(ISBLANK(#REF!)=TRUE,"",#REF!*0.0000001+98.321)</f>
        <v>#REF!</v>
      </c>
      <c r="AJ31" s="224" t="e">
        <f>IF(ISBLANK(#REF!)=TRUE,"",#REF!*0.0000001+98.321)</f>
        <v>#REF!</v>
      </c>
      <c r="AK31" s="224" t="e">
        <f>IF(ISBLANK(#REF!)=TRUE,"",#REF!*0.0000001+98.321)</f>
        <v>#REF!</v>
      </c>
      <c r="AL31" s="224" t="e">
        <f>IF(ISBLANK(#REF!)=TRUE,"",#REF!*0.0000001+98.321)</f>
        <v>#REF!</v>
      </c>
      <c r="AM31" s="224" t="e">
        <f>IF(ISBLANK(#REF!)=TRUE,"",#REF!*0.0000001+98.321)</f>
        <v>#REF!</v>
      </c>
      <c r="AN31" s="224" t="e">
        <f>IF(ISBLANK(#REF!)=TRUE,"",#REF!*0.0000001+98.321)</f>
        <v>#REF!</v>
      </c>
      <c r="AO31" s="224" t="e">
        <f>IF(ISBLANK(#REF!)=TRUE,"",#REF!*0.0000001+98.321)</f>
        <v>#REF!</v>
      </c>
      <c r="AP31" s="224" t="e">
        <f>IF(ISBLANK(#REF!)=TRUE,"",#REF!*0.0000001+98.321)</f>
        <v>#REF!</v>
      </c>
      <c r="AQ31" s="225" t="e">
        <f>IF(ISBLANK(#REF!)=TRUE,"",#REF!*0.0000001+98.321)</f>
        <v>#REF!</v>
      </c>
      <c r="AR31" s="24"/>
      <c r="AS31" s="117">
        <f t="shared" si="49"/>
        <v>1</v>
      </c>
      <c r="AT31" s="117" t="str">
        <f t="shared" si="50"/>
        <v/>
      </c>
      <c r="AU31" s="117" t="str">
        <f t="shared" si="51"/>
        <v/>
      </c>
      <c r="AV31" s="117" t="str">
        <f t="shared" si="52"/>
        <v/>
      </c>
      <c r="AW31" s="117" t="str">
        <f t="shared" si="53"/>
        <v/>
      </c>
      <c r="AX31" s="117" t="str">
        <f t="shared" si="54"/>
        <v/>
      </c>
      <c r="AY31" s="117" t="str">
        <f t="shared" si="55"/>
        <v/>
      </c>
      <c r="AZ31" s="117" t="str">
        <f t="shared" si="56"/>
        <v/>
      </c>
      <c r="BA31" s="117" t="str">
        <f t="shared" si="57"/>
        <v/>
      </c>
      <c r="BB31" s="117" t="str">
        <f t="shared" si="58"/>
        <v/>
      </c>
      <c r="BC31" s="117" t="str">
        <f t="shared" si="59"/>
        <v/>
      </c>
      <c r="BD31" s="117" t="str">
        <f t="shared" si="60"/>
        <v/>
      </c>
      <c r="BE31" s="117" t="str">
        <f t="shared" si="61"/>
        <v/>
      </c>
      <c r="BF31" s="117" t="str">
        <f t="shared" si="62"/>
        <v/>
      </c>
      <c r="BG31" s="117" t="str">
        <f t="shared" si="63"/>
        <v/>
      </c>
      <c r="BH31" s="117" t="str">
        <f t="shared" si="64"/>
        <v/>
      </c>
      <c r="BI31" s="117" t="str">
        <f t="shared" si="65"/>
        <v/>
      </c>
      <c r="BJ31" s="117" t="str">
        <f t="shared" si="66"/>
        <v/>
      </c>
      <c r="BK31" s="117" t="str">
        <f t="shared" si="67"/>
        <v/>
      </c>
      <c r="BL31" s="117" t="str">
        <f t="shared" si="68"/>
        <v/>
      </c>
      <c r="BM31" s="221" t="str">
        <f t="shared" si="69"/>
        <v/>
      </c>
      <c r="BN31" s="25"/>
    </row>
    <row r="32" spans="1:66" s="133" customFormat="1">
      <c r="A32" s="197"/>
      <c r="B32" s="144"/>
      <c r="C32" s="132"/>
      <c r="D32" s="144"/>
      <c r="E32" s="214"/>
      <c r="F32" s="195"/>
      <c r="G32" s="134"/>
      <c r="H32" s="134"/>
      <c r="I32" s="195"/>
      <c r="J32" s="196"/>
      <c r="K32" s="198"/>
      <c r="L32" s="196"/>
      <c r="M32" s="199"/>
      <c r="N32" s="196"/>
      <c r="O32" s="196"/>
      <c r="P32" s="196"/>
      <c r="Q32" s="196"/>
      <c r="R32" s="200"/>
      <c r="S32" s="201"/>
      <c r="T32" s="201"/>
      <c r="U32" s="201"/>
      <c r="V32" s="144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</row>
    <row r="33" spans="1:67" s="1" customFormat="1" ht="15">
      <c r="A33" s="140"/>
      <c r="B33" s="140"/>
      <c r="C33" s="140"/>
      <c r="D33" s="20"/>
      <c r="E33" s="157" t="s">
        <v>25</v>
      </c>
      <c r="F33" s="68"/>
      <c r="G33" s="141"/>
      <c r="H33" s="141"/>
      <c r="I33" s="163" t="s">
        <v>25</v>
      </c>
      <c r="J33" s="164"/>
      <c r="K33" s="164"/>
      <c r="L33" s="164"/>
      <c r="M33" s="165"/>
      <c r="N33" s="164"/>
      <c r="O33" s="164"/>
      <c r="P33" s="164"/>
      <c r="Q33" s="164"/>
      <c r="R33" s="162"/>
      <c r="S33" s="161"/>
      <c r="T33" s="160"/>
      <c r="U33" s="160"/>
      <c r="V33" s="103" t="s">
        <v>12</v>
      </c>
      <c r="W33" s="128">
        <f t="array" ref="W33">IFERROR(AVERAGE(W5:W31),"")</f>
        <v>178.76506666666663</v>
      </c>
      <c r="X33" s="128" t="str">
        <f t="array" ref="X33">IFERROR(AVERAGE(X5:X31),"")</f>
        <v/>
      </c>
      <c r="Y33" s="128" t="str">
        <f t="array" ref="Y33">IFERROR(AVERAGE(Y5:Y31),"")</f>
        <v/>
      </c>
      <c r="Z33" s="128" t="str">
        <f t="shared" ref="Z33:AQ33" si="71">IFERROR(AVERAGE(Z5:Z31),"")</f>
        <v/>
      </c>
      <c r="AA33" s="128" t="str">
        <f t="shared" si="71"/>
        <v/>
      </c>
      <c r="AB33" s="128" t="str">
        <f t="shared" si="71"/>
        <v/>
      </c>
      <c r="AC33" s="128" t="str">
        <f t="shared" si="71"/>
        <v/>
      </c>
      <c r="AD33" s="128" t="str">
        <f t="shared" si="71"/>
        <v/>
      </c>
      <c r="AE33" s="128" t="str">
        <f t="shared" si="71"/>
        <v/>
      </c>
      <c r="AF33" s="128" t="str">
        <f t="shared" si="71"/>
        <v/>
      </c>
      <c r="AG33" s="128" t="str">
        <f t="shared" si="71"/>
        <v/>
      </c>
      <c r="AH33" s="128" t="str">
        <f t="shared" si="71"/>
        <v/>
      </c>
      <c r="AI33" s="128" t="str">
        <f t="shared" si="71"/>
        <v/>
      </c>
      <c r="AJ33" s="128" t="str">
        <f t="shared" si="71"/>
        <v/>
      </c>
      <c r="AK33" s="128" t="str">
        <f t="shared" si="71"/>
        <v/>
      </c>
      <c r="AL33" s="128" t="str">
        <f t="shared" si="71"/>
        <v/>
      </c>
      <c r="AM33" s="128" t="str">
        <f t="shared" si="71"/>
        <v/>
      </c>
      <c r="AN33" s="128" t="str">
        <f t="shared" si="71"/>
        <v/>
      </c>
      <c r="AO33" s="128" t="str">
        <f t="shared" si="71"/>
        <v/>
      </c>
      <c r="AP33" s="128" t="str">
        <f t="shared" si="71"/>
        <v/>
      </c>
      <c r="AQ33" s="128" t="str">
        <f t="shared" si="71"/>
        <v/>
      </c>
      <c r="AR33" s="103" t="s">
        <v>12</v>
      </c>
      <c r="AS33" s="113">
        <f t="shared" ref="AS33:BN33" si="72">IFERROR(AVERAGE(AS5:AS31),"")</f>
        <v>1</v>
      </c>
      <c r="AT33" s="113" t="str">
        <f t="shared" si="72"/>
        <v/>
      </c>
      <c r="AU33" s="113" t="str">
        <f t="shared" si="72"/>
        <v/>
      </c>
      <c r="AV33" s="113" t="str">
        <f t="shared" si="72"/>
        <v/>
      </c>
      <c r="AW33" s="113" t="str">
        <f t="shared" si="72"/>
        <v/>
      </c>
      <c r="AX33" s="113" t="str">
        <f t="shared" si="72"/>
        <v/>
      </c>
      <c r="AY33" s="113" t="str">
        <f t="shared" si="72"/>
        <v/>
      </c>
      <c r="AZ33" s="113" t="str">
        <f t="shared" si="72"/>
        <v/>
      </c>
      <c r="BA33" s="113" t="str">
        <f t="shared" si="72"/>
        <v/>
      </c>
      <c r="BB33" s="113" t="str">
        <f t="shared" si="72"/>
        <v/>
      </c>
      <c r="BC33" s="113" t="str">
        <f t="shared" si="72"/>
        <v/>
      </c>
      <c r="BD33" s="113" t="str">
        <f t="shared" si="72"/>
        <v/>
      </c>
      <c r="BE33" s="113" t="str">
        <f t="shared" si="72"/>
        <v/>
      </c>
      <c r="BF33" s="113" t="str">
        <f t="shared" si="72"/>
        <v/>
      </c>
      <c r="BG33" s="113" t="str">
        <f t="shared" si="72"/>
        <v/>
      </c>
      <c r="BH33" s="113" t="str">
        <f t="shared" si="72"/>
        <v/>
      </c>
      <c r="BI33" s="113" t="str">
        <f t="shared" si="72"/>
        <v/>
      </c>
      <c r="BJ33" s="113" t="str">
        <f t="shared" si="72"/>
        <v/>
      </c>
      <c r="BK33" s="113" t="str">
        <f t="shared" si="72"/>
        <v/>
      </c>
      <c r="BL33" s="113" t="str">
        <f t="shared" si="72"/>
        <v/>
      </c>
      <c r="BM33" s="113" t="str">
        <f t="shared" si="72"/>
        <v/>
      </c>
      <c r="BN33" s="113" t="str">
        <f t="shared" si="72"/>
        <v/>
      </c>
      <c r="BO33" s="118"/>
    </row>
    <row r="34" spans="1:67" s="1" customFormat="1" ht="15">
      <c r="A34" s="19"/>
      <c r="B34" s="20"/>
      <c r="C34" s="21"/>
      <c r="D34" s="20"/>
      <c r="E34" s="149"/>
      <c r="F34" s="22"/>
      <c r="G34" s="18"/>
      <c r="H34" s="18"/>
      <c r="I34" s="166"/>
      <c r="J34" s="164"/>
      <c r="K34" s="164"/>
      <c r="L34" s="164"/>
      <c r="M34" s="165"/>
      <c r="N34" s="164"/>
      <c r="O34" s="164"/>
      <c r="P34" s="164"/>
      <c r="Q34" s="164"/>
      <c r="R34" s="162"/>
      <c r="S34" s="161"/>
      <c r="T34" s="160"/>
      <c r="U34" s="160"/>
      <c r="V34" s="103" t="s">
        <v>14</v>
      </c>
      <c r="W34" s="125">
        <f>IFERROR(STDEVA(W5:W31),"")</f>
        <v>162.0521248688828</v>
      </c>
      <c r="X34" s="125" t="str">
        <f t="array" ref="X34">IFERROR(STDEVA(X5:X31),"")</f>
        <v/>
      </c>
      <c r="Y34" s="125" t="str">
        <f t="shared" ref="Y34:AQ34" si="73">IFERROR(STDEVA(Y5:Y31),"")</f>
        <v/>
      </c>
      <c r="Z34" s="125" t="str">
        <f t="shared" si="73"/>
        <v/>
      </c>
      <c r="AA34" s="125" t="str">
        <f t="shared" si="73"/>
        <v/>
      </c>
      <c r="AB34" s="125" t="str">
        <f t="shared" si="73"/>
        <v/>
      </c>
      <c r="AC34" s="125" t="str">
        <f t="shared" si="73"/>
        <v/>
      </c>
      <c r="AD34" s="125" t="str">
        <f t="shared" si="73"/>
        <v/>
      </c>
      <c r="AE34" s="125" t="str">
        <f t="shared" si="73"/>
        <v/>
      </c>
      <c r="AF34" s="125" t="str">
        <f t="shared" si="73"/>
        <v/>
      </c>
      <c r="AG34" s="125" t="str">
        <f t="shared" si="73"/>
        <v/>
      </c>
      <c r="AH34" s="125" t="str">
        <f t="shared" si="73"/>
        <v/>
      </c>
      <c r="AI34" s="125" t="str">
        <f t="shared" si="73"/>
        <v/>
      </c>
      <c r="AJ34" s="125" t="str">
        <f t="shared" si="73"/>
        <v/>
      </c>
      <c r="AK34" s="125" t="str">
        <f t="shared" si="73"/>
        <v/>
      </c>
      <c r="AL34" s="125" t="str">
        <f t="shared" si="73"/>
        <v/>
      </c>
      <c r="AM34" s="125" t="str">
        <f t="shared" si="73"/>
        <v/>
      </c>
      <c r="AN34" s="125" t="str">
        <f t="shared" si="73"/>
        <v/>
      </c>
      <c r="AO34" s="125" t="str">
        <f t="shared" si="73"/>
        <v/>
      </c>
      <c r="AP34" s="125" t="str">
        <f t="shared" si="73"/>
        <v/>
      </c>
      <c r="AQ34" s="125" t="str">
        <f t="shared" si="73"/>
        <v/>
      </c>
      <c r="AR34" s="103" t="s">
        <v>14</v>
      </c>
      <c r="AS34" s="113">
        <f t="shared" ref="AS34:BN34" si="74">IFERROR(STDEVA(AS5:AS31),"")</f>
        <v>0</v>
      </c>
      <c r="AT34" s="113">
        <f t="shared" si="74"/>
        <v>0</v>
      </c>
      <c r="AU34" s="113">
        <f t="shared" si="74"/>
        <v>0</v>
      </c>
      <c r="AV34" s="113">
        <f t="shared" si="74"/>
        <v>0</v>
      </c>
      <c r="AW34" s="113">
        <f t="shared" si="74"/>
        <v>0</v>
      </c>
      <c r="AX34" s="113">
        <f t="shared" si="74"/>
        <v>0</v>
      </c>
      <c r="AY34" s="113">
        <f t="shared" si="74"/>
        <v>0</v>
      </c>
      <c r="AZ34" s="113">
        <f t="shared" si="74"/>
        <v>0</v>
      </c>
      <c r="BA34" s="113">
        <f t="shared" si="74"/>
        <v>0</v>
      </c>
      <c r="BB34" s="113">
        <f t="shared" si="74"/>
        <v>0</v>
      </c>
      <c r="BC34" s="113">
        <f t="shared" si="74"/>
        <v>0</v>
      </c>
      <c r="BD34" s="113">
        <f t="shared" si="74"/>
        <v>0</v>
      </c>
      <c r="BE34" s="113">
        <f t="shared" si="74"/>
        <v>0</v>
      </c>
      <c r="BF34" s="113">
        <f t="shared" si="74"/>
        <v>0</v>
      </c>
      <c r="BG34" s="113">
        <f t="shared" si="74"/>
        <v>0</v>
      </c>
      <c r="BH34" s="113">
        <f t="shared" si="74"/>
        <v>0</v>
      </c>
      <c r="BI34" s="113">
        <f t="shared" si="74"/>
        <v>0</v>
      </c>
      <c r="BJ34" s="113">
        <f t="shared" si="74"/>
        <v>0</v>
      </c>
      <c r="BK34" s="113">
        <f t="shared" si="74"/>
        <v>0</v>
      </c>
      <c r="BL34" s="113">
        <f t="shared" si="74"/>
        <v>0</v>
      </c>
      <c r="BM34" s="113">
        <f t="shared" si="74"/>
        <v>0</v>
      </c>
      <c r="BN34" s="113" t="str">
        <f t="shared" si="74"/>
        <v/>
      </c>
      <c r="BO34" s="118"/>
    </row>
    <row r="35" spans="1:67" s="107" customFormat="1" ht="15">
      <c r="A35" s="104"/>
      <c r="B35" s="105"/>
      <c r="C35" s="106"/>
      <c r="D35" s="105"/>
      <c r="E35" s="150"/>
      <c r="I35" s="167"/>
      <c r="J35" s="167"/>
      <c r="K35" s="167"/>
      <c r="L35" s="167"/>
      <c r="M35" s="167"/>
      <c r="N35" s="167"/>
      <c r="O35" s="167"/>
      <c r="P35" s="167"/>
      <c r="Q35" s="167"/>
      <c r="R35" s="168"/>
      <c r="S35" s="169"/>
      <c r="T35" s="160"/>
      <c r="U35" s="160"/>
      <c r="V35" s="10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08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20"/>
    </row>
    <row r="36" spans="1:67" s="107" customFormat="1" ht="15">
      <c r="A36" s="104"/>
      <c r="B36" s="105"/>
      <c r="C36" s="106"/>
      <c r="D36" s="105"/>
      <c r="E36" s="150" t="s">
        <v>47</v>
      </c>
      <c r="I36" s="150" t="s">
        <v>47</v>
      </c>
      <c r="J36" s="233">
        <f>AVERAGEIF($E$5:$E$19,I36,J$5:J$19)</f>
        <v>28.533333333333331</v>
      </c>
      <c r="K36" s="232"/>
      <c r="L36" s="232"/>
      <c r="M36" s="232"/>
      <c r="N36" s="233" t="e">
        <f>AVERAGEIF($E$5:$E$19,I36,N$5:N$19)</f>
        <v>#DIV/0!</v>
      </c>
      <c r="O36" s="232"/>
      <c r="P36" s="232"/>
      <c r="Q36" s="233">
        <f>AVERAGEIF($E$5:$E$19,I36,Q$5:Q$19)</f>
        <v>0</v>
      </c>
      <c r="R36" s="233" t="e">
        <f>AVERAGEIF($E$5:$E$19,I36,R$5:R$19)</f>
        <v>#DIV/0!</v>
      </c>
      <c r="S36" s="232"/>
      <c r="T36" s="202"/>
      <c r="U36" s="202"/>
      <c r="V36" s="109" t="s">
        <v>12</v>
      </c>
      <c r="W36" s="123">
        <f t="shared" ref="W36:AQ36" si="75">IFERROR(AVERAGEIF($E5:$E31,$I36,W5:W31),"")</f>
        <v>164.65099999999998</v>
      </c>
      <c r="X36" s="124" t="str">
        <f t="shared" si="75"/>
        <v/>
      </c>
      <c r="Y36" s="124" t="str">
        <f t="shared" si="75"/>
        <v/>
      </c>
      <c r="Z36" s="124" t="str">
        <f t="shared" si="75"/>
        <v/>
      </c>
      <c r="AA36" s="124" t="str">
        <f t="shared" si="75"/>
        <v/>
      </c>
      <c r="AB36" s="124" t="str">
        <f t="shared" si="75"/>
        <v/>
      </c>
      <c r="AC36" s="124" t="str">
        <f t="shared" si="75"/>
        <v/>
      </c>
      <c r="AD36" s="124" t="str">
        <f t="shared" si="75"/>
        <v/>
      </c>
      <c r="AE36" s="124" t="str">
        <f t="shared" si="75"/>
        <v/>
      </c>
      <c r="AF36" s="124" t="str">
        <f t="shared" si="75"/>
        <v/>
      </c>
      <c r="AG36" s="124" t="str">
        <f t="shared" si="75"/>
        <v/>
      </c>
      <c r="AH36" s="124" t="str">
        <f t="shared" si="75"/>
        <v/>
      </c>
      <c r="AI36" s="124" t="str">
        <f t="shared" si="75"/>
        <v/>
      </c>
      <c r="AJ36" s="124" t="str">
        <f t="shared" si="75"/>
        <v/>
      </c>
      <c r="AK36" s="124" t="str">
        <f t="shared" si="75"/>
        <v/>
      </c>
      <c r="AL36" s="124" t="str">
        <f t="shared" si="75"/>
        <v/>
      </c>
      <c r="AM36" s="124" t="str">
        <f t="shared" si="75"/>
        <v/>
      </c>
      <c r="AN36" s="124" t="str">
        <f t="shared" si="75"/>
        <v/>
      </c>
      <c r="AO36" s="124" t="str">
        <f t="shared" si="75"/>
        <v/>
      </c>
      <c r="AP36" s="124" t="str">
        <f t="shared" si="75"/>
        <v/>
      </c>
      <c r="AQ36" s="124" t="str">
        <f t="shared" si="75"/>
        <v/>
      </c>
      <c r="AR36" s="219" t="s">
        <v>12</v>
      </c>
      <c r="AS36" s="111">
        <f t="shared" ref="AS36:BN36" si="76">IFERROR(AVERAGEIF($E5:$E31,$I36,AS5:AS31),"")</f>
        <v>1</v>
      </c>
      <c r="AT36" s="111" t="str">
        <f t="shared" si="76"/>
        <v/>
      </c>
      <c r="AU36" s="111" t="str">
        <f t="shared" si="76"/>
        <v/>
      </c>
      <c r="AV36" s="111" t="str">
        <f t="shared" si="76"/>
        <v/>
      </c>
      <c r="AW36" s="111" t="str">
        <f t="shared" si="76"/>
        <v/>
      </c>
      <c r="AX36" s="111" t="str">
        <f t="shared" si="76"/>
        <v/>
      </c>
      <c r="AY36" s="111" t="str">
        <f t="shared" si="76"/>
        <v/>
      </c>
      <c r="AZ36" s="111" t="str">
        <f t="shared" si="76"/>
        <v/>
      </c>
      <c r="BA36" s="111" t="str">
        <f t="shared" si="76"/>
        <v/>
      </c>
      <c r="BB36" s="111" t="str">
        <f t="shared" si="76"/>
        <v/>
      </c>
      <c r="BC36" s="111" t="str">
        <f t="shared" si="76"/>
        <v/>
      </c>
      <c r="BD36" s="111" t="str">
        <f t="shared" si="76"/>
        <v/>
      </c>
      <c r="BE36" s="111" t="str">
        <f t="shared" si="76"/>
        <v/>
      </c>
      <c r="BF36" s="111" t="str">
        <f t="shared" si="76"/>
        <v/>
      </c>
      <c r="BG36" s="111" t="str">
        <f t="shared" si="76"/>
        <v/>
      </c>
      <c r="BH36" s="111" t="str">
        <f t="shared" si="76"/>
        <v/>
      </c>
      <c r="BI36" s="111" t="str">
        <f t="shared" si="76"/>
        <v/>
      </c>
      <c r="BJ36" s="111" t="str">
        <f t="shared" si="76"/>
        <v/>
      </c>
      <c r="BK36" s="111" t="str">
        <f t="shared" si="76"/>
        <v/>
      </c>
      <c r="BL36" s="111" t="str">
        <f t="shared" si="76"/>
        <v/>
      </c>
      <c r="BM36" s="111" t="str">
        <f t="shared" si="76"/>
        <v/>
      </c>
      <c r="BN36" s="111" t="str">
        <f t="shared" si="76"/>
        <v/>
      </c>
      <c r="BO36" s="121"/>
    </row>
    <row r="37" spans="1:67" s="107" customFormat="1" ht="15">
      <c r="A37" s="104"/>
      <c r="B37" s="105"/>
      <c r="C37" s="106"/>
      <c r="D37" s="105"/>
      <c r="E37" s="150"/>
      <c r="I37" s="218"/>
      <c r="J37" s="233">
        <f t="array" ref="J37">IFERROR(_xlfn.STDEV.S(IF($E5:$E31=$I36,J5:J31)),"")</f>
        <v>1.4502873278538053</v>
      </c>
      <c r="K37" s="232"/>
      <c r="L37" s="232"/>
      <c r="M37" s="232"/>
      <c r="N37" s="233">
        <f t="array" ref="N37">IFERROR(_xlfn.STDEV.S(IF($E5:$E31=$I36,N5:N31)),"")</f>
        <v>0</v>
      </c>
      <c r="O37" s="232"/>
      <c r="P37" s="232"/>
      <c r="Q37" s="233">
        <f t="array" ref="Q37">IFERROR(_xlfn.STDEV.S(IF($E5:$E31=$I36,Q5:Q31)),"")</f>
        <v>0</v>
      </c>
      <c r="R37" s="233" t="str">
        <f t="array" ref="R37">IFERROR(_xlfn.STDEV.S(IF($E5:$E31=$I36,R5:R31)),"")</f>
        <v/>
      </c>
      <c r="S37" s="232"/>
      <c r="T37" s="202"/>
      <c r="U37" s="202"/>
      <c r="V37" s="109" t="s">
        <v>14</v>
      </c>
      <c r="W37" s="126">
        <f t="array" ref="W37">IFERROR(_xlfn.STDEV.S(IF($E5:$E31=$I$36,W5:W31)),"")</f>
        <v>4.2225229425072355</v>
      </c>
      <c r="X37" s="127" t="str">
        <f t="array" ref="X37">IFERROR(_xlfn.STDEV.S(IF($E5:$E31=$I$36,X5:X31)),"")</f>
        <v/>
      </c>
      <c r="Y37" s="127" t="str">
        <f t="array" ref="Y37">IFERROR(_xlfn.STDEV.S(IF($E5:$E31=$I$36,Y5:Y31)),"")</f>
        <v/>
      </c>
      <c r="Z37" s="127" t="str">
        <f t="array" ref="Z37">IFERROR(_xlfn.STDEV.S(IF($E5:$E31=$I$36,Z5:Z31)),"")</f>
        <v/>
      </c>
      <c r="AA37" s="127" t="str">
        <f t="array" ref="AA37">IFERROR(_xlfn.STDEV.S(IF($E5:$E31=$I$36,AA5:AA31)),"")</f>
        <v/>
      </c>
      <c r="AB37" s="127" t="str">
        <f t="array" ref="AB37">IFERROR(_xlfn.STDEV.S(IF($E5:$E31=$I$36,AB5:AB31)),"")</f>
        <v/>
      </c>
      <c r="AC37" s="127" t="str">
        <f t="array" ref="AC37">IFERROR(_xlfn.STDEV.S(IF($E5:$E31=$I$36,AC5:AC31)),"")</f>
        <v/>
      </c>
      <c r="AD37" s="127" t="str">
        <f t="array" ref="AD37">IFERROR(_xlfn.STDEV.S(IF($E5:$E31=$I$36,AD5:AD31)),"")</f>
        <v/>
      </c>
      <c r="AE37" s="127" t="str">
        <f t="array" ref="AE37">IFERROR(_xlfn.STDEV.S(IF($E5:$E31=$I$36,AE5:AE31)),"")</f>
        <v/>
      </c>
      <c r="AF37" s="127" t="str">
        <f t="array" ref="AF37">IFERROR(_xlfn.STDEV.S(IF($E5:$E31=$I$36,AF5:AF31)),"")</f>
        <v/>
      </c>
      <c r="AG37" s="127" t="str">
        <f t="array" ref="AG37">IFERROR(_xlfn.STDEV.S(IF($E5:$E31=$I$36,AG5:AG31)),"")</f>
        <v/>
      </c>
      <c r="AH37" s="127" t="str">
        <f t="array" ref="AH37">IFERROR(_xlfn.STDEV.S(IF($E5:$E31=$I$36,AH5:AH31)),"")</f>
        <v/>
      </c>
      <c r="AI37" s="127" t="str">
        <f t="array" ref="AI37">IFERROR(_xlfn.STDEV.S(IF($E5:$E31=$I$36,AI5:AI31)),"")</f>
        <v/>
      </c>
      <c r="AJ37" s="127" t="str">
        <f t="array" ref="AJ37">IFERROR(_xlfn.STDEV.S(IF($E5:$E31=$I$36,AJ5:AJ31)),"")</f>
        <v/>
      </c>
      <c r="AK37" s="127" t="str">
        <f t="array" ref="AK37">IFERROR(_xlfn.STDEV.S(IF($E5:$E31=$I$36,AK5:AK31)),"")</f>
        <v/>
      </c>
      <c r="AL37" s="127" t="str">
        <f t="array" ref="AL37">IFERROR(_xlfn.STDEV.S(IF($E5:$E31=$I$36,AL5:AL31)),"")</f>
        <v/>
      </c>
      <c r="AM37" s="127" t="str">
        <f t="array" ref="AM37">IFERROR(_xlfn.STDEV.S(IF($E5:$E31=$I$36,AM5:AM31)),"")</f>
        <v/>
      </c>
      <c r="AN37" s="127" t="str">
        <f t="array" ref="AN37">IFERROR(_xlfn.STDEV.S(IF($E5:$E31=$I$36,AN5:AN31)),"")</f>
        <v/>
      </c>
      <c r="AO37" s="127" t="str">
        <f t="array" ref="AO37">IFERROR(_xlfn.STDEV.S(IF($E5:$E31=$I$36,AO5:AO31)),"")</f>
        <v/>
      </c>
      <c r="AP37" s="127" t="str">
        <f t="array" ref="AP37">IFERROR(_xlfn.STDEV.S(IF($E5:$E31=$I$36,AP5:AP31)),"")</f>
        <v/>
      </c>
      <c r="AQ37" s="127" t="str">
        <f t="array" ref="AQ37">IFERROR(_xlfn.STDEV.S(IF($E5:$E31=$I$36,AQ5:AQ31)),"")</f>
        <v/>
      </c>
      <c r="AR37" s="219" t="s">
        <v>14</v>
      </c>
      <c r="AS37" s="112">
        <f t="array" ref="AS37">IFERROR(_xlfn.STDEV.S(IF($E5:$E31=$I$36,AS5:AS31)),"")</f>
        <v>0</v>
      </c>
      <c r="AT37" s="112" t="str">
        <f t="array" ref="AT37">IFERROR(_xlfn.STDEV.S(IF($E5:$E31=$I$36,AT5:AT31)),"")</f>
        <v/>
      </c>
      <c r="AU37" s="112" t="str">
        <f t="array" ref="AU37">IFERROR(_xlfn.STDEV.S(IF($E5:$E31=$I$36,AU5:AU31)),"")</f>
        <v/>
      </c>
      <c r="AV37" s="112" t="str">
        <f t="array" ref="AV37">IFERROR(_xlfn.STDEV.S(IF($E5:$E31=$I$36,AV5:AV31)),"")</f>
        <v/>
      </c>
      <c r="AW37" s="112" t="str">
        <f t="array" ref="AW37">IFERROR(_xlfn.STDEV.S(IF($E5:$E31=$I$36,AW5:AW31)),"")</f>
        <v/>
      </c>
      <c r="AX37" s="112" t="str">
        <f t="array" ref="AX37">IFERROR(_xlfn.STDEV.S(IF($E5:$E31=$I$36,AX5:AX31)),"")</f>
        <v/>
      </c>
      <c r="AY37" s="112" t="str">
        <f t="array" ref="AY37">IFERROR(_xlfn.STDEV.S(IF($E5:$E31=$I$36,AY5:AY31)),"")</f>
        <v/>
      </c>
      <c r="AZ37" s="112" t="str">
        <f t="array" ref="AZ37">IFERROR(_xlfn.STDEV.S(IF($E5:$E31=$I$36,AZ5:AZ31)),"")</f>
        <v/>
      </c>
      <c r="BA37" s="112" t="str">
        <f t="array" ref="BA37">IFERROR(_xlfn.STDEV.S(IF($E5:$E31=$I$36,BA5:BA31)),"")</f>
        <v/>
      </c>
      <c r="BB37" s="112" t="str">
        <f t="array" ref="BB37">IFERROR(_xlfn.STDEV.S(IF($E5:$E31=$I$36,BB5:BB31)),"")</f>
        <v/>
      </c>
      <c r="BC37" s="112" t="str">
        <f t="array" ref="BC37">IFERROR(_xlfn.STDEV.S(IF($E5:$E31=$I$36,BC5:BC31)),"")</f>
        <v/>
      </c>
      <c r="BD37" s="112" t="str">
        <f t="array" ref="BD37">IFERROR(_xlfn.STDEV.S(IF($E5:$E31=$I$36,BD5:BD31)),"")</f>
        <v/>
      </c>
      <c r="BE37" s="112" t="str">
        <f t="array" ref="BE37">IFERROR(_xlfn.STDEV.S(IF($E5:$E31=$I$36,BE5:BE31)),"")</f>
        <v/>
      </c>
      <c r="BF37" s="112" t="str">
        <f t="array" ref="BF37">IFERROR(_xlfn.STDEV.S(IF($E5:$E31=$I$36,BF5:BF31)),"")</f>
        <v/>
      </c>
      <c r="BG37" s="112" t="str">
        <f t="array" ref="BG37">IFERROR(_xlfn.STDEV.S(IF($E5:$E31=$I$36,BG5:BG31)),"")</f>
        <v/>
      </c>
      <c r="BH37" s="112" t="str">
        <f t="array" ref="BH37">IFERROR(_xlfn.STDEV.S(IF($E5:$E31=$I$36,BH5:BH31)),"")</f>
        <v/>
      </c>
      <c r="BI37" s="112" t="str">
        <f t="array" ref="BI37">IFERROR(_xlfn.STDEV.S(IF($E5:$E31=$I$36,BI5:BI31)),"")</f>
        <v/>
      </c>
      <c r="BJ37" s="112" t="str">
        <f t="array" ref="BJ37">IFERROR(_xlfn.STDEV.S(IF($E5:$E31=$I$36,BJ5:BJ31)),"")</f>
        <v/>
      </c>
      <c r="BK37" s="112" t="str">
        <f t="array" ref="BK37">IFERROR(_xlfn.STDEV.S(IF($E5:$E31=$I$36,BK5:BK31)),"")</f>
        <v/>
      </c>
      <c r="BL37" s="112" t="str">
        <f t="array" ref="BL37">IFERROR(_xlfn.STDEV.S(IF($E5:$E31=$I$36,BL5:BL31)),"")</f>
        <v/>
      </c>
      <c r="BM37" s="112" t="str">
        <f t="array" ref="BM37">IFERROR(_xlfn.STDEV.S(IF($E5:$E31=$I$36,BM5:BM31)),"")</f>
        <v/>
      </c>
      <c r="BN37" s="112">
        <f t="array" ref="BN37">IFERROR(_xlfn.STDEV.S(IF($E5:$E31=$I$36,BN5:BN31)),"")</f>
        <v>0</v>
      </c>
      <c r="BO37" s="121"/>
    </row>
    <row r="38" spans="1:67" s="107" customFormat="1" ht="14.25">
      <c r="A38" s="104"/>
      <c r="B38" s="105"/>
      <c r="C38" s="106"/>
      <c r="D38" s="105"/>
      <c r="E38" s="150"/>
      <c r="I38" s="218"/>
      <c r="J38" s="218"/>
      <c r="K38" s="218"/>
      <c r="L38" s="218"/>
      <c r="M38" s="218"/>
      <c r="N38" s="230"/>
      <c r="O38" s="218"/>
      <c r="P38" s="218"/>
      <c r="Q38" s="230"/>
      <c r="R38" s="230"/>
      <c r="S38" s="218"/>
      <c r="T38" s="202"/>
      <c r="U38" s="202"/>
      <c r="V38" s="204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219" t="s">
        <v>51</v>
      </c>
      <c r="AS38" s="113">
        <f t="array" ref="AS38">IFERROR(MEDIAN(IF($E5:$E31=$I$36,AS5:AS31)),"")</f>
        <v>1</v>
      </c>
      <c r="AT38" s="113" t="str">
        <f t="array" ref="AT38">IFERROR(MEDIAN(IF($E5:$E31=$I$36,AT5:AT31)),"")</f>
        <v/>
      </c>
      <c r="AU38" s="113" t="str">
        <f t="array" ref="AU38">IFERROR(MEDIAN(IF($E5:$E31=$I$36,AU5:AU31)),"")</f>
        <v/>
      </c>
      <c r="AV38" s="113" t="str">
        <f t="array" ref="AV38">IFERROR(MEDIAN(IF($E5:$E31=$I$36,AV5:AV31)),"")</f>
        <v/>
      </c>
      <c r="AW38" s="113" t="str">
        <f t="array" ref="AW38">IFERROR(MEDIAN(IF($E5:$E31=$I$36,AW5:AW31)),"")</f>
        <v/>
      </c>
      <c r="AX38" s="113" t="str">
        <f t="array" ref="AX38">IFERROR(MEDIAN(IF($E5:$E31=$I$36,AX5:AX31)),"")</f>
        <v/>
      </c>
      <c r="AY38" s="113" t="str">
        <f t="array" ref="AY38">IFERROR(MEDIAN(IF($E5:$E31=$I$36,AY5:AY31)),"")</f>
        <v/>
      </c>
      <c r="AZ38" s="113" t="str">
        <f t="array" ref="AZ38">IFERROR(MEDIAN(IF($E5:$E31=$I$36,AZ5:AZ31)),"")</f>
        <v/>
      </c>
      <c r="BA38" s="113" t="str">
        <f t="array" ref="BA38">IFERROR(MEDIAN(IF($E5:$E31=$I$36,BA5:BA31)),"")</f>
        <v/>
      </c>
      <c r="BB38" s="113" t="str">
        <f t="array" ref="BB38">IFERROR(MEDIAN(IF($E5:$E31=$I$36,BB5:BB31)),"")</f>
        <v/>
      </c>
      <c r="BC38" s="113" t="str">
        <f t="array" ref="BC38">IFERROR(MEDIAN(IF($E5:$E31=$I$36,BC5:BC31)),"")</f>
        <v/>
      </c>
      <c r="BD38" s="113" t="str">
        <f t="array" ref="BD38">IFERROR(MEDIAN(IF($E5:$E31=$I$36,BD5:BD31)),"")</f>
        <v/>
      </c>
      <c r="BE38" s="113" t="str">
        <f t="array" ref="BE38">IFERROR(MEDIAN(IF($E5:$E31=$I$36,BE5:BE31)),"")</f>
        <v/>
      </c>
      <c r="BF38" s="113" t="str">
        <f t="array" ref="BF38">IFERROR(MEDIAN(IF($E5:$E31=$I$36,BF5:BF31)),"")</f>
        <v/>
      </c>
      <c r="BG38" s="113" t="str">
        <f t="array" ref="BG38">IFERROR(MEDIAN(IF($E5:$E31=$I$36,BG5:BG31)),"")</f>
        <v/>
      </c>
      <c r="BH38" s="113" t="str">
        <f t="array" ref="BH38">IFERROR(MEDIAN(IF($E5:$E31=$I$36,BH5:BH31)),"")</f>
        <v/>
      </c>
      <c r="BI38" s="113" t="str">
        <f t="array" ref="BI38">IFERROR(MEDIAN(IF($E5:$E31=$I$36,BI5:BI31)),"")</f>
        <v/>
      </c>
      <c r="BJ38" s="113" t="str">
        <f t="array" ref="BJ38">IFERROR(MEDIAN(IF($E5:$E31=$I$36,BJ5:BJ31)),"")</f>
        <v/>
      </c>
      <c r="BK38" s="113" t="str">
        <f t="array" ref="BK38">IFERROR(MEDIAN(IF($E5:$E31=$I$36,BK5:BK31)),"")</f>
        <v/>
      </c>
      <c r="BL38" s="113" t="str">
        <f t="array" ref="BL38">IFERROR(MEDIAN(IF($E5:$E31=$I$36,BL5:BL31)),"")</f>
        <v/>
      </c>
      <c r="BM38" s="113" t="str">
        <f t="array" ref="BM38">IFERROR(MEDIAN(IF($E5:$E31=$I$36,BM5:BM31)),"")</f>
        <v/>
      </c>
      <c r="BN38" s="113"/>
      <c r="BO38" s="113"/>
    </row>
    <row r="39" spans="1:67" s="107" customFormat="1" ht="15">
      <c r="A39" s="104"/>
      <c r="B39" s="105"/>
      <c r="C39" s="106"/>
      <c r="D39" s="105"/>
      <c r="E39" s="150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9"/>
      <c r="T39" s="160"/>
      <c r="U39" s="160"/>
      <c r="V39" s="110"/>
      <c r="W39" s="125"/>
      <c r="X39" s="125"/>
      <c r="Y39" s="128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08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22"/>
    </row>
    <row r="40" spans="1:67" s="107" customFormat="1" ht="15">
      <c r="A40" s="104"/>
      <c r="B40" s="105"/>
      <c r="C40" s="106"/>
      <c r="D40" s="105"/>
      <c r="E40" s="150" t="s">
        <v>49</v>
      </c>
      <c r="I40" s="232" t="s">
        <v>49</v>
      </c>
      <c r="J40" s="233">
        <f>AVERAGEIF($E$5:$E$19,I40,J$5:J$19)</f>
        <v>31.6</v>
      </c>
      <c r="K40" s="232"/>
      <c r="L40" s="232"/>
      <c r="M40" s="232"/>
      <c r="N40" s="233">
        <f>AVERAGEIF($E$5:$E$19,I40,N$5:N$19)</f>
        <v>169.22138999999999</v>
      </c>
      <c r="O40" s="232"/>
      <c r="P40" s="232"/>
      <c r="Q40" s="233">
        <f>AVERAGEIF($E$5:$E$19,I40,Q$5:Q$19)</f>
        <v>216.875</v>
      </c>
      <c r="R40" s="233">
        <f>AVERAGEIF($E$5:$E$19,I40,R$5:R$19)</f>
        <v>1.2958159666509883</v>
      </c>
      <c r="S40" s="232"/>
      <c r="T40" s="202"/>
      <c r="U40" s="202"/>
      <c r="V40" s="109" t="s">
        <v>12</v>
      </c>
      <c r="W40" s="123">
        <f t="shared" ref="W40:AQ40" si="77">IFERROR(AVERAGEIF($E5:$E31,$I40,W5:W31),"")</f>
        <v>262.666</v>
      </c>
      <c r="X40" s="124" t="str">
        <f t="shared" si="77"/>
        <v/>
      </c>
      <c r="Y40" s="124" t="str">
        <f t="shared" si="77"/>
        <v/>
      </c>
      <c r="Z40" s="124" t="str">
        <f t="shared" si="77"/>
        <v/>
      </c>
      <c r="AA40" s="124" t="str">
        <f t="shared" si="77"/>
        <v/>
      </c>
      <c r="AB40" s="124" t="str">
        <f t="shared" si="77"/>
        <v/>
      </c>
      <c r="AC40" s="124" t="str">
        <f t="shared" si="77"/>
        <v/>
      </c>
      <c r="AD40" s="124" t="str">
        <f t="shared" si="77"/>
        <v/>
      </c>
      <c r="AE40" s="124" t="str">
        <f t="shared" si="77"/>
        <v/>
      </c>
      <c r="AF40" s="124" t="str">
        <f t="shared" si="77"/>
        <v/>
      </c>
      <c r="AG40" s="124" t="str">
        <f t="shared" si="77"/>
        <v/>
      </c>
      <c r="AH40" s="124" t="str">
        <f t="shared" si="77"/>
        <v/>
      </c>
      <c r="AI40" s="124" t="str">
        <f t="shared" si="77"/>
        <v/>
      </c>
      <c r="AJ40" s="124" t="str">
        <f t="shared" si="77"/>
        <v/>
      </c>
      <c r="AK40" s="124" t="str">
        <f t="shared" si="77"/>
        <v/>
      </c>
      <c r="AL40" s="124" t="str">
        <f t="shared" si="77"/>
        <v/>
      </c>
      <c r="AM40" s="124" t="str">
        <f t="shared" si="77"/>
        <v/>
      </c>
      <c r="AN40" s="124" t="str">
        <f t="shared" si="77"/>
        <v/>
      </c>
      <c r="AO40" s="124" t="str">
        <f t="shared" si="77"/>
        <v/>
      </c>
      <c r="AP40" s="124" t="str">
        <f t="shared" si="77"/>
        <v/>
      </c>
      <c r="AQ40" s="124" t="str">
        <f t="shared" si="77"/>
        <v/>
      </c>
      <c r="AR40" s="219" t="s">
        <v>12</v>
      </c>
      <c r="AS40" s="111">
        <f t="shared" ref="AS40:BN40" si="78">IFERROR(AVERAGEIF($E5:$E31,$I40,AS5:AS31),"")</f>
        <v>1</v>
      </c>
      <c r="AT40" s="111" t="str">
        <f t="shared" si="78"/>
        <v/>
      </c>
      <c r="AU40" s="111" t="str">
        <f t="shared" si="78"/>
        <v/>
      </c>
      <c r="AV40" s="111" t="str">
        <f t="shared" si="78"/>
        <v/>
      </c>
      <c r="AW40" s="111" t="str">
        <f t="shared" si="78"/>
        <v/>
      </c>
      <c r="AX40" s="111" t="str">
        <f t="shared" si="78"/>
        <v/>
      </c>
      <c r="AY40" s="111" t="str">
        <f t="shared" si="78"/>
        <v/>
      </c>
      <c r="AZ40" s="111" t="str">
        <f t="shared" si="78"/>
        <v/>
      </c>
      <c r="BA40" s="111" t="str">
        <f t="shared" si="78"/>
        <v/>
      </c>
      <c r="BB40" s="111" t="str">
        <f t="shared" si="78"/>
        <v/>
      </c>
      <c r="BC40" s="111" t="str">
        <f t="shared" si="78"/>
        <v/>
      </c>
      <c r="BD40" s="111" t="str">
        <f t="shared" si="78"/>
        <v/>
      </c>
      <c r="BE40" s="111" t="str">
        <f t="shared" si="78"/>
        <v/>
      </c>
      <c r="BF40" s="111" t="str">
        <f t="shared" si="78"/>
        <v/>
      </c>
      <c r="BG40" s="111" t="str">
        <f t="shared" si="78"/>
        <v/>
      </c>
      <c r="BH40" s="111" t="str">
        <f t="shared" si="78"/>
        <v/>
      </c>
      <c r="BI40" s="111" t="str">
        <f t="shared" si="78"/>
        <v/>
      </c>
      <c r="BJ40" s="111" t="str">
        <f t="shared" si="78"/>
        <v/>
      </c>
      <c r="BK40" s="111" t="str">
        <f t="shared" si="78"/>
        <v/>
      </c>
      <c r="BL40" s="111" t="str">
        <f t="shared" si="78"/>
        <v/>
      </c>
      <c r="BM40" s="111" t="str">
        <f t="shared" si="78"/>
        <v/>
      </c>
      <c r="BN40" s="111" t="str">
        <f t="shared" si="78"/>
        <v/>
      </c>
      <c r="BO40" s="121"/>
    </row>
    <row r="41" spans="1:67" s="107" customFormat="1" ht="15">
      <c r="A41" s="104"/>
      <c r="B41" s="105"/>
      <c r="C41" s="106"/>
      <c r="D41" s="105"/>
      <c r="E41" s="150"/>
      <c r="I41" s="232"/>
      <c r="J41" s="233">
        <f t="array" ref="J41">IFERROR(_xlfn.STDEV.S(IF($E5:$E19=$I40,J$5:J$19)),"")</f>
        <v>2.3650229033422354</v>
      </c>
      <c r="K41" s="232"/>
      <c r="L41" s="232"/>
      <c r="M41" s="232"/>
      <c r="N41" s="233">
        <f t="array" ref="N41">IFERROR(_xlfn.STDEV.S(IF($E5:$E19=$I40,N$5:N$19)),"")</f>
        <v>79.199678351073374</v>
      </c>
      <c r="O41" s="232"/>
      <c r="P41" s="232"/>
      <c r="Q41" s="233">
        <f t="array" ref="Q41">IFERROR(_xlfn.STDEV.S(IF($E5:$E19=$I40,Q$5:Q$19)),"")</f>
        <v>114.75653576158527</v>
      </c>
      <c r="R41" s="233">
        <f t="array" ref="R41">IFERROR(_xlfn.STDEV.S(IF($E5:$E19=$I40,R$5:R$19)),"")</f>
        <v>0.46651871767047315</v>
      </c>
      <c r="S41" s="232"/>
      <c r="T41" s="202"/>
      <c r="U41" s="202"/>
      <c r="V41" s="109" t="s">
        <v>14</v>
      </c>
      <c r="W41" s="126">
        <f t="array" ref="W41">IFERROR(_xlfn.STDEV.S(IF($E5:$E31=$I$40,W5:W31)),"")</f>
        <v>196.4106114750422</v>
      </c>
      <c r="X41" s="127" t="str">
        <f t="array" ref="X41">IFERROR(_xlfn.STDEV.S(IF($E5:$E31=$I$40,X5:X31)),"")</f>
        <v/>
      </c>
      <c r="Y41" s="127" t="str">
        <f t="array" ref="Y41">IFERROR(_xlfn.STDEV.S(IF($E5:$E31=$I$40,Y5:Y31)),"")</f>
        <v/>
      </c>
      <c r="Z41" s="127" t="str">
        <f t="array" ref="Z41">IFERROR(_xlfn.STDEV.S(IF($E5:$E31=$I$40,Z5:Z31)),"")</f>
        <v/>
      </c>
      <c r="AA41" s="127" t="str">
        <f t="array" ref="AA41">IFERROR(_xlfn.STDEV.S(IF($E5:$E31=$I$40,AA5:AA31)),"")</f>
        <v/>
      </c>
      <c r="AB41" s="127" t="str">
        <f t="array" ref="AB41">IFERROR(_xlfn.STDEV.S(IF($E5:$E31=$I$40,AB5:AB31)),"")</f>
        <v/>
      </c>
      <c r="AC41" s="127" t="str">
        <f t="array" ref="AC41">IFERROR(_xlfn.STDEV.S(IF($E5:$E31=$I$40,AC5:AC31)),"")</f>
        <v/>
      </c>
      <c r="AD41" s="127" t="str">
        <f t="array" ref="AD41">IFERROR(_xlfn.STDEV.S(IF($E5:$E31=$I$40,AD5:AD31)),"")</f>
        <v/>
      </c>
      <c r="AE41" s="127" t="str">
        <f t="array" ref="AE41">IFERROR(_xlfn.STDEV.S(IF($E5:$E31=$I$40,AE5:AE31)),"")</f>
        <v/>
      </c>
      <c r="AF41" s="127" t="str">
        <f t="array" ref="AF41">IFERROR(_xlfn.STDEV.S(IF($E5:$E31=$I$40,AF5:AF31)),"")</f>
        <v/>
      </c>
      <c r="AG41" s="127" t="str">
        <f t="array" ref="AG41">IFERROR(_xlfn.STDEV.S(IF($E5:$E31=$I$40,AG5:AG31)),"")</f>
        <v/>
      </c>
      <c r="AH41" s="127" t="str">
        <f t="array" ref="AH41">IFERROR(_xlfn.STDEV.S(IF($E5:$E31=$I$40,AH5:AH31)),"")</f>
        <v/>
      </c>
      <c r="AI41" s="127" t="str">
        <f t="array" ref="AI41">IFERROR(_xlfn.STDEV.S(IF($E5:$E31=$I$40,AI5:AI31)),"")</f>
        <v/>
      </c>
      <c r="AJ41" s="127" t="str">
        <f t="array" ref="AJ41">IFERROR(_xlfn.STDEV.S(IF($E5:$E31=$I$40,AJ5:AJ31)),"")</f>
        <v/>
      </c>
      <c r="AK41" s="127" t="str">
        <f t="array" ref="AK41">IFERROR(_xlfn.STDEV.S(IF($E5:$E31=$I$40,AK5:AK31)),"")</f>
        <v/>
      </c>
      <c r="AL41" s="127" t="str">
        <f t="array" ref="AL41">IFERROR(_xlfn.STDEV.S(IF($E5:$E31=$I$40,AL5:AL31)),"")</f>
        <v/>
      </c>
      <c r="AM41" s="127" t="str">
        <f t="array" ref="AM41">IFERROR(_xlfn.STDEV.S(IF($E5:$E31=$I$40,AM5:AM31)),"")</f>
        <v/>
      </c>
      <c r="AN41" s="127" t="str">
        <f t="array" ref="AN41">IFERROR(_xlfn.STDEV.S(IF($E5:$E31=$I$40,AN5:AN31)),"")</f>
        <v/>
      </c>
      <c r="AO41" s="127" t="str">
        <f t="array" ref="AO41">IFERROR(_xlfn.STDEV.S(IF($E5:$E31=$I$40,AO5:AO31)),"")</f>
        <v/>
      </c>
      <c r="AP41" s="127" t="str">
        <f t="array" ref="AP41">IFERROR(_xlfn.STDEV.S(IF($E5:$E31=$I$40,AP5:AP31)),"")</f>
        <v/>
      </c>
      <c r="AQ41" s="127" t="str">
        <f t="array" ref="AQ41">IFERROR(_xlfn.STDEV.S(IF($E5:$E31=$I$40,AQ5:AQ31)),"")</f>
        <v/>
      </c>
      <c r="AR41" s="219" t="s">
        <v>14</v>
      </c>
      <c r="AS41" s="112">
        <f t="array" ref="AS41">IFERROR(_xlfn.STDEV.S(IF($E5:$E31=$I$40,AS5:AS31)),"")</f>
        <v>0</v>
      </c>
      <c r="AT41" s="112" t="str">
        <f t="array" ref="AT41">IFERROR(_xlfn.STDEV.S(IF($E5:$E31=$I$40,AT5:AT31)),"")</f>
        <v/>
      </c>
      <c r="AU41" s="112" t="str">
        <f t="array" ref="AU41">IFERROR(_xlfn.STDEV.S(IF($E5:$E31=$I$40,AU5:AU31)),"")</f>
        <v/>
      </c>
      <c r="AV41" s="112" t="str">
        <f t="array" ref="AV41">IFERROR(_xlfn.STDEV.S(IF($E5:$E31=$I$40,AV5:AV31)),"")</f>
        <v/>
      </c>
      <c r="AW41" s="112" t="str">
        <f t="array" ref="AW41">IFERROR(_xlfn.STDEV.S(IF($E5:$E31=$I$40,AW5:AW31)),"")</f>
        <v/>
      </c>
      <c r="AX41" s="112" t="str">
        <f t="array" ref="AX41">IFERROR(_xlfn.STDEV.S(IF($E5:$E31=$I$40,AX5:AX31)),"")</f>
        <v/>
      </c>
      <c r="AY41" s="112" t="str">
        <f t="array" ref="AY41">IFERROR(_xlfn.STDEV.S(IF($E5:$E31=$I$40,AY5:AY31)),"")</f>
        <v/>
      </c>
      <c r="AZ41" s="112" t="str">
        <f t="array" ref="AZ41">IFERROR(_xlfn.STDEV.S(IF($E5:$E31=$I$40,AZ5:AZ31)),"")</f>
        <v/>
      </c>
      <c r="BA41" s="112" t="str">
        <f t="array" ref="BA41">IFERROR(_xlfn.STDEV.S(IF($E5:$E31=$I$40,BA5:BA31)),"")</f>
        <v/>
      </c>
      <c r="BB41" s="112" t="str">
        <f t="array" ref="BB41">IFERROR(_xlfn.STDEV.S(IF($E5:$E31=$I$40,BB5:BB31)),"")</f>
        <v/>
      </c>
      <c r="BC41" s="112" t="str">
        <f t="array" ref="BC41">IFERROR(_xlfn.STDEV.S(IF($E5:$E31=$I$40,BC5:BC31)),"")</f>
        <v/>
      </c>
      <c r="BD41" s="112" t="str">
        <f t="array" ref="BD41">IFERROR(_xlfn.STDEV.S(IF($E5:$E31=$I$40,BD5:BD31)),"")</f>
        <v/>
      </c>
      <c r="BE41" s="112" t="str">
        <f t="array" ref="BE41">IFERROR(_xlfn.STDEV.S(IF($E5:$E31=$I$40,BE5:BE31)),"")</f>
        <v/>
      </c>
      <c r="BF41" s="112" t="str">
        <f t="array" ref="BF41">IFERROR(_xlfn.STDEV.S(IF($E5:$E31=$I$40,BF5:BF31)),"")</f>
        <v/>
      </c>
      <c r="BG41" s="112" t="str">
        <f t="array" ref="BG41">IFERROR(_xlfn.STDEV.S(IF($E5:$E31=$I$40,BG5:BG31)),"")</f>
        <v/>
      </c>
      <c r="BH41" s="112" t="str">
        <f t="array" ref="BH41">IFERROR(_xlfn.STDEV.S(IF($E5:$E31=$I$40,BH5:BH31)),"")</f>
        <v/>
      </c>
      <c r="BI41" s="112" t="str">
        <f t="array" ref="BI41">IFERROR(_xlfn.STDEV.S(IF($E5:$E31=$I$40,BI5:BI31)),"")</f>
        <v/>
      </c>
      <c r="BJ41" s="112" t="str">
        <f t="array" ref="BJ41">IFERROR(_xlfn.STDEV.S(IF($E5:$E31=$I$40,BJ5:BJ31)),"")</f>
        <v/>
      </c>
      <c r="BK41" s="112" t="str">
        <f t="array" ref="BK41">IFERROR(_xlfn.STDEV.S(IF($E5:$E31=$I$40,BK5:BK31)),"")</f>
        <v/>
      </c>
      <c r="BL41" s="112" t="str">
        <f t="array" ref="BL41">IFERROR(_xlfn.STDEV.S(IF($E5:$E31=$I$40,BL5:BL31)),"")</f>
        <v/>
      </c>
      <c r="BM41" s="112" t="str">
        <f t="array" ref="BM41">IFERROR(_xlfn.STDEV.S(IF($E5:$E31=$I$40,BM5:BM31)),"")</f>
        <v/>
      </c>
      <c r="BN41" s="112">
        <f t="array" ref="BN41">IFERROR(_xlfn.STDEV.S(IF($E5:$E31=$I$40,BN5:BN31)),"")</f>
        <v>0</v>
      </c>
      <c r="BO41" s="121"/>
    </row>
    <row r="42" spans="1:67" s="107" customFormat="1" ht="15">
      <c r="A42" s="104"/>
      <c r="B42" s="105"/>
      <c r="C42" s="106"/>
      <c r="D42" s="105"/>
      <c r="E42" s="150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9"/>
      <c r="T42" s="160"/>
      <c r="U42" s="160"/>
      <c r="V42" s="110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219" t="s">
        <v>51</v>
      </c>
      <c r="AS42" s="119" t="str">
        <f>IFERROR(MEDIAN(IF($E5:$E31=$I$40,AS5:AS31)),"")</f>
        <v/>
      </c>
      <c r="AT42" s="119" t="str">
        <f>IFERROR(MEDIAN(IF($E5:$E31=$I$40,AT5:AT31)),"")</f>
        <v/>
      </c>
      <c r="AU42" s="119" t="str">
        <f t="array" ref="AU42">IFERROR(MEDIAN(IF($E5:$E31=$I$40,AU5:AU31)),"")</f>
        <v/>
      </c>
      <c r="AV42" s="119" t="str">
        <f t="array" ref="AV42">IFERROR(MEDIAN(IF($E5:$E31=$I$40,AV5:AV31)),"")</f>
        <v/>
      </c>
      <c r="AW42" s="119" t="str">
        <f t="array" ref="AW42">IFERROR(MEDIAN(IF($E5:$E31=$I$40,AW5:AW31)),"")</f>
        <v/>
      </c>
      <c r="AX42" s="119" t="str">
        <f t="array" ref="AX42">IFERROR(MEDIAN(IF($E5:$E31=$I$40,AX5:AX31)),"")</f>
        <v/>
      </c>
      <c r="AY42" s="119" t="str">
        <f t="array" ref="AY42">IFERROR(MEDIAN(IF($E5:$E31=$I$40,AY5:AY31)),"")</f>
        <v/>
      </c>
      <c r="AZ42" s="119" t="str">
        <f t="array" ref="AZ42">IFERROR(MEDIAN(IF($E5:$E31=$I$40,AZ5:AZ31)),"")</f>
        <v/>
      </c>
      <c r="BA42" s="119" t="str">
        <f t="array" ref="BA42">IFERROR(MEDIAN(IF($E5:$E31=$I$40,BA5:BA31)),"")</f>
        <v/>
      </c>
      <c r="BB42" s="119" t="str">
        <f t="array" ref="BB42">IFERROR(MEDIAN(IF($E5:$E31=$I$40,BB5:BB31)),"")</f>
        <v/>
      </c>
      <c r="BC42" s="119" t="str">
        <f t="array" ref="BC42">IFERROR(MEDIAN(IF($E5:$E31=$I$40,BC5:BC31)),"")</f>
        <v/>
      </c>
      <c r="BD42" s="119" t="str">
        <f t="array" ref="BD42">IFERROR(MEDIAN(IF($E5:$E31=$I$40,BD5:BD31)),"")</f>
        <v/>
      </c>
      <c r="BE42" s="119" t="str">
        <f t="array" ref="BE42">IFERROR(MEDIAN(IF($E5:$E31=$I$40,BE5:BE31)),"")</f>
        <v/>
      </c>
      <c r="BF42" s="119" t="str">
        <f t="array" ref="BF42">IFERROR(MEDIAN(IF($E5:$E31=$I$40,BF5:BF31)),"")</f>
        <v/>
      </c>
      <c r="BG42" s="119" t="str">
        <f t="array" ref="BG42">IFERROR(MEDIAN(IF($E5:$E31=$I$40,BG5:BG31)),"")</f>
        <v/>
      </c>
      <c r="BH42" s="119" t="str">
        <f t="array" ref="BH42">IFERROR(MEDIAN(IF($E5:$E31=$I$40,BH5:BH31)),"")</f>
        <v/>
      </c>
      <c r="BI42" s="119" t="str">
        <f t="array" ref="BI42">IFERROR(MEDIAN(IF($E5:$E31=$I$40,BI5:BI31)),"")</f>
        <v/>
      </c>
      <c r="BJ42" s="119" t="str">
        <f t="array" ref="BJ42">IFERROR(MEDIAN(IF($E5:$E31=$I$40,BJ5:BJ31)),"")</f>
        <v/>
      </c>
      <c r="BK42" s="119" t="str">
        <f t="array" ref="BK42">IFERROR(MEDIAN(IF($E5:$E31=$I$40,BK5:BK31)),"")</f>
        <v/>
      </c>
      <c r="BL42" s="119" t="str">
        <f t="array" ref="BL42">IFERROR(MEDIAN(IF($E5:$E31=$I$40,BL5:BL31)),"")</f>
        <v/>
      </c>
      <c r="BM42" s="119" t="str">
        <f t="array" ref="BM42">IFERROR(MEDIAN(IF($E5:$E31=$I$40,BM5:BM31)),"")</f>
        <v/>
      </c>
      <c r="BN42" s="119"/>
      <c r="BO42" s="122"/>
    </row>
    <row r="43" spans="1:67" s="107" customFormat="1" ht="15">
      <c r="A43" s="104"/>
      <c r="B43" s="105"/>
      <c r="C43" s="106"/>
      <c r="D43" s="105"/>
      <c r="E43" s="150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9"/>
      <c r="T43" s="160"/>
      <c r="U43" s="160"/>
      <c r="V43" s="110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08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22"/>
    </row>
    <row r="44" spans="1:67" s="107" customFormat="1" ht="15">
      <c r="A44" s="104"/>
      <c r="B44" s="105"/>
      <c r="C44" s="106"/>
      <c r="D44" s="105"/>
      <c r="E44" s="150" t="s">
        <v>45</v>
      </c>
      <c r="I44" s="232" t="s">
        <v>45</v>
      </c>
      <c r="J44" s="233">
        <f>AVERAGEIF($E$5:$E$19,I44,J$5:J$19)</f>
        <v>30.3</v>
      </c>
      <c r="K44" s="232"/>
      <c r="L44" s="232"/>
      <c r="M44" s="232"/>
      <c r="N44" s="233">
        <f>AVERAGEIF($E$5:$E$19,I44,N$5:N$19)</f>
        <v>65.947786666666673</v>
      </c>
      <c r="O44" s="232"/>
      <c r="P44" s="232"/>
      <c r="Q44" s="233">
        <f>AVERAGEIF($E$5:$E$19,I44,Q$5:Q$19)</f>
        <v>0</v>
      </c>
      <c r="R44" s="233">
        <f>AVERAGEIF($E$5:$E$19,I44,R$5:R$19)</f>
        <v>0</v>
      </c>
      <c r="S44" s="232"/>
      <c r="T44" s="202"/>
      <c r="U44" s="202"/>
      <c r="V44" s="109" t="s">
        <v>12</v>
      </c>
      <c r="W44" s="123">
        <f t="shared" ref="W44:AQ44" si="79">IFERROR(AVERAGEIF($E5:$E31,$I44,W5:W31),"")</f>
        <v>189.821</v>
      </c>
      <c r="X44" s="124" t="str">
        <f t="shared" si="79"/>
        <v/>
      </c>
      <c r="Y44" s="124" t="str">
        <f t="shared" si="79"/>
        <v/>
      </c>
      <c r="Z44" s="124" t="str">
        <f t="shared" si="79"/>
        <v/>
      </c>
      <c r="AA44" s="124" t="str">
        <f t="shared" si="79"/>
        <v/>
      </c>
      <c r="AB44" s="124" t="str">
        <f t="shared" si="79"/>
        <v/>
      </c>
      <c r="AC44" s="124" t="str">
        <f t="shared" si="79"/>
        <v/>
      </c>
      <c r="AD44" s="124" t="str">
        <f t="shared" si="79"/>
        <v/>
      </c>
      <c r="AE44" s="124" t="str">
        <f t="shared" si="79"/>
        <v/>
      </c>
      <c r="AF44" s="124" t="str">
        <f t="shared" si="79"/>
        <v/>
      </c>
      <c r="AG44" s="124" t="str">
        <f t="shared" si="79"/>
        <v/>
      </c>
      <c r="AH44" s="124" t="str">
        <f t="shared" si="79"/>
        <v/>
      </c>
      <c r="AI44" s="124" t="str">
        <f t="shared" si="79"/>
        <v/>
      </c>
      <c r="AJ44" s="124" t="str">
        <f t="shared" si="79"/>
        <v/>
      </c>
      <c r="AK44" s="124" t="str">
        <f t="shared" si="79"/>
        <v/>
      </c>
      <c r="AL44" s="124" t="str">
        <f t="shared" si="79"/>
        <v/>
      </c>
      <c r="AM44" s="124" t="str">
        <f t="shared" si="79"/>
        <v/>
      </c>
      <c r="AN44" s="124" t="str">
        <f t="shared" si="79"/>
        <v/>
      </c>
      <c r="AO44" s="124" t="str">
        <f t="shared" si="79"/>
        <v/>
      </c>
      <c r="AP44" s="124" t="str">
        <f t="shared" si="79"/>
        <v/>
      </c>
      <c r="AQ44" s="124" t="str">
        <f t="shared" si="79"/>
        <v/>
      </c>
      <c r="AR44" s="219" t="s">
        <v>12</v>
      </c>
      <c r="AS44" s="111">
        <f t="shared" ref="AS44:BN44" si="80">IFERROR(AVERAGEIF($E5:$E31,$I44,AS5:AS31),"")</f>
        <v>1</v>
      </c>
      <c r="AT44" s="111" t="str">
        <f t="shared" si="80"/>
        <v/>
      </c>
      <c r="AU44" s="111" t="str">
        <f t="shared" si="80"/>
        <v/>
      </c>
      <c r="AV44" s="111" t="str">
        <f t="shared" si="80"/>
        <v/>
      </c>
      <c r="AW44" s="111" t="str">
        <f t="shared" si="80"/>
        <v/>
      </c>
      <c r="AX44" s="111" t="str">
        <f t="shared" si="80"/>
        <v/>
      </c>
      <c r="AY44" s="111" t="str">
        <f t="shared" si="80"/>
        <v/>
      </c>
      <c r="AZ44" s="111" t="str">
        <f t="shared" si="80"/>
        <v/>
      </c>
      <c r="BA44" s="111" t="str">
        <f t="shared" si="80"/>
        <v/>
      </c>
      <c r="BB44" s="111" t="str">
        <f t="shared" si="80"/>
        <v/>
      </c>
      <c r="BC44" s="111" t="str">
        <f t="shared" si="80"/>
        <v/>
      </c>
      <c r="BD44" s="111" t="str">
        <f t="shared" si="80"/>
        <v/>
      </c>
      <c r="BE44" s="111" t="str">
        <f t="shared" si="80"/>
        <v/>
      </c>
      <c r="BF44" s="111" t="str">
        <f t="shared" si="80"/>
        <v/>
      </c>
      <c r="BG44" s="111" t="str">
        <f t="shared" si="80"/>
        <v/>
      </c>
      <c r="BH44" s="111" t="str">
        <f t="shared" si="80"/>
        <v/>
      </c>
      <c r="BI44" s="111" t="str">
        <f t="shared" si="80"/>
        <v/>
      </c>
      <c r="BJ44" s="111" t="str">
        <f t="shared" si="80"/>
        <v/>
      </c>
      <c r="BK44" s="111" t="str">
        <f t="shared" si="80"/>
        <v/>
      </c>
      <c r="BL44" s="111" t="str">
        <f t="shared" si="80"/>
        <v/>
      </c>
      <c r="BM44" s="111" t="str">
        <f t="shared" si="80"/>
        <v/>
      </c>
      <c r="BN44" s="111" t="str">
        <f t="shared" si="80"/>
        <v/>
      </c>
      <c r="BO44" s="121"/>
    </row>
    <row r="45" spans="1:67" s="107" customFormat="1" ht="15">
      <c r="A45" s="104"/>
      <c r="B45" s="105"/>
      <c r="C45" s="106"/>
      <c r="D45" s="105"/>
      <c r="I45" s="232"/>
      <c r="J45" s="233">
        <f t="array" ref="J45">IFERROR(_xlfn.STDEV.S(IF($E5:$E19=$I44,J$5:J$19)),"")</f>
        <v>0.62449979983983928</v>
      </c>
      <c r="K45" s="232"/>
      <c r="L45" s="232"/>
      <c r="M45" s="232"/>
      <c r="N45" s="233">
        <f t="array" ref="N45">IFERROR(_xlfn.STDEV.S(IF($E5:$E19=$I44,N$5:N$19)),"")</f>
        <v>27.301521038516029</v>
      </c>
      <c r="O45" s="232"/>
      <c r="P45" s="232"/>
      <c r="Q45" s="233">
        <f t="array" ref="Q45">IFERROR(_xlfn.STDEV.S(IF($E5:$E19=$I44,Q$5:Q$19)),"")</f>
        <v>0</v>
      </c>
      <c r="R45" s="233">
        <f t="array" ref="R45">IFERROR(_xlfn.STDEV.S(IF($E5:$E19=$I44,R$5:R$19)),"")</f>
        <v>0</v>
      </c>
      <c r="S45" s="232"/>
      <c r="T45" s="202"/>
      <c r="U45" s="202"/>
      <c r="V45" s="109" t="s">
        <v>14</v>
      </c>
      <c r="W45" s="126">
        <f t="array" ref="W45">IFERROR(_xlfn.STDEV.S(IF($E5:$E31=$I$44,W5:W31)),"")</f>
        <v>100.97792035885867</v>
      </c>
      <c r="X45" s="127" t="str">
        <f t="array" ref="X45">IFERROR(_xlfn.STDEV.S(IF($E5:$E31=$I$44,X5:X31)),"")</f>
        <v/>
      </c>
      <c r="Y45" s="127" t="str">
        <f t="array" ref="Y45">IFERROR(_xlfn.STDEV.S(IF($E5:$E31=$I$44,Y5:Y31)),"")</f>
        <v/>
      </c>
      <c r="Z45" s="127" t="str">
        <f t="array" ref="Z45">IFERROR(_xlfn.STDEV.S(IF($E5:$E31=$I$44,Z5:Z31)),"")</f>
        <v/>
      </c>
      <c r="AA45" s="127" t="str">
        <f t="array" ref="AA45">IFERROR(_xlfn.STDEV.S(IF($E5:$E31=$I$44,AA5:AA31)),"")</f>
        <v/>
      </c>
      <c r="AB45" s="127" t="str">
        <f t="array" ref="AB45">IFERROR(_xlfn.STDEV.S(IF($E5:$E31=$I$44,AB5:AB31)),"")</f>
        <v/>
      </c>
      <c r="AC45" s="127" t="str">
        <f t="array" ref="AC45">IFERROR(_xlfn.STDEV.S(IF($E5:$E31=$I$44,AC5:AC31)),"")</f>
        <v/>
      </c>
      <c r="AD45" s="127" t="str">
        <f t="array" ref="AD45">IFERROR(_xlfn.STDEV.S(IF($E5:$E31=$I$44,AD5:AD31)),"")</f>
        <v/>
      </c>
      <c r="AE45" s="127" t="str">
        <f t="array" ref="AE45">IFERROR(_xlfn.STDEV.S(IF($E5:$E31=$I$44,AE5:AE31)),"")</f>
        <v/>
      </c>
      <c r="AF45" s="127" t="str">
        <f t="array" ref="AF45">IFERROR(_xlfn.STDEV.S(IF($E5:$E31=$I$44,AF5:AF31)),"")</f>
        <v/>
      </c>
      <c r="AG45" s="127" t="str">
        <f t="array" ref="AG45">IFERROR(_xlfn.STDEV.S(IF($E5:$E31=$I$44,AG5:AG31)),"")</f>
        <v/>
      </c>
      <c r="AH45" s="127" t="str">
        <f t="array" ref="AH45">IFERROR(_xlfn.STDEV.S(IF($E5:$E31=$I$44,AH5:AH31)),"")</f>
        <v/>
      </c>
      <c r="AI45" s="127" t="str">
        <f t="array" ref="AI45">IFERROR(_xlfn.STDEV.S(IF($E5:$E31=$I$44,AI5:AI31)),"")</f>
        <v/>
      </c>
      <c r="AJ45" s="127" t="str">
        <f t="array" ref="AJ45">IFERROR(_xlfn.STDEV.S(IF($E5:$E31=$I$44,AJ5:AJ31)),"")</f>
        <v/>
      </c>
      <c r="AK45" s="127" t="str">
        <f t="array" ref="AK45">IFERROR(_xlfn.STDEV.S(IF($E5:$E31=$I$44,AK5:AK31)),"")</f>
        <v/>
      </c>
      <c r="AL45" s="127" t="str">
        <f t="array" ref="AL45">IFERROR(_xlfn.STDEV.S(IF($E5:$E31=$I$44,AL5:AL31)),"")</f>
        <v/>
      </c>
      <c r="AM45" s="127" t="str">
        <f t="array" ref="AM45">IFERROR(_xlfn.STDEV.S(IF($E5:$E31=$I$44,AM5:AM31)),"")</f>
        <v/>
      </c>
      <c r="AN45" s="127" t="str">
        <f t="array" ref="AN45">IFERROR(_xlfn.STDEV.S(IF($E5:$E31=$I$44,AN5:AN31)),"")</f>
        <v/>
      </c>
      <c r="AO45" s="127" t="str">
        <f t="array" ref="AO45">IFERROR(_xlfn.STDEV.S(IF($E5:$E31=$I$44,AO5:AO31)),"")</f>
        <v/>
      </c>
      <c r="AP45" s="127" t="str">
        <f t="array" ref="AP45">IFERROR(_xlfn.STDEV.S(IF($E5:$E31=$I$44,AP5:AP31)),"")</f>
        <v/>
      </c>
      <c r="AQ45" s="127" t="str">
        <f t="array" ref="AQ45">IFERROR(_xlfn.STDEV.S(IF($E5:$E31=$I$44,AQ5:AQ31)),"")</f>
        <v/>
      </c>
      <c r="AR45" s="219" t="s">
        <v>14</v>
      </c>
      <c r="AS45" s="112">
        <f t="array" ref="AS45">IFERROR(_xlfn.STDEV.S(IF($E5:$E31=$I$44,AS5:AS31)),"")</f>
        <v>0</v>
      </c>
      <c r="AT45" s="112" t="str">
        <f t="array" ref="AT45">IFERROR(_xlfn.STDEV.S(IF($E5:$E31=$I$44,AT5:AT31)),"")</f>
        <v/>
      </c>
      <c r="AU45" s="112" t="str">
        <f t="array" ref="AU45">IFERROR(_xlfn.STDEV.S(IF($E5:$E31=$I$44,AU5:AU31)),"")</f>
        <v/>
      </c>
      <c r="AV45" s="112" t="str">
        <f t="array" ref="AV45">IFERROR(_xlfn.STDEV.S(IF($E5:$E31=$I$44,AV5:AV31)),"")</f>
        <v/>
      </c>
      <c r="AW45" s="112" t="str">
        <f t="array" ref="AW45">IFERROR(_xlfn.STDEV.S(IF($E5:$E31=$I$44,AW5:AW31)),"")</f>
        <v/>
      </c>
      <c r="AX45" s="112" t="str">
        <f t="array" ref="AX45">IFERROR(_xlfn.STDEV.S(IF($E5:$E31=$I$44,AX5:AX31)),"")</f>
        <v/>
      </c>
      <c r="AY45" s="112" t="str">
        <f t="array" ref="AY45">IFERROR(_xlfn.STDEV.S(IF($E5:$E31=$I$44,AY5:AY31)),"")</f>
        <v/>
      </c>
      <c r="AZ45" s="112" t="str">
        <f t="array" ref="AZ45">IFERROR(_xlfn.STDEV.S(IF($E5:$E31=$I$44,AZ5:AZ31)),"")</f>
        <v/>
      </c>
      <c r="BA45" s="112" t="str">
        <f t="array" ref="BA45">IFERROR(_xlfn.STDEV.S(IF($E5:$E31=$I$44,BA5:BA31)),"")</f>
        <v/>
      </c>
      <c r="BB45" s="112" t="str">
        <f t="array" ref="BB45">IFERROR(_xlfn.STDEV.S(IF($E5:$E31=$I$44,BB5:BB31)),"")</f>
        <v/>
      </c>
      <c r="BC45" s="112" t="str">
        <f t="array" ref="BC45">IFERROR(_xlfn.STDEV.S(IF($E5:$E31=$I$44,BC5:BC31)),"")</f>
        <v/>
      </c>
      <c r="BD45" s="112" t="str">
        <f t="array" ref="BD45">IFERROR(_xlfn.STDEV.S(IF($E5:$E31=$I$44,BD5:BD31)),"")</f>
        <v/>
      </c>
      <c r="BE45" s="112" t="str">
        <f t="array" ref="BE45">IFERROR(_xlfn.STDEV.S(IF($E5:$E31=$I$44,BE5:BE31)),"")</f>
        <v/>
      </c>
      <c r="BF45" s="112" t="str">
        <f t="array" ref="BF45">IFERROR(_xlfn.STDEV.S(IF($E5:$E31=$I$44,BF5:BF31)),"")</f>
        <v/>
      </c>
      <c r="BG45" s="112" t="str">
        <f t="array" ref="BG45">IFERROR(_xlfn.STDEV.S(IF($E5:$E31=$I$44,BG5:BG31)),"")</f>
        <v/>
      </c>
      <c r="BH45" s="112" t="str">
        <f t="array" ref="BH45">IFERROR(_xlfn.STDEV.S(IF($E5:$E31=$I$44,BH5:BH31)),"")</f>
        <v/>
      </c>
      <c r="BI45" s="112" t="str">
        <f t="array" ref="BI45">IFERROR(_xlfn.STDEV.S(IF($E5:$E31=$I$44,BI5:BI31)),"")</f>
        <v/>
      </c>
      <c r="BJ45" s="112" t="str">
        <f t="array" ref="BJ45">IFERROR(_xlfn.STDEV.S(IF($E5:$E31=$I$44,BJ5:BJ31)),"")</f>
        <v/>
      </c>
      <c r="BK45" s="112" t="str">
        <f t="array" ref="BK45">IFERROR(_xlfn.STDEV.S(IF($E5:$E31=$I$44,BK5:BK31)),"")</f>
        <v/>
      </c>
      <c r="BL45" s="112" t="str">
        <f t="array" ref="BL45">IFERROR(_xlfn.STDEV.S(IF($E5:$E31=$I$44,BL5:BL31)),"")</f>
        <v/>
      </c>
      <c r="BM45" s="112" t="str">
        <f t="array" ref="BM45">IFERROR(_xlfn.STDEV.S(IF($E5:$E31=$I$44,BM5:BM31)),"")</f>
        <v/>
      </c>
      <c r="BN45" s="112">
        <f t="array" ref="BN45">IFERROR(_xlfn.STDEV.S(IF($E5:$E31=$I$44,BN5:BN31)),"")</f>
        <v>0</v>
      </c>
      <c r="BO45" s="121"/>
    </row>
    <row r="46" spans="1:67" s="1" customFormat="1" ht="14.25">
      <c r="A46" s="7"/>
      <c r="B46" s="2"/>
      <c r="C46" s="8"/>
      <c r="D46" s="2"/>
      <c r="F46" s="12"/>
      <c r="G46" s="11"/>
      <c r="H46" s="11"/>
      <c r="I46" s="12"/>
      <c r="J46" s="11"/>
      <c r="K46" s="14"/>
      <c r="L46" s="11"/>
      <c r="M46" s="10"/>
      <c r="N46" s="11"/>
      <c r="O46" s="11"/>
      <c r="P46" s="11"/>
      <c r="Q46" s="11"/>
      <c r="R46" s="11"/>
      <c r="S46" s="93"/>
      <c r="T46" s="65"/>
      <c r="U46" s="65"/>
      <c r="V46" s="2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219" t="s">
        <v>51</v>
      </c>
      <c r="AS46" s="114">
        <f t="array" ref="AS46">IFERROR(MEDIAN(IF($E5:$E31=$I$44,AS5:AS31)),"")</f>
        <v>1</v>
      </c>
      <c r="AT46" s="114" t="str">
        <f t="array" ref="AT46">IFERROR(MEDIAN(IF($E5:$E31=$I$44,AT5:AT31)),"")</f>
        <v/>
      </c>
      <c r="AU46" s="114" t="str">
        <f t="array" ref="AU46">IFERROR(MEDIAN(IF($E5:$E31=$I$44,AU5:AU31)),"")</f>
        <v/>
      </c>
      <c r="AV46" s="114" t="str">
        <f t="array" ref="AV46">IFERROR(MEDIAN(IF($E5:$E31=$I$44,AV5:AV31)),"")</f>
        <v/>
      </c>
      <c r="AW46" s="114" t="str">
        <f t="array" ref="AW46">IFERROR(MEDIAN(IF($E5:$E31=$I$44,AW5:AW31)),"")</f>
        <v/>
      </c>
      <c r="AX46" s="114" t="str">
        <f t="array" ref="AX46">IFERROR(MEDIAN(IF($E5:$E31=$I$44,AX5:AX31)),"")</f>
        <v/>
      </c>
      <c r="AY46" s="114" t="str">
        <f t="array" ref="AY46">IFERROR(MEDIAN(IF($E5:$E31=$I$44,AY5:AY31)),"")</f>
        <v/>
      </c>
      <c r="AZ46" s="114" t="str">
        <f t="array" ref="AZ46">IFERROR(MEDIAN(IF($E5:$E31=$I$44,AZ5:AZ31)),"")</f>
        <v/>
      </c>
      <c r="BA46" s="114" t="str">
        <f t="array" ref="BA46">IFERROR(MEDIAN(IF($E5:$E31=$I$44,BA5:BA31)),"")</f>
        <v/>
      </c>
      <c r="BB46" s="114" t="str">
        <f t="array" ref="BB46">IFERROR(MEDIAN(IF($E5:$E31=$I$44,BB5:BB31)),"")</f>
        <v/>
      </c>
      <c r="BC46" s="114" t="str">
        <f t="array" ref="BC46">IFERROR(MEDIAN(IF($E5:$E31=$I$44,BC5:BC31)),"")</f>
        <v/>
      </c>
      <c r="BD46" s="114" t="str">
        <f t="array" ref="BD46">IFERROR(MEDIAN(IF($E5:$E31=$I$44,BD5:BD31)),"")</f>
        <v/>
      </c>
      <c r="BE46" s="114" t="str">
        <f t="array" ref="BE46">IFERROR(MEDIAN(IF($E5:$E31=$I$44,BE5:BE31)),"")</f>
        <v/>
      </c>
      <c r="BF46" s="114" t="str">
        <f t="array" ref="BF46">IFERROR(MEDIAN(IF($E5:$E31=$I$44,BF5:BF31)),"")</f>
        <v/>
      </c>
      <c r="BG46" s="114" t="str">
        <f t="array" ref="BG46">IFERROR(MEDIAN(IF($E5:$E31=$I$44,BG5:BG31)),"")</f>
        <v/>
      </c>
      <c r="BH46" s="114" t="str">
        <f t="array" ref="BH46">IFERROR(MEDIAN(IF($E5:$E31=$I$44,BH5:BH31)),"")</f>
        <v/>
      </c>
      <c r="BI46" s="114" t="str">
        <f t="array" ref="BI46">IFERROR(MEDIAN(IF($E5:$E31=$I$44,BI5:BI31)),"")</f>
        <v/>
      </c>
      <c r="BJ46" s="114" t="str">
        <f t="array" ref="BJ46">IFERROR(MEDIAN(IF($E5:$E31=$I$44,BJ5:BJ31)),"")</f>
        <v/>
      </c>
      <c r="BK46" s="114" t="str">
        <f t="array" ref="BK46">IFERROR(MEDIAN(IF($E5:$E31=$I$44,BK5:BK31)),"")</f>
        <v/>
      </c>
      <c r="BL46" s="114" t="str">
        <f t="array" ref="BL46">IFERROR(MEDIAN(IF($E5:$E31=$I$44,BL5:BL31)),"")</f>
        <v/>
      </c>
      <c r="BM46" s="114" t="str">
        <f t="array" ref="BM46">IFERROR(MEDIAN(IF($E5:$E31=$I$44,BM5:BM31)),"")</f>
        <v/>
      </c>
      <c r="BN46" s="114">
        <f t="array" ref="BN46">IFERROR(MEDIAN(IF($E5:$E31=$I$44,BN5:BN31)),"")</f>
        <v>0</v>
      </c>
      <c r="BO46" s="115"/>
    </row>
    <row r="47" spans="1:67" s="1" customFormat="1">
      <c r="A47" s="7"/>
      <c r="B47" s="2"/>
      <c r="C47" s="8"/>
      <c r="D47" s="2"/>
      <c r="F47" s="12"/>
      <c r="G47" s="11"/>
      <c r="H47" s="11"/>
      <c r="I47" s="12"/>
      <c r="J47" s="11"/>
      <c r="K47" s="14"/>
      <c r="L47" s="11"/>
      <c r="M47" s="10"/>
      <c r="N47" s="11"/>
      <c r="O47" s="11"/>
      <c r="P47" s="11"/>
      <c r="Q47" s="11"/>
      <c r="R47" s="11"/>
      <c r="S47" s="93"/>
      <c r="T47" s="65"/>
      <c r="U47" s="65"/>
      <c r="V47" s="2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5"/>
      <c r="AS47" s="5"/>
      <c r="AT47" s="5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spans="1:67" s="107" customFormat="1" ht="15">
      <c r="A48" s="104"/>
      <c r="B48" s="105"/>
      <c r="C48" s="106"/>
      <c r="D48" s="105"/>
      <c r="E48" s="150" t="s">
        <v>50</v>
      </c>
      <c r="I48" s="232" t="s">
        <v>50</v>
      </c>
      <c r="J48" s="233">
        <f>AVERAGEIF($E$5:$E$19,I48,J$5:J$19)</f>
        <v>30.675000000000001</v>
      </c>
      <c r="K48" s="232"/>
      <c r="L48" s="232"/>
      <c r="M48" s="232"/>
      <c r="N48" s="233">
        <f t="array" ref="N48">AVERAGEIF($E$5:$E$19,I48,N$5:N$19)</f>
        <v>183.83183000000002</v>
      </c>
      <c r="O48" s="232"/>
      <c r="P48" s="232"/>
      <c r="Q48" s="233">
        <f>AVERAGEIF($E$5:$E$19,I48,Q$5:Q$19)</f>
        <v>240.75</v>
      </c>
      <c r="R48" s="233">
        <f>AVERAGEIF($E$5:$E$19,I48,R$5:R$19)</f>
        <v>1.5283802327967753</v>
      </c>
      <c r="S48" s="232"/>
      <c r="T48" s="202"/>
      <c r="U48" s="202"/>
      <c r="V48" s="109" t="s">
        <v>12</v>
      </c>
      <c r="W48" s="123">
        <f t="shared" ref="W48:AQ48" si="81">IFERROR(AVERAGEIF($E5:$E31,$I48,W5:W31),"")</f>
        <v>358.54349999999999</v>
      </c>
      <c r="X48" s="124" t="str">
        <f t="shared" si="81"/>
        <v/>
      </c>
      <c r="Y48" s="124" t="str">
        <f t="shared" si="81"/>
        <v/>
      </c>
      <c r="Z48" s="124" t="str">
        <f t="shared" si="81"/>
        <v/>
      </c>
      <c r="AA48" s="124" t="str">
        <f t="shared" si="81"/>
        <v/>
      </c>
      <c r="AB48" s="124" t="str">
        <f t="shared" si="81"/>
        <v/>
      </c>
      <c r="AC48" s="124" t="str">
        <f t="shared" si="81"/>
        <v/>
      </c>
      <c r="AD48" s="124" t="str">
        <f t="shared" si="81"/>
        <v/>
      </c>
      <c r="AE48" s="124" t="str">
        <f t="shared" si="81"/>
        <v/>
      </c>
      <c r="AF48" s="124" t="str">
        <f t="shared" si="81"/>
        <v/>
      </c>
      <c r="AG48" s="124" t="str">
        <f t="shared" si="81"/>
        <v/>
      </c>
      <c r="AH48" s="124" t="str">
        <f t="shared" si="81"/>
        <v/>
      </c>
      <c r="AI48" s="124" t="str">
        <f t="shared" si="81"/>
        <v/>
      </c>
      <c r="AJ48" s="124" t="str">
        <f t="shared" si="81"/>
        <v/>
      </c>
      <c r="AK48" s="124" t="str">
        <f t="shared" si="81"/>
        <v/>
      </c>
      <c r="AL48" s="124" t="str">
        <f t="shared" si="81"/>
        <v/>
      </c>
      <c r="AM48" s="124" t="str">
        <f t="shared" si="81"/>
        <v/>
      </c>
      <c r="AN48" s="124" t="str">
        <f t="shared" si="81"/>
        <v/>
      </c>
      <c r="AO48" s="124" t="str">
        <f t="shared" si="81"/>
        <v/>
      </c>
      <c r="AP48" s="124" t="str">
        <f t="shared" si="81"/>
        <v/>
      </c>
      <c r="AQ48" s="124" t="str">
        <f t="shared" si="81"/>
        <v/>
      </c>
      <c r="AR48" s="219" t="s">
        <v>12</v>
      </c>
      <c r="AS48" s="111">
        <f t="shared" ref="AS48:BN48" si="82">IFERROR(AVERAGEIF($E5:$E31,$I48,AS5:AS31),"")</f>
        <v>1</v>
      </c>
      <c r="AT48" s="111" t="str">
        <f t="shared" si="82"/>
        <v/>
      </c>
      <c r="AU48" s="111" t="str">
        <f t="shared" si="82"/>
        <v/>
      </c>
      <c r="AV48" s="111" t="str">
        <f t="shared" si="82"/>
        <v/>
      </c>
      <c r="AW48" s="111" t="str">
        <f t="shared" si="82"/>
        <v/>
      </c>
      <c r="AX48" s="111" t="str">
        <f t="shared" si="82"/>
        <v/>
      </c>
      <c r="AY48" s="111" t="str">
        <f t="shared" si="82"/>
        <v/>
      </c>
      <c r="AZ48" s="111" t="str">
        <f t="shared" si="82"/>
        <v/>
      </c>
      <c r="BA48" s="111" t="str">
        <f t="shared" si="82"/>
        <v/>
      </c>
      <c r="BB48" s="111" t="str">
        <f t="shared" si="82"/>
        <v/>
      </c>
      <c r="BC48" s="111" t="str">
        <f t="shared" si="82"/>
        <v/>
      </c>
      <c r="BD48" s="111" t="str">
        <f t="shared" si="82"/>
        <v/>
      </c>
      <c r="BE48" s="111" t="str">
        <f t="shared" si="82"/>
        <v/>
      </c>
      <c r="BF48" s="111" t="str">
        <f t="shared" si="82"/>
        <v/>
      </c>
      <c r="BG48" s="111" t="str">
        <f t="shared" si="82"/>
        <v/>
      </c>
      <c r="BH48" s="111" t="str">
        <f t="shared" si="82"/>
        <v/>
      </c>
      <c r="BI48" s="111" t="str">
        <f t="shared" si="82"/>
        <v/>
      </c>
      <c r="BJ48" s="111" t="str">
        <f t="shared" si="82"/>
        <v/>
      </c>
      <c r="BK48" s="111" t="str">
        <f t="shared" si="82"/>
        <v/>
      </c>
      <c r="BL48" s="111" t="str">
        <f t="shared" si="82"/>
        <v/>
      </c>
      <c r="BM48" s="111" t="str">
        <f t="shared" si="82"/>
        <v/>
      </c>
      <c r="BN48" s="111" t="str">
        <f t="shared" si="82"/>
        <v/>
      </c>
      <c r="BO48" s="121"/>
    </row>
    <row r="49" spans="1:67" s="107" customFormat="1" ht="15">
      <c r="A49" s="104"/>
      <c r="B49" s="105"/>
      <c r="C49" s="106"/>
      <c r="D49" s="105"/>
      <c r="I49" s="232"/>
      <c r="J49" s="233">
        <f t="array" ref="J49">IFERROR(_xlfn.STDEV.S(IF($E5:$E19=$I48,J$5:J$19)),"")</f>
        <v>2.4810951882854728</v>
      </c>
      <c r="K49" s="232"/>
      <c r="L49" s="232"/>
      <c r="M49" s="232"/>
      <c r="N49" s="233">
        <f t="array" ref="N49">IFERROR(_xlfn.STDEV.S(IF($E5:$E19=$I48,N$5:N$19)),"")</f>
        <v>125.11714523107426</v>
      </c>
      <c r="O49" s="232"/>
      <c r="P49" s="232"/>
      <c r="Q49" s="233">
        <f t="array" ref="Q49">IFERROR(_xlfn.STDEV.S(IF($E5:$E19=$I48,Q$5:Q$19)),"")</f>
        <v>99.610491415312268</v>
      </c>
      <c r="R49" s="233">
        <f t="array" ref="R49">IFERROR(_xlfn.STDEV.S(IF($E5:$E19=$I48,R$5:R$19)),"")</f>
        <v>0.61966742859771617</v>
      </c>
      <c r="S49" s="232"/>
      <c r="T49" s="202"/>
      <c r="U49" s="202"/>
      <c r="V49" s="109" t="s">
        <v>14</v>
      </c>
      <c r="W49" s="126">
        <f t="array" ref="W49">IFERROR(_xlfn.STDEV.S(IF($E9:$E35=$I$44,W9:W35)),"")</f>
        <v>10.224764055957483</v>
      </c>
      <c r="X49" s="127" t="str">
        <f t="array" ref="X49">IFERROR(_xlfn.STDEV.S(IF($E9:$E35=$I$44,X9:X35)),"")</f>
        <v/>
      </c>
      <c r="Y49" s="127" t="str">
        <f t="array" ref="Y49">IFERROR(_xlfn.STDEV.S(IF($E9:$E35=$I$44,Y9:Y35)),"")</f>
        <v/>
      </c>
      <c r="Z49" s="127" t="str">
        <f t="array" ref="Z49">IFERROR(_xlfn.STDEV.S(IF($E9:$E35=$I$44,Z9:Z35)),"")</f>
        <v/>
      </c>
      <c r="AA49" s="127" t="str">
        <f t="array" ref="AA49">IFERROR(_xlfn.STDEV.S(IF($E9:$E35=$I$44,AA9:AA35)),"")</f>
        <v/>
      </c>
      <c r="AB49" s="127" t="str">
        <f t="array" ref="AB49">IFERROR(_xlfn.STDEV.S(IF($E9:$E35=$I$44,AB9:AB35)),"")</f>
        <v/>
      </c>
      <c r="AC49" s="127" t="str">
        <f t="array" ref="AC49">IFERROR(_xlfn.STDEV.S(IF($E9:$E35=$I$44,AC9:AC35)),"")</f>
        <v/>
      </c>
      <c r="AD49" s="127" t="str">
        <f t="array" ref="AD49">IFERROR(_xlfn.STDEV.S(IF($E9:$E35=$I$44,AD9:AD35)),"")</f>
        <v/>
      </c>
      <c r="AE49" s="127" t="str">
        <f t="array" ref="AE49">IFERROR(_xlfn.STDEV.S(IF($E9:$E35=$I$44,AE9:AE35)),"")</f>
        <v/>
      </c>
      <c r="AF49" s="127" t="str">
        <f t="array" ref="AF49">IFERROR(_xlfn.STDEV.S(IF($E9:$E35=$I$44,AF9:AF35)),"")</f>
        <v/>
      </c>
      <c r="AG49" s="127" t="str">
        <f t="array" ref="AG49">IFERROR(_xlfn.STDEV.S(IF($E9:$E35=$I$44,AG9:AG35)),"")</f>
        <v/>
      </c>
      <c r="AH49" s="127" t="str">
        <f t="array" ref="AH49">IFERROR(_xlfn.STDEV.S(IF($E9:$E35=$I$44,AH9:AH35)),"")</f>
        <v/>
      </c>
      <c r="AI49" s="127" t="str">
        <f t="array" ref="AI49">IFERROR(_xlfn.STDEV.S(IF($E9:$E35=$I$44,AI9:AI35)),"")</f>
        <v/>
      </c>
      <c r="AJ49" s="127" t="str">
        <f t="array" ref="AJ49">IFERROR(_xlfn.STDEV.S(IF($E9:$E35=$I$44,AJ9:AJ35)),"")</f>
        <v/>
      </c>
      <c r="AK49" s="127" t="str">
        <f t="array" ref="AK49">IFERROR(_xlfn.STDEV.S(IF($E9:$E35=$I$44,AK9:AK35)),"")</f>
        <v/>
      </c>
      <c r="AL49" s="127" t="str">
        <f t="array" ref="AL49">IFERROR(_xlfn.STDEV.S(IF($E9:$E35=$I$44,AL9:AL35)),"")</f>
        <v/>
      </c>
      <c r="AM49" s="127" t="str">
        <f t="array" ref="AM49">IFERROR(_xlfn.STDEV.S(IF($E9:$E35=$I$44,AM9:AM35)),"")</f>
        <v/>
      </c>
      <c r="AN49" s="127" t="str">
        <f t="array" ref="AN49">IFERROR(_xlfn.STDEV.S(IF($E9:$E35=$I$44,AN9:AN35)),"")</f>
        <v/>
      </c>
      <c r="AO49" s="127" t="str">
        <f t="array" ref="AO49">IFERROR(_xlfn.STDEV.S(IF($E9:$E35=$I$44,AO9:AO35)),"")</f>
        <v/>
      </c>
      <c r="AP49" s="127" t="str">
        <f t="array" ref="AP49">IFERROR(_xlfn.STDEV.S(IF($E9:$E35=$I$44,AP9:AP35)),"")</f>
        <v/>
      </c>
      <c r="AQ49" s="127" t="str">
        <f t="array" ref="AQ49">IFERROR(_xlfn.STDEV.S(IF($E9:$E35=$I$44,AQ9:AQ35)),"")</f>
        <v/>
      </c>
      <c r="AR49" s="219" t="s">
        <v>14</v>
      </c>
      <c r="AS49" s="112">
        <f t="array" ref="AS49">IFERROR(_xlfn.STDEV.S(IF($E5:$E31=$I$48,AS5:AS31)),"")</f>
        <v>0</v>
      </c>
      <c r="AT49" s="112" t="str">
        <f t="array" ref="AT49">IFERROR(_xlfn.STDEV.S(IF($E5:$E31=$I$48,AT5:AT31)),"")</f>
        <v/>
      </c>
      <c r="AU49" s="112" t="str">
        <f t="array" ref="AU49">IFERROR(_xlfn.STDEV.S(IF($E5:$E31=$I$48,AU5:AU31)),"")</f>
        <v/>
      </c>
      <c r="AV49" s="112" t="str">
        <f t="array" ref="AV49">IFERROR(_xlfn.STDEV.S(IF($E5:$E31=$I$48,AV5:AV31)),"")</f>
        <v/>
      </c>
      <c r="AW49" s="112" t="str">
        <f t="array" ref="AW49">IFERROR(_xlfn.STDEV.S(IF($E5:$E31=$I$48,AW5:AW31)),"")</f>
        <v/>
      </c>
      <c r="AX49" s="112" t="str">
        <f t="array" ref="AX49">IFERROR(_xlfn.STDEV.S(IF($E5:$E31=$I$48,AX5:AX31)),"")</f>
        <v/>
      </c>
      <c r="AY49" s="112" t="str">
        <f t="array" ref="AY49">IFERROR(_xlfn.STDEV.S(IF($E5:$E31=$I$48,AY5:AY31)),"")</f>
        <v/>
      </c>
      <c r="AZ49" s="112" t="str">
        <f t="array" ref="AZ49">IFERROR(_xlfn.STDEV.S(IF($E5:$E31=$I$48,AZ5:AZ31)),"")</f>
        <v/>
      </c>
      <c r="BA49" s="112" t="str">
        <f t="array" ref="BA49">IFERROR(_xlfn.STDEV.S(IF($E5:$E31=$I$48,BA5:BA31)),"")</f>
        <v/>
      </c>
      <c r="BB49" s="112" t="str">
        <f t="array" ref="BB49">IFERROR(_xlfn.STDEV.S(IF($E5:$E31=$I$48,BB5:BB31)),"")</f>
        <v/>
      </c>
      <c r="BC49" s="112" t="str">
        <f t="array" ref="BC49">IFERROR(_xlfn.STDEV.S(IF($E5:$E31=$I$48,BC5:BC31)),"")</f>
        <v/>
      </c>
      <c r="BD49" s="112" t="str">
        <f t="array" ref="BD49">IFERROR(_xlfn.STDEV.S(IF($E5:$E31=$I$48,BD5:BD31)),"")</f>
        <v/>
      </c>
      <c r="BE49" s="112" t="str">
        <f t="array" ref="BE49">IFERROR(_xlfn.STDEV.S(IF($E5:$E31=$I$48,BE5:BE31)),"")</f>
        <v/>
      </c>
      <c r="BF49" s="112" t="str">
        <f t="array" ref="BF49">IFERROR(_xlfn.STDEV.S(IF($E5:$E31=$I$48,BF5:BF31)),"")</f>
        <v/>
      </c>
      <c r="BG49" s="112" t="str">
        <f t="array" ref="BG49">IFERROR(_xlfn.STDEV.S(IF($E5:$E31=$I$48,BG5:BG31)),"")</f>
        <v/>
      </c>
      <c r="BH49" s="112" t="str">
        <f t="array" ref="BH49">IFERROR(_xlfn.STDEV.S(IF($E5:$E31=$I$48,BH5:BH31)),"")</f>
        <v/>
      </c>
      <c r="BI49" s="112" t="str">
        <f t="array" ref="BI49">IFERROR(_xlfn.STDEV.S(IF($E5:$E31=$I$48,BI5:BI31)),"")</f>
        <v/>
      </c>
      <c r="BJ49" s="112" t="str">
        <f t="array" ref="BJ49">IFERROR(_xlfn.STDEV.S(IF($E5:$E31=$I$48,BJ5:BJ31)),"")</f>
        <v/>
      </c>
      <c r="BK49" s="112" t="str">
        <f t="array" ref="BK49">IFERROR(_xlfn.STDEV.S(IF($E5:$E31=$I$48,BK5:BK31)),"")</f>
        <v/>
      </c>
      <c r="BL49" s="112" t="str">
        <f t="array" ref="BL49">IFERROR(_xlfn.STDEV.S(IF($E5:$E31=$I$48,BL5:BL31)),"")</f>
        <v/>
      </c>
      <c r="BM49" s="112" t="str">
        <f t="array" ref="BM49">IFERROR(_xlfn.STDEV.S(IF($E5:$E31=$I$48,BM5:BM31)),"")</f>
        <v/>
      </c>
      <c r="BN49" s="112">
        <f t="array" ref="BN49">IFERROR(_xlfn.STDEV.S(IF($E5:$E31=$I$48,BN5:BN31)),"")</f>
        <v>0</v>
      </c>
      <c r="BO49" s="121"/>
    </row>
    <row r="50" spans="1:67" s="1" customFormat="1" ht="14.25">
      <c r="A50" s="7"/>
      <c r="B50" s="2"/>
      <c r="C50" s="8"/>
      <c r="D50" s="2"/>
      <c r="F50" s="12"/>
      <c r="G50" s="11"/>
      <c r="H50" s="11"/>
      <c r="I50" s="12"/>
      <c r="J50" s="11"/>
      <c r="K50" s="14"/>
      <c r="L50" s="11"/>
      <c r="M50" s="10"/>
      <c r="N50" s="11"/>
      <c r="O50" s="11"/>
      <c r="P50" s="11"/>
      <c r="Q50" s="96"/>
      <c r="R50" s="95"/>
      <c r="S50" s="93"/>
      <c r="T50" s="65"/>
      <c r="U50" s="65"/>
      <c r="V50" s="2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219" t="s">
        <v>51</v>
      </c>
      <c r="AS50" s="114">
        <f t="array" ref="AS50">IFERROR(MEDIAN(IF($E5:$E31=$I$48,AS5:AS31)),"")</f>
        <v>1</v>
      </c>
      <c r="AT50" s="114" t="str">
        <f t="array" ref="AT50">IFERROR(MEDIAN(IF($E5:$E31=$I$48,AT5:AT31)),"")</f>
        <v/>
      </c>
      <c r="AU50" s="114" t="str">
        <f t="array" ref="AU50">IFERROR(MEDIAN(IF($E5:$E31=$I$48,AU5:AU31)),"")</f>
        <v/>
      </c>
      <c r="AV50" s="114" t="str">
        <f t="array" ref="AV50">IFERROR(MEDIAN(IF($E5:$E31=$I$48,AV5:AV31)),"")</f>
        <v/>
      </c>
      <c r="AW50" s="114" t="str">
        <f t="array" ref="AW50">IFERROR(MEDIAN(IF($E5:$E31=$I$48,AW5:AW31)),"")</f>
        <v/>
      </c>
      <c r="AX50" s="114" t="str">
        <f t="array" ref="AX50">IFERROR(MEDIAN(IF($E5:$E31=$I$48,AX5:AX31)),"")</f>
        <v/>
      </c>
      <c r="AY50" s="114" t="str">
        <f t="array" ref="AY50">IFERROR(MEDIAN(IF($E5:$E31=$I$48,AY5:AY31)),"")</f>
        <v/>
      </c>
      <c r="AZ50" s="114" t="str">
        <f t="array" ref="AZ50">IFERROR(MEDIAN(IF($E5:$E31=$I$48,AZ5:AZ31)),"")</f>
        <v/>
      </c>
      <c r="BA50" s="114" t="str">
        <f t="array" ref="BA50">IFERROR(MEDIAN(IF($E5:$E31=$I$48,BA5:BA31)),"")</f>
        <v/>
      </c>
      <c r="BB50" s="114" t="str">
        <f t="array" ref="BB50">IFERROR(MEDIAN(IF($E5:$E31=$I$48,BB5:BB31)),"")</f>
        <v/>
      </c>
      <c r="BC50" s="114" t="str">
        <f t="array" ref="BC50">IFERROR(MEDIAN(IF($E5:$E31=$I$48,BC5:BC31)),"")</f>
        <v/>
      </c>
      <c r="BD50" s="114" t="str">
        <f t="array" ref="BD50">IFERROR(MEDIAN(IF($E5:$E31=$I$48,BD5:BD31)),"")</f>
        <v/>
      </c>
      <c r="BE50" s="114" t="str">
        <f t="array" ref="BE50">IFERROR(MEDIAN(IF($E5:$E31=$I$48,BE5:BE31)),"")</f>
        <v/>
      </c>
      <c r="BF50" s="114" t="str">
        <f t="array" ref="BF50">IFERROR(MEDIAN(IF($E5:$E31=$I$48,BF5:BF31)),"")</f>
        <v/>
      </c>
      <c r="BG50" s="114" t="str">
        <f t="array" ref="BG50">IFERROR(MEDIAN(IF($E5:$E31=$I$48,BG5:BG31)),"")</f>
        <v/>
      </c>
      <c r="BH50" s="114" t="str">
        <f t="array" ref="BH50">IFERROR(MEDIAN(IF($E5:$E31=$I$48,BH5:BH31)),"")</f>
        <v/>
      </c>
      <c r="BI50" s="114" t="str">
        <f t="array" ref="BI50">IFERROR(MEDIAN(IF($E5:$E31=$I$48,BI5:BI31)),"")</f>
        <v/>
      </c>
      <c r="BJ50" s="114" t="str">
        <f t="array" ref="BJ50">IFERROR(MEDIAN(IF($E5:$E31=$I$48,BJ5:BJ31)),"")</f>
        <v/>
      </c>
      <c r="BK50" s="114" t="str">
        <f t="array" ref="BK50">IFERROR(MEDIAN(IF($E5:$E31=$I$48,BK5:BK31)),"")</f>
        <v/>
      </c>
      <c r="BL50" s="114" t="str">
        <f t="array" ref="BL50">IFERROR(MEDIAN(IF($E5:$E31=$I$48,BL5:BL31)),"")</f>
        <v/>
      </c>
      <c r="BM50" s="114" t="str">
        <f t="array" ref="BM50">IFERROR(MEDIAN(IF($E5:$E31=$I$48,BM5:BM31)),"")</f>
        <v/>
      </c>
      <c r="BN50" s="114">
        <f t="array" ref="BN50">IFERROR(MEDIAN(IF($E5:$E31=$I$48,BN5:BN31)),"")</f>
        <v>0</v>
      </c>
      <c r="BO50" s="115"/>
    </row>
  </sheetData>
  <autoFilter ref="A4:BM31" xr:uid="{00000000-0009-0000-0000-000000000000}">
    <sortState xmlns:xlrd2="http://schemas.microsoft.com/office/spreadsheetml/2017/richdata2" ref="A5:BL19">
      <sortCondition ref="B4:B19"/>
    </sortState>
  </autoFilter>
  <mergeCells count="2">
    <mergeCell ref="F2:H3"/>
    <mergeCell ref="I2:T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workbookViewId="0">
      <selection activeCell="D20" sqref="D20"/>
    </sheetView>
  </sheetViews>
  <sheetFormatPr defaultRowHeight="15"/>
  <cols>
    <col min="5" max="5" width="17.42578125" bestFit="1" customWidth="1"/>
    <col min="6" max="6" width="8.5703125" bestFit="1" customWidth="1"/>
    <col min="10" max="10" width="9.7109375" bestFit="1" customWidth="1"/>
    <col min="11" max="11" width="10.42578125" bestFit="1" customWidth="1"/>
    <col min="12" max="12" width="10.42578125" customWidth="1"/>
    <col min="13" max="13" width="13.85546875" bestFit="1" customWidth="1"/>
  </cols>
  <sheetData>
    <row r="1" spans="1:14" ht="28.5">
      <c r="A1" s="26" t="s">
        <v>61</v>
      </c>
    </row>
    <row r="3" spans="1:14" s="234" customFormat="1">
      <c r="B3" s="235"/>
      <c r="C3" s="235"/>
      <c r="D3" s="235"/>
      <c r="E3" s="235"/>
      <c r="F3" s="235" t="s">
        <v>54</v>
      </c>
      <c r="G3" s="235" t="s">
        <v>55</v>
      </c>
      <c r="H3" s="235"/>
      <c r="I3" s="235" t="s">
        <v>56</v>
      </c>
      <c r="J3" s="235" t="s">
        <v>59</v>
      </c>
      <c r="K3" s="235" t="s">
        <v>57</v>
      </c>
      <c r="L3" s="235"/>
      <c r="M3" s="235" t="s">
        <v>60</v>
      </c>
      <c r="N3" s="235" t="s">
        <v>58</v>
      </c>
    </row>
    <row r="4" spans="1:14" ht="16.5">
      <c r="B4" s="49">
        <v>32</v>
      </c>
      <c r="C4" s="50"/>
      <c r="D4" s="49" t="s">
        <v>43</v>
      </c>
      <c r="E4" s="212" t="s">
        <v>44</v>
      </c>
      <c r="F4" s="55">
        <v>363000000</v>
      </c>
      <c r="G4" s="52">
        <f>6*5.2*5.2*0.52</f>
        <v>84.364800000000002</v>
      </c>
      <c r="I4" s="52">
        <f>10.1*7.6*7.6*0.52</f>
        <v>303.35551999999996</v>
      </c>
      <c r="J4" s="81">
        <f>2342000000-560200</f>
        <v>2341439800</v>
      </c>
      <c r="K4" s="53">
        <v>471.6</v>
      </c>
      <c r="L4" s="65"/>
      <c r="M4">
        <f t="shared" ref="M4:M18" si="0">J4/F4</f>
        <v>6.4502473829201099</v>
      </c>
      <c r="N4" s="231">
        <f t="shared" ref="N4:N18" si="1">I4/G4</f>
        <v>3.5957593688362914</v>
      </c>
    </row>
    <row r="5" spans="1:14" ht="16.5">
      <c r="B5" s="23">
        <v>41</v>
      </c>
      <c r="C5" s="50"/>
      <c r="D5" s="23" t="s">
        <v>43</v>
      </c>
      <c r="E5" s="212" t="s">
        <v>44</v>
      </c>
      <c r="F5" s="62">
        <v>268900000</v>
      </c>
      <c r="G5" s="59">
        <f>7.7*5.4*5.4*0.52</f>
        <v>116.75664000000002</v>
      </c>
      <c r="I5" s="52"/>
      <c r="J5" s="82"/>
      <c r="K5" s="53"/>
      <c r="L5" s="65"/>
      <c r="M5">
        <f t="shared" si="0"/>
        <v>0</v>
      </c>
      <c r="N5" s="231">
        <f t="shared" si="1"/>
        <v>0</v>
      </c>
    </row>
    <row r="6" spans="1:14" ht="16.5">
      <c r="B6" s="23">
        <v>42</v>
      </c>
      <c r="C6" s="50"/>
      <c r="D6" s="23" t="s">
        <v>43</v>
      </c>
      <c r="E6" s="213" t="s">
        <v>44</v>
      </c>
      <c r="F6" s="62">
        <v>2709000000</v>
      </c>
      <c r="G6" s="59">
        <f>7.3*6.7*6.7*0.52</f>
        <v>170.40244000000001</v>
      </c>
      <c r="I6" s="52">
        <v>1670</v>
      </c>
      <c r="J6" s="82">
        <f>15720000000-1505000</f>
        <v>15718495000</v>
      </c>
      <c r="K6" s="53">
        <f>562</f>
        <v>562</v>
      </c>
      <c r="L6" s="65"/>
      <c r="M6">
        <f t="shared" si="0"/>
        <v>5.802323735695829</v>
      </c>
      <c r="N6" s="231">
        <f t="shared" si="1"/>
        <v>9.8003291502163936</v>
      </c>
    </row>
    <row r="7" spans="1:14" ht="16.5">
      <c r="B7" s="23">
        <v>44</v>
      </c>
      <c r="C7" s="50"/>
      <c r="D7" s="23" t="s">
        <v>43</v>
      </c>
      <c r="E7" s="213" t="s">
        <v>44</v>
      </c>
      <c r="F7" s="62">
        <v>7068000000</v>
      </c>
      <c r="G7" s="59">
        <f>11.8*7.7*7.7*0.52</f>
        <v>363.80344000000002</v>
      </c>
      <c r="I7" s="52">
        <v>2739.2426599999999</v>
      </c>
      <c r="J7" s="82"/>
      <c r="K7" s="53"/>
      <c r="L7" s="65"/>
      <c r="M7">
        <f t="shared" si="0"/>
        <v>0</v>
      </c>
      <c r="N7" s="231">
        <f t="shared" si="1"/>
        <v>7.5294578303052875</v>
      </c>
    </row>
    <row r="8" spans="1:14">
      <c r="B8" s="23">
        <v>11</v>
      </c>
      <c r="C8" s="50"/>
      <c r="D8" s="23" t="s">
        <v>43</v>
      </c>
      <c r="E8" s="212" t="s">
        <v>45</v>
      </c>
      <c r="F8" s="62">
        <v>2078000000</v>
      </c>
      <c r="G8" s="59">
        <f>6*5.3*5.3*0.52</f>
        <v>87.640799999999999</v>
      </c>
      <c r="I8" s="52">
        <f>18.8*10*10*0.52 + 12.9*7.5*7.5*0.52</f>
        <v>1354.925</v>
      </c>
      <c r="J8" s="82">
        <f>18420000000-805600</f>
        <v>18419194400</v>
      </c>
      <c r="K8" s="53">
        <v>1374.3</v>
      </c>
      <c r="L8" s="65"/>
      <c r="M8">
        <f t="shared" si="0"/>
        <v>8.8639049085659281</v>
      </c>
      <c r="N8" s="231">
        <f t="shared" si="1"/>
        <v>15.459979826747359</v>
      </c>
    </row>
    <row r="9" spans="1:14">
      <c r="B9" s="23">
        <v>12</v>
      </c>
      <c r="C9" s="50"/>
      <c r="D9" s="23" t="s">
        <v>43</v>
      </c>
      <c r="E9" s="213" t="s">
        <v>45</v>
      </c>
      <c r="F9" s="62">
        <v>2298000</v>
      </c>
      <c r="G9" s="59"/>
      <c r="I9" s="52"/>
      <c r="J9" s="82">
        <f>7348000-338800</f>
        <v>7009200</v>
      </c>
      <c r="K9" s="53"/>
      <c r="L9" s="65"/>
      <c r="M9">
        <f t="shared" si="0"/>
        <v>3.0501305483028722</v>
      </c>
      <c r="N9" s="231" t="e">
        <f t="shared" si="1"/>
        <v>#DIV/0!</v>
      </c>
    </row>
    <row r="10" spans="1:14">
      <c r="B10" s="23">
        <v>22</v>
      </c>
      <c r="C10" s="50"/>
      <c r="D10" s="23" t="s">
        <v>43</v>
      </c>
      <c r="E10" s="212" t="s">
        <v>45</v>
      </c>
      <c r="F10" s="62">
        <v>261200000</v>
      </c>
      <c r="G10" s="59">
        <f>4.7*3.8*3.8*0.52</f>
        <v>35.291359999999997</v>
      </c>
      <c r="I10" s="52">
        <f>15.1*9.7*9.7*0.52</f>
        <v>738.79467999999997</v>
      </c>
      <c r="J10" s="82">
        <f>6194000000-467300</f>
        <v>6193532700</v>
      </c>
      <c r="K10" s="53">
        <v>879.1</v>
      </c>
      <c r="L10" s="65"/>
      <c r="M10">
        <f t="shared" si="0"/>
        <v>23.71184035222052</v>
      </c>
      <c r="N10" s="231">
        <f t="shared" si="1"/>
        <v>20.934151588377439</v>
      </c>
    </row>
    <row r="11" spans="1:14">
      <c r="B11" s="23">
        <v>24</v>
      </c>
      <c r="C11" s="50"/>
      <c r="D11" s="23" t="s">
        <v>43</v>
      </c>
      <c r="E11" s="213" t="s">
        <v>45</v>
      </c>
      <c r="F11" s="62">
        <v>405800000</v>
      </c>
      <c r="G11" s="59">
        <f>6*4.9*4.9*0.52</f>
        <v>74.911200000000022</v>
      </c>
      <c r="I11" s="52">
        <f>17.9*11.2*11.2*0.52</f>
        <v>1167.5955199999996</v>
      </c>
      <c r="J11" s="82">
        <f>16390000000-534600</f>
        <v>16389465400</v>
      </c>
      <c r="K11" s="53">
        <v>1111.5999999999999</v>
      </c>
      <c r="L11" s="65"/>
      <c r="M11">
        <f t="shared" si="0"/>
        <v>40.388036964021687</v>
      </c>
      <c r="N11" s="231">
        <f t="shared" si="1"/>
        <v>15.58639455782312</v>
      </c>
    </row>
    <row r="12" spans="1:14" ht="16.5">
      <c r="B12" s="23">
        <v>13</v>
      </c>
      <c r="C12" s="50"/>
      <c r="D12" s="23" t="s">
        <v>43</v>
      </c>
      <c r="E12" s="212" t="s">
        <v>46</v>
      </c>
      <c r="F12" s="62">
        <v>4489000000</v>
      </c>
      <c r="G12" s="59">
        <f>8.4*7.4*7.4*0.52+4.4*3.2*3.2*0.52</f>
        <v>262.62080000000003</v>
      </c>
      <c r="I12" s="52">
        <f>9.9*7.7*7.7*0.52</f>
        <v>305.22492</v>
      </c>
      <c r="J12" s="82">
        <f>16440000000-1766000</f>
        <v>16438234000</v>
      </c>
      <c r="K12" s="53">
        <v>270.10000000000002</v>
      </c>
      <c r="L12" s="65"/>
      <c r="M12">
        <f t="shared" si="0"/>
        <v>3.6618921808866118</v>
      </c>
      <c r="N12" s="231">
        <f t="shared" si="1"/>
        <v>1.1622267543164897</v>
      </c>
    </row>
    <row r="13" spans="1:14" ht="16.5">
      <c r="B13" s="23">
        <v>21</v>
      </c>
      <c r="C13" s="50"/>
      <c r="D13" s="23" t="s">
        <v>43</v>
      </c>
      <c r="E13" s="213" t="s">
        <v>46</v>
      </c>
      <c r="F13" s="62">
        <v>129100000</v>
      </c>
      <c r="G13" s="59">
        <f>7.4*6.9*6.9*0.52</f>
        <v>183.20328000000001</v>
      </c>
      <c r="I13" s="52">
        <f>8.6*6.8*6.8*0.52</f>
        <v>206.78528</v>
      </c>
      <c r="J13" s="82">
        <f>845800000-531000</f>
        <v>845269000</v>
      </c>
      <c r="K13" s="53">
        <v>266</v>
      </c>
      <c r="L13" s="65"/>
      <c r="M13">
        <f t="shared" si="0"/>
        <v>6.5473973663826488</v>
      </c>
      <c r="N13" s="231">
        <f t="shared" si="1"/>
        <v>1.1287204028224822</v>
      </c>
    </row>
    <row r="14" spans="1:14" ht="16.5">
      <c r="B14" s="23">
        <v>31</v>
      </c>
      <c r="C14" s="50"/>
      <c r="D14" s="23" t="s">
        <v>43</v>
      </c>
      <c r="E14" s="213" t="s">
        <v>46</v>
      </c>
      <c r="F14" s="62">
        <v>592700000</v>
      </c>
      <c r="G14" s="59">
        <f>6.1*4.7*4.7*0.52</f>
        <v>70.069479999999999</v>
      </c>
      <c r="I14" s="52">
        <f>7.4*6*6*0.52</f>
        <v>138.52800000000002</v>
      </c>
      <c r="J14" s="82">
        <f>205500000-529600</f>
        <v>204970400</v>
      </c>
      <c r="K14" s="53">
        <v>165.1</v>
      </c>
      <c r="L14" s="65"/>
      <c r="M14">
        <f t="shared" si="0"/>
        <v>0.34582486924244982</v>
      </c>
      <c r="N14" s="231">
        <f t="shared" si="1"/>
        <v>1.9770091058189674</v>
      </c>
    </row>
    <row r="15" spans="1:14" ht="16.5">
      <c r="B15" s="23">
        <v>34</v>
      </c>
      <c r="C15" s="50"/>
      <c r="D15" s="23" t="s">
        <v>43</v>
      </c>
      <c r="E15" s="212" t="s">
        <v>46</v>
      </c>
      <c r="F15" s="62">
        <v>1363000000</v>
      </c>
      <c r="G15" s="59">
        <f>8.6*6*6*0.52</f>
        <v>160.99199999999999</v>
      </c>
      <c r="I15" s="52">
        <f>9.6*7.4*7.4*0.52</f>
        <v>273.36192</v>
      </c>
      <c r="J15" s="82">
        <f>3741000000-2292000</f>
        <v>3738708000</v>
      </c>
      <c r="K15" s="53">
        <v>447.5</v>
      </c>
      <c r="L15" s="65"/>
      <c r="M15">
        <f t="shared" si="0"/>
        <v>2.7429992663242846</v>
      </c>
      <c r="N15" s="231">
        <f t="shared" si="1"/>
        <v>1.6979844961240311</v>
      </c>
    </row>
    <row r="16" spans="1:14">
      <c r="B16" s="23">
        <v>23</v>
      </c>
      <c r="C16" s="50"/>
      <c r="D16" s="23" t="s">
        <v>43</v>
      </c>
      <c r="E16" s="212" t="s">
        <v>47</v>
      </c>
      <c r="F16" s="62">
        <v>617200000</v>
      </c>
      <c r="G16" s="59">
        <v>160.041</v>
      </c>
      <c r="I16" s="52">
        <f>13.4*8.7*8.7*0.52</f>
        <v>527.40791999999999</v>
      </c>
      <c r="J16" s="82">
        <f>3889000000-2820000</f>
        <v>3886180000</v>
      </c>
      <c r="K16" s="53">
        <v>585.5</v>
      </c>
      <c r="L16" s="65"/>
      <c r="M16">
        <f t="shared" si="0"/>
        <v>6.2964679196370703</v>
      </c>
      <c r="N16" s="231">
        <f t="shared" si="1"/>
        <v>3.2954550396460909</v>
      </c>
    </row>
    <row r="17" spans="2:14">
      <c r="B17" s="23">
        <v>33</v>
      </c>
      <c r="C17" s="50"/>
      <c r="D17" s="23" t="s">
        <v>43</v>
      </c>
      <c r="E17" s="213" t="s">
        <v>47</v>
      </c>
      <c r="F17" s="62">
        <v>700100000</v>
      </c>
      <c r="G17" s="59">
        <v>168.33099999999999</v>
      </c>
      <c r="I17" s="52">
        <f>9.7*6.5*6.5*0.52</f>
        <v>213.10900000000001</v>
      </c>
      <c r="J17" s="82">
        <f>629900000-821900</f>
        <v>629078100</v>
      </c>
      <c r="K17" s="53">
        <v>204.5</v>
      </c>
      <c r="L17" s="65"/>
      <c r="M17">
        <f t="shared" si="0"/>
        <v>0.8985546350521354</v>
      </c>
      <c r="N17" s="231">
        <f t="shared" si="1"/>
        <v>1.2660116080816963</v>
      </c>
    </row>
    <row r="18" spans="2:14">
      <c r="B18" s="23">
        <v>43</v>
      </c>
      <c r="C18" s="50"/>
      <c r="D18" s="23" t="s">
        <v>43</v>
      </c>
      <c r="E18" s="212" t="s">
        <v>47</v>
      </c>
      <c r="F18" s="62">
        <v>672600000</v>
      </c>
      <c r="G18" s="59">
        <v>165.58099999999999</v>
      </c>
      <c r="I18" s="52">
        <f>9.5*8.7*8.7*0.52</f>
        <v>373.90859999999992</v>
      </c>
      <c r="J18" s="131">
        <f>2226000000-647600</f>
        <v>2225352400</v>
      </c>
      <c r="K18" s="52">
        <v>377</v>
      </c>
      <c r="L18" s="65"/>
      <c r="M18">
        <f t="shared" si="0"/>
        <v>3.308582218257508</v>
      </c>
      <c r="N18" s="231">
        <f t="shared" si="1"/>
        <v>2.258161262463688</v>
      </c>
    </row>
  </sheetData>
  <autoFilter ref="B3:N3" xr:uid="{00000000-0009-0000-0000-000005000000}">
    <sortState xmlns:xlrd2="http://schemas.microsoft.com/office/spreadsheetml/2017/richdata2" ref="B4:N18">
      <sortCondition ref="E3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4FA4-0C29-41A4-9916-061D46D77E95}">
  <dimension ref="A1:BV44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X9" sqref="X9"/>
    </sheetView>
  </sheetViews>
  <sheetFormatPr defaultRowHeight="12.75" outlineLevelCol="1"/>
  <cols>
    <col min="1" max="1" width="9.85546875" style="7" bestFit="1" customWidth="1"/>
    <col min="2" max="2" width="9.140625" style="2"/>
    <col min="3" max="3" width="29.42578125" style="8" hidden="1" customWidth="1" outlineLevel="1"/>
    <col min="4" max="4" width="7.140625" style="2" customWidth="1" collapsed="1"/>
    <col min="5" max="5" width="14.28515625" style="1" customWidth="1"/>
    <col min="6" max="6" width="10.7109375" style="12" customWidth="1"/>
    <col min="7" max="8" width="10" style="11" hidden="1" customWidth="1" outlineLevel="1"/>
    <col min="9" max="9" width="10.7109375" style="12" customWidth="1" collapsed="1"/>
    <col min="10" max="10" width="9.140625" style="11" hidden="1" customWidth="1" outlineLevel="1"/>
    <col min="11" max="11" width="9.140625" style="14" hidden="1" customWidth="1" outlineLevel="1"/>
    <col min="12" max="12" width="10.7109375" style="11" hidden="1" customWidth="1" outlineLevel="1"/>
    <col min="13" max="13" width="12.85546875" style="10" hidden="1" customWidth="1" outlineLevel="1"/>
    <col min="14" max="17" width="12.85546875" style="11" hidden="1" customWidth="1" outlineLevel="1"/>
    <col min="18" max="18" width="12.85546875" style="101" hidden="1" customWidth="1" outlineLevel="1"/>
    <col min="19" max="21" width="12.85546875" style="102" hidden="1" customWidth="1" outlineLevel="1"/>
    <col min="22" max="22" width="7.42578125" style="2" customWidth="1" collapsed="1"/>
    <col min="23" max="24" width="8.5703125" style="2" customWidth="1"/>
    <col min="25" max="47" width="8.5703125" style="2" customWidth="1" outlineLevel="1"/>
    <col min="48" max="48" width="7.42578125" style="119" customWidth="1"/>
    <col min="49" max="49" width="8.5703125" style="2" customWidth="1" collapsed="1"/>
    <col min="50" max="50" width="8.5703125" style="2" customWidth="1"/>
    <col min="51" max="73" width="8.5703125" style="2" customWidth="1" outlineLevel="1"/>
    <col min="74" max="16384" width="9.140625" style="1"/>
  </cols>
  <sheetData>
    <row r="1" spans="1:74" s="16" customFormat="1" ht="28.5">
      <c r="A1" s="26" t="s">
        <v>20</v>
      </c>
      <c r="C1" s="278"/>
      <c r="D1" s="15"/>
      <c r="F1" s="279"/>
      <c r="G1" s="280"/>
      <c r="H1" s="280"/>
      <c r="I1" s="279"/>
      <c r="J1" s="280"/>
      <c r="K1" s="281"/>
      <c r="L1" s="280"/>
      <c r="M1" s="282"/>
      <c r="N1" s="280"/>
      <c r="O1" s="280"/>
      <c r="P1" s="280"/>
      <c r="Q1" s="280"/>
      <c r="R1" s="99"/>
      <c r="S1" s="283"/>
      <c r="T1" s="283"/>
      <c r="U1" s="283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3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</row>
    <row r="2" spans="1:74" s="4" customFormat="1" ht="15.75" customHeight="1">
      <c r="A2" s="284" t="s">
        <v>36</v>
      </c>
      <c r="B2" s="285"/>
      <c r="C2" s="286"/>
      <c r="D2" s="285"/>
      <c r="E2" s="287"/>
      <c r="F2" s="415" t="s">
        <v>16</v>
      </c>
      <c r="G2" s="416"/>
      <c r="H2" s="417"/>
      <c r="I2" s="415" t="s">
        <v>0</v>
      </c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7"/>
      <c r="U2" s="288"/>
      <c r="V2" s="13"/>
      <c r="W2" s="289" t="s">
        <v>22</v>
      </c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90"/>
      <c r="AV2" s="136"/>
      <c r="AW2" s="289" t="s">
        <v>29</v>
      </c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90"/>
      <c r="BV2" s="17"/>
    </row>
    <row r="3" spans="1:74" s="156" customFormat="1" ht="15.75">
      <c r="C3" s="291"/>
      <c r="E3" s="292"/>
      <c r="F3" s="418"/>
      <c r="G3" s="416"/>
      <c r="H3" s="417"/>
      <c r="I3" s="415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7"/>
      <c r="U3" s="288"/>
      <c r="V3" s="83" t="s">
        <v>17</v>
      </c>
      <c r="W3" s="293">
        <v>42265</v>
      </c>
      <c r="X3" s="293">
        <v>42266</v>
      </c>
      <c r="Y3" s="293">
        <v>42267</v>
      </c>
      <c r="Z3" s="293">
        <v>42269</v>
      </c>
      <c r="AA3" s="293">
        <v>42271</v>
      </c>
      <c r="AB3" s="293">
        <v>42273</v>
      </c>
      <c r="AC3" s="293">
        <v>42275</v>
      </c>
      <c r="AD3" s="293">
        <v>42277</v>
      </c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137" t="s">
        <v>17</v>
      </c>
      <c r="AW3" s="293">
        <f>IF(ISBLANK(W3)="TRUE","",W3)</f>
        <v>42265</v>
      </c>
      <c r="AX3" s="293">
        <f t="shared" ref="AX3:BM4" si="0">IF(ISBLANK(X3)="TRUE","",X3)</f>
        <v>42266</v>
      </c>
      <c r="AY3" s="293">
        <f t="shared" si="0"/>
        <v>42267</v>
      </c>
      <c r="AZ3" s="293">
        <f t="shared" si="0"/>
        <v>42269</v>
      </c>
      <c r="BA3" s="293">
        <f t="shared" si="0"/>
        <v>42271</v>
      </c>
      <c r="BB3" s="293">
        <f t="shared" si="0"/>
        <v>42273</v>
      </c>
      <c r="BC3" s="293">
        <f t="shared" si="0"/>
        <v>42275</v>
      </c>
      <c r="BD3" s="293">
        <f t="shared" si="0"/>
        <v>42277</v>
      </c>
      <c r="BE3" s="293">
        <f t="shared" si="0"/>
        <v>0</v>
      </c>
      <c r="BF3" s="293">
        <f t="shared" si="0"/>
        <v>0</v>
      </c>
      <c r="BG3" s="293">
        <f t="shared" si="0"/>
        <v>0</v>
      </c>
      <c r="BH3" s="293">
        <f t="shared" si="0"/>
        <v>0</v>
      </c>
      <c r="BI3" s="293">
        <f t="shared" si="0"/>
        <v>0</v>
      </c>
      <c r="BJ3" s="293">
        <f t="shared" si="0"/>
        <v>0</v>
      </c>
      <c r="BK3" s="293">
        <f t="shared" si="0"/>
        <v>0</v>
      </c>
      <c r="BL3" s="293">
        <f t="shared" si="0"/>
        <v>0</v>
      </c>
      <c r="BM3" s="293">
        <f t="shared" si="0"/>
        <v>0</v>
      </c>
      <c r="BN3" s="293">
        <f t="shared" ref="BN3:BU4" si="1">IF(ISBLANK(AN3)="TRUE","",AN3)</f>
        <v>0</v>
      </c>
      <c r="BO3" s="293">
        <f t="shared" si="1"/>
        <v>0</v>
      </c>
      <c r="BP3" s="293">
        <f t="shared" si="1"/>
        <v>0</v>
      </c>
      <c r="BQ3" s="293">
        <f t="shared" si="1"/>
        <v>0</v>
      </c>
      <c r="BR3" s="293">
        <f t="shared" si="1"/>
        <v>0</v>
      </c>
      <c r="BS3" s="293">
        <f t="shared" si="1"/>
        <v>0</v>
      </c>
      <c r="BT3" s="293">
        <f t="shared" si="1"/>
        <v>0</v>
      </c>
      <c r="BU3" s="293">
        <f t="shared" si="1"/>
        <v>0</v>
      </c>
      <c r="BV3" s="155"/>
    </row>
    <row r="4" spans="1:74" s="3" customFormat="1" ht="15.75">
      <c r="A4" s="294" t="s">
        <v>8</v>
      </c>
      <c r="B4" s="295" t="s">
        <v>9</v>
      </c>
      <c r="C4" s="296" t="s">
        <v>10</v>
      </c>
      <c r="D4" s="294" t="s">
        <v>19</v>
      </c>
      <c r="E4" s="297" t="s">
        <v>13</v>
      </c>
      <c r="F4" s="298" t="s">
        <v>1</v>
      </c>
      <c r="G4" s="299" t="s">
        <v>2</v>
      </c>
      <c r="H4" s="300" t="s">
        <v>3</v>
      </c>
      <c r="I4" s="298" t="s">
        <v>1</v>
      </c>
      <c r="J4" s="299" t="s">
        <v>2</v>
      </c>
      <c r="K4" s="301" t="s">
        <v>18</v>
      </c>
      <c r="L4" s="299" t="s">
        <v>3</v>
      </c>
      <c r="M4" s="302" t="s">
        <v>7</v>
      </c>
      <c r="N4" s="299" t="s">
        <v>4</v>
      </c>
      <c r="O4" s="299" t="s">
        <v>6</v>
      </c>
      <c r="P4" s="299" t="s">
        <v>5</v>
      </c>
      <c r="Q4" s="299" t="s">
        <v>15</v>
      </c>
      <c r="R4" s="100" t="s">
        <v>24</v>
      </c>
      <c r="S4" s="303" t="s">
        <v>23</v>
      </c>
      <c r="T4" s="304" t="s">
        <v>37</v>
      </c>
      <c r="U4" s="304"/>
      <c r="V4" s="6" t="s">
        <v>11</v>
      </c>
      <c r="W4" s="295">
        <v>0</v>
      </c>
      <c r="X4" s="295">
        <f>IF(ISBLANK(X3)="TRUE","",X3-$W3)</f>
        <v>1</v>
      </c>
      <c r="Y4" s="295">
        <f t="shared" ref="Y4:AU4" si="2">IF(ISBLANK(Y3)="TRUE","",Y3-$W3)</f>
        <v>2</v>
      </c>
      <c r="Z4" s="295">
        <f t="shared" si="2"/>
        <v>4</v>
      </c>
      <c r="AA4" s="295">
        <f t="shared" si="2"/>
        <v>6</v>
      </c>
      <c r="AB4" s="295">
        <f t="shared" si="2"/>
        <v>8</v>
      </c>
      <c r="AC4" s="295">
        <f t="shared" si="2"/>
        <v>10</v>
      </c>
      <c r="AD4" s="295">
        <f t="shared" si="2"/>
        <v>12</v>
      </c>
      <c r="AE4" s="295">
        <f t="shared" si="2"/>
        <v>-42265</v>
      </c>
      <c r="AF4" s="295">
        <f t="shared" si="2"/>
        <v>-42265</v>
      </c>
      <c r="AG4" s="295">
        <f t="shared" si="2"/>
        <v>-42265</v>
      </c>
      <c r="AH4" s="295">
        <f t="shared" si="2"/>
        <v>-42265</v>
      </c>
      <c r="AI4" s="295">
        <f t="shared" si="2"/>
        <v>-42265</v>
      </c>
      <c r="AJ4" s="295">
        <f t="shared" si="2"/>
        <v>-42265</v>
      </c>
      <c r="AK4" s="295">
        <f t="shared" si="2"/>
        <v>-42265</v>
      </c>
      <c r="AL4" s="295">
        <f t="shared" si="2"/>
        <v>-42265</v>
      </c>
      <c r="AM4" s="295">
        <f t="shared" si="2"/>
        <v>-42265</v>
      </c>
      <c r="AN4" s="295">
        <f t="shared" si="2"/>
        <v>-42265</v>
      </c>
      <c r="AO4" s="295">
        <f t="shared" si="2"/>
        <v>-42265</v>
      </c>
      <c r="AP4" s="295">
        <f t="shared" si="2"/>
        <v>-42265</v>
      </c>
      <c r="AQ4" s="295">
        <f t="shared" si="2"/>
        <v>-42265</v>
      </c>
      <c r="AR4" s="295">
        <f t="shared" si="2"/>
        <v>-42265</v>
      </c>
      <c r="AS4" s="295">
        <f t="shared" si="2"/>
        <v>-42265</v>
      </c>
      <c r="AT4" s="295">
        <f t="shared" si="2"/>
        <v>-42265</v>
      </c>
      <c r="AU4" s="295">
        <f t="shared" si="2"/>
        <v>-42265</v>
      </c>
      <c r="AV4" s="138" t="s">
        <v>11</v>
      </c>
      <c r="AW4" s="295">
        <f>IF(ISBLANK(W4)="TRUE","",W4)</f>
        <v>0</v>
      </c>
      <c r="AX4" s="295">
        <f t="shared" si="0"/>
        <v>1</v>
      </c>
      <c r="AY4" s="295">
        <f t="shared" si="0"/>
        <v>2</v>
      </c>
      <c r="AZ4" s="295">
        <f t="shared" si="0"/>
        <v>4</v>
      </c>
      <c r="BA4" s="295">
        <f t="shared" si="0"/>
        <v>6</v>
      </c>
      <c r="BB4" s="295">
        <f t="shared" si="0"/>
        <v>8</v>
      </c>
      <c r="BC4" s="295">
        <f t="shared" si="0"/>
        <v>10</v>
      </c>
      <c r="BD4" s="295">
        <f t="shared" si="0"/>
        <v>12</v>
      </c>
      <c r="BE4" s="295">
        <f t="shared" si="0"/>
        <v>-42265</v>
      </c>
      <c r="BF4" s="295">
        <f t="shared" si="0"/>
        <v>-42265</v>
      </c>
      <c r="BG4" s="295">
        <f t="shared" si="0"/>
        <v>-42265</v>
      </c>
      <c r="BH4" s="295">
        <f t="shared" si="0"/>
        <v>-42265</v>
      </c>
      <c r="BI4" s="295">
        <f t="shared" si="0"/>
        <v>-42265</v>
      </c>
      <c r="BJ4" s="295">
        <f t="shared" si="0"/>
        <v>-42265</v>
      </c>
      <c r="BK4" s="295">
        <f t="shared" si="0"/>
        <v>-42265</v>
      </c>
      <c r="BL4" s="295">
        <f t="shared" si="0"/>
        <v>-42265</v>
      </c>
      <c r="BM4" s="295">
        <f t="shared" si="0"/>
        <v>-42265</v>
      </c>
      <c r="BN4" s="295">
        <f t="shared" si="1"/>
        <v>-42265</v>
      </c>
      <c r="BO4" s="295">
        <f t="shared" si="1"/>
        <v>-42265</v>
      </c>
      <c r="BP4" s="295">
        <f t="shared" si="1"/>
        <v>-42265</v>
      </c>
      <c r="BQ4" s="295">
        <f t="shared" si="1"/>
        <v>-42265</v>
      </c>
      <c r="BR4" s="295">
        <f t="shared" si="1"/>
        <v>-42265</v>
      </c>
      <c r="BS4" s="295">
        <f t="shared" si="1"/>
        <v>-42265</v>
      </c>
      <c r="BT4" s="295">
        <f t="shared" si="1"/>
        <v>-42265</v>
      </c>
      <c r="BU4" s="295">
        <f t="shared" si="1"/>
        <v>-42265</v>
      </c>
      <c r="BV4" s="9"/>
    </row>
    <row r="5" spans="1:74">
      <c r="A5" s="305">
        <f>'[1]Tumor Size'!A5</f>
        <v>0</v>
      </c>
      <c r="B5" s="306">
        <f>'[1]Tumor Size'!B5</f>
        <v>11</v>
      </c>
      <c r="C5" s="307">
        <f>'[1]Tumor Size'!C5</f>
        <v>0</v>
      </c>
      <c r="D5" s="306" t="str">
        <f>'[1]Tumor Size'!D5</f>
        <v>Pilot</v>
      </c>
      <c r="E5" s="308" t="str">
        <f>'[1]Tumor Size'!E5</f>
        <v>i.t. PTX + ELP Depot</v>
      </c>
      <c r="F5" s="309">
        <f>'[1]Tumor Size'!F5</f>
        <v>42244</v>
      </c>
      <c r="G5" s="310">
        <f>'[1]Tumor Size'!G5</f>
        <v>28.1</v>
      </c>
      <c r="H5" s="311">
        <f>'[1]Tumor Size'!H5</f>
        <v>310</v>
      </c>
      <c r="I5" s="309">
        <f>'[1]Tumor Size'!I5</f>
        <v>42265</v>
      </c>
      <c r="J5" s="310">
        <f>'[1]Tumor Size'!J5</f>
        <v>30.8</v>
      </c>
      <c r="K5" s="312">
        <f>'[1]Tumor Size'!K5</f>
        <v>0</v>
      </c>
      <c r="L5" s="310">
        <f>'[1]Tumor Size'!L5</f>
        <v>310</v>
      </c>
      <c r="M5" s="313">
        <f>'[1]Tumor Size'!M5</f>
        <v>2078000000</v>
      </c>
      <c r="N5" s="310">
        <f>'[1]Tumor Size'!N5</f>
        <v>87.640799999999999</v>
      </c>
      <c r="O5" s="310">
        <f>'[1]Tumor Size'!O5</f>
        <v>876.40800000000002</v>
      </c>
      <c r="P5" s="310">
        <f>'[1]Tumor Size'!P5</f>
        <v>29.2</v>
      </c>
      <c r="Q5" s="310">
        <f>'[1]Tumor Size'!Q5</f>
        <v>0</v>
      </c>
      <c r="R5" s="98">
        <f>'[1]Tumor Size'!R5</f>
        <v>0</v>
      </c>
      <c r="S5" s="314">
        <f>'[1]Tumor Size'!S5</f>
        <v>0</v>
      </c>
      <c r="T5" s="314">
        <f>'[1]Tumor Size'!T5</f>
        <v>1354.925</v>
      </c>
      <c r="U5" s="315">
        <f>'[1]Tumor Size'!U5</f>
        <v>1374.3</v>
      </c>
      <c r="V5" s="56"/>
      <c r="W5" s="49">
        <v>0</v>
      </c>
      <c r="X5" s="49">
        <v>0</v>
      </c>
      <c r="Y5" s="49">
        <v>0</v>
      </c>
      <c r="Z5" s="49">
        <v>0</v>
      </c>
      <c r="AA5" s="49">
        <v>0</v>
      </c>
      <c r="AB5" s="49">
        <v>0</v>
      </c>
      <c r="AC5" s="49">
        <v>0</v>
      </c>
      <c r="AD5" s="49">
        <v>0</v>
      </c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139"/>
      <c r="AW5" s="116" t="str">
        <f t="shared" ref="AW5:AW18" si="3">IFERROR(Q5/Q5,"")</f>
        <v/>
      </c>
      <c r="AX5" s="116" t="str">
        <f t="shared" ref="AX5:BM18" si="4">IF(OR(ISERROR(X5/$Q5)=TRUE,ISBLANK(X5)=TRUE),"",X5/$Q5)</f>
        <v/>
      </c>
      <c r="AY5" s="116" t="str">
        <f t="shared" si="4"/>
        <v/>
      </c>
      <c r="AZ5" s="116" t="str">
        <f t="shared" si="4"/>
        <v/>
      </c>
      <c r="BA5" s="116" t="str">
        <f t="shared" si="4"/>
        <v/>
      </c>
      <c r="BB5" s="116" t="str">
        <f t="shared" si="4"/>
        <v/>
      </c>
      <c r="BC5" s="116" t="str">
        <f t="shared" si="4"/>
        <v/>
      </c>
      <c r="BD5" s="116" t="str">
        <f t="shared" si="4"/>
        <v/>
      </c>
      <c r="BE5" s="116" t="str">
        <f t="shared" si="4"/>
        <v/>
      </c>
      <c r="BF5" s="116" t="str">
        <f t="shared" si="4"/>
        <v/>
      </c>
      <c r="BG5" s="116" t="str">
        <f t="shared" si="4"/>
        <v/>
      </c>
      <c r="BH5" s="116" t="str">
        <f t="shared" si="4"/>
        <v/>
      </c>
      <c r="BI5" s="116" t="str">
        <f t="shared" si="4"/>
        <v/>
      </c>
      <c r="BJ5" s="116" t="str">
        <f t="shared" si="4"/>
        <v/>
      </c>
      <c r="BK5" s="116" t="str">
        <f t="shared" si="4"/>
        <v/>
      </c>
      <c r="BL5" s="116" t="str">
        <f t="shared" si="4"/>
        <v/>
      </c>
      <c r="BM5" s="116" t="str">
        <f t="shared" si="4"/>
        <v/>
      </c>
      <c r="BN5" s="116" t="str">
        <f t="shared" ref="BN5:BU18" si="5">IF(OR(ISERROR(AN5/$Q5)=TRUE,ISBLANK(AN5)=TRUE),"",AN5/$Q5)</f>
        <v/>
      </c>
      <c r="BO5" s="116" t="str">
        <f t="shared" si="5"/>
        <v/>
      </c>
      <c r="BP5" s="116" t="str">
        <f t="shared" si="5"/>
        <v/>
      </c>
      <c r="BQ5" s="116" t="str">
        <f t="shared" si="5"/>
        <v/>
      </c>
      <c r="BR5" s="116" t="str">
        <f t="shared" si="5"/>
        <v/>
      </c>
      <c r="BS5" s="116" t="str">
        <f t="shared" si="5"/>
        <v/>
      </c>
      <c r="BT5" s="116" t="str">
        <f t="shared" si="5"/>
        <v/>
      </c>
      <c r="BU5" s="116" t="str">
        <f t="shared" si="5"/>
        <v/>
      </c>
      <c r="BV5" s="25"/>
    </row>
    <row r="6" spans="1:74">
      <c r="A6" s="305">
        <f>'[1]Tumor Size'!A7</f>
        <v>0</v>
      </c>
      <c r="B6" s="306">
        <f>'[1]Tumor Size'!B7</f>
        <v>13</v>
      </c>
      <c r="C6" s="307">
        <f>'[1]Tumor Size'!C7</f>
        <v>0</v>
      </c>
      <c r="D6" s="306" t="str">
        <f>'[1]Tumor Size'!D7</f>
        <v>Pilot</v>
      </c>
      <c r="E6" s="308" t="str">
        <f>'[1]Tumor Size'!E7</f>
        <v>I.V. PTX + 131I Depot</v>
      </c>
      <c r="F6" s="309">
        <f>'[1]Tumor Size'!F7</f>
        <v>42244</v>
      </c>
      <c r="G6" s="310">
        <f>'[1]Tumor Size'!G7</f>
        <v>30.3</v>
      </c>
      <c r="H6" s="311">
        <f>'[1]Tumor Size'!H7</f>
        <v>580</v>
      </c>
      <c r="I6" s="309">
        <f>'[1]Tumor Size'!I7</f>
        <v>42265</v>
      </c>
      <c r="J6" s="310">
        <f>'[1]Tumor Size'!J7</f>
        <v>34.4</v>
      </c>
      <c r="K6" s="312">
        <f>'[1]Tumor Size'!K7</f>
        <v>0</v>
      </c>
      <c r="L6" s="310">
        <f>'[1]Tumor Size'!L7</f>
        <v>340</v>
      </c>
      <c r="M6" s="313">
        <f>'[1]Tumor Size'!M7</f>
        <v>4489000000</v>
      </c>
      <c r="N6" s="310">
        <f>'[1]Tumor Size'!N7</f>
        <v>262.62080000000003</v>
      </c>
      <c r="O6" s="310">
        <f>'[1]Tumor Size'!O7</f>
        <v>2626.2080000000005</v>
      </c>
      <c r="P6" s="310">
        <f>'[1]Tumor Size'!P7</f>
        <v>83.300000000000011</v>
      </c>
      <c r="Q6" s="310">
        <f>'[1]Tumor Size'!Q7</f>
        <v>227</v>
      </c>
      <c r="R6" s="98">
        <f>'[1]Tumor Size'!R7</f>
        <v>0.86436413262011225</v>
      </c>
      <c r="S6" s="314">
        <f>'[1]Tumor Size'!S7</f>
        <v>2.7250900360144055</v>
      </c>
      <c r="T6" s="314">
        <f>'[1]Tumor Size'!T7</f>
        <v>305.22492</v>
      </c>
      <c r="U6" s="315">
        <f>'[1]Tumor Size'!U7</f>
        <v>270.10000000000002</v>
      </c>
      <c r="V6" s="63"/>
      <c r="W6" s="49">
        <v>227</v>
      </c>
      <c r="X6" s="23">
        <v>167</v>
      </c>
      <c r="Y6" s="23">
        <v>145</v>
      </c>
      <c r="Z6" s="23">
        <v>113</v>
      </c>
      <c r="AA6" s="23">
        <v>94</v>
      </c>
      <c r="AB6" s="23">
        <v>77</v>
      </c>
      <c r="AC6" s="23">
        <v>64</v>
      </c>
      <c r="AD6" s="23">
        <v>54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139"/>
      <c r="AW6" s="111">
        <f t="shared" si="3"/>
        <v>1</v>
      </c>
      <c r="AX6" s="111">
        <f t="shared" si="4"/>
        <v>0.73568281938325997</v>
      </c>
      <c r="AY6" s="111">
        <f t="shared" si="4"/>
        <v>0.63876651982378851</v>
      </c>
      <c r="AZ6" s="111">
        <f t="shared" si="4"/>
        <v>0.49779735682819382</v>
      </c>
      <c r="BA6" s="111">
        <f t="shared" si="4"/>
        <v>0.41409691629955947</v>
      </c>
      <c r="BB6" s="111">
        <f t="shared" si="4"/>
        <v>0.33920704845814981</v>
      </c>
      <c r="BC6" s="111">
        <f t="shared" si="4"/>
        <v>0.28193832599118945</v>
      </c>
      <c r="BD6" s="111">
        <f t="shared" si="4"/>
        <v>0.23788546255506607</v>
      </c>
      <c r="BE6" s="111" t="str">
        <f t="shared" si="4"/>
        <v/>
      </c>
      <c r="BF6" s="111" t="str">
        <f t="shared" si="4"/>
        <v/>
      </c>
      <c r="BG6" s="111" t="str">
        <f t="shared" si="4"/>
        <v/>
      </c>
      <c r="BH6" s="111" t="str">
        <f t="shared" si="4"/>
        <v/>
      </c>
      <c r="BI6" s="111" t="str">
        <f t="shared" si="4"/>
        <v/>
      </c>
      <c r="BJ6" s="111" t="str">
        <f t="shared" si="4"/>
        <v/>
      </c>
      <c r="BK6" s="111" t="str">
        <f t="shared" si="4"/>
        <v/>
      </c>
      <c r="BL6" s="111" t="str">
        <f t="shared" si="4"/>
        <v/>
      </c>
      <c r="BM6" s="111" t="str">
        <f t="shared" si="4"/>
        <v/>
      </c>
      <c r="BN6" s="111" t="str">
        <f t="shared" si="5"/>
        <v/>
      </c>
      <c r="BO6" s="111" t="str">
        <f t="shared" si="5"/>
        <v/>
      </c>
      <c r="BP6" s="111" t="str">
        <f t="shared" si="5"/>
        <v/>
      </c>
      <c r="BQ6" s="111" t="str">
        <f t="shared" si="5"/>
        <v/>
      </c>
      <c r="BR6" s="111" t="str">
        <f t="shared" si="5"/>
        <v/>
      </c>
      <c r="BS6" s="111" t="str">
        <f t="shared" si="5"/>
        <v/>
      </c>
      <c r="BT6" s="111" t="str">
        <f t="shared" si="5"/>
        <v/>
      </c>
      <c r="BU6" s="111" t="str">
        <f t="shared" si="5"/>
        <v/>
      </c>
      <c r="BV6" s="25"/>
    </row>
    <row r="7" spans="1:74">
      <c r="A7" s="305">
        <f>'[1]Tumor Size'!A8</f>
        <v>0</v>
      </c>
      <c r="B7" s="306">
        <f>'[1]Tumor Size'!B8</f>
        <v>21</v>
      </c>
      <c r="C7" s="307">
        <f>'[1]Tumor Size'!C8</f>
        <v>0</v>
      </c>
      <c r="D7" s="306" t="str">
        <f>'[1]Tumor Size'!D8</f>
        <v>Pilot</v>
      </c>
      <c r="E7" s="308" t="str">
        <f>'[1]Tumor Size'!E8</f>
        <v>I.V. PTX + 131I Depot</v>
      </c>
      <c r="F7" s="309">
        <f>'[1]Tumor Size'!F8</f>
        <v>42244</v>
      </c>
      <c r="G7" s="310">
        <f>'[1]Tumor Size'!G8</f>
        <v>31.4</v>
      </c>
      <c r="H7" s="311">
        <f>'[1]Tumor Size'!H8</f>
        <v>260</v>
      </c>
      <c r="I7" s="309">
        <f>'[1]Tumor Size'!I8</f>
        <v>42265</v>
      </c>
      <c r="J7" s="310">
        <f>'[1]Tumor Size'!J8</f>
        <v>32.700000000000003</v>
      </c>
      <c r="K7" s="312">
        <f>'[1]Tumor Size'!K8</f>
        <v>0</v>
      </c>
      <c r="L7" s="310">
        <f>'[1]Tumor Size'!L8</f>
        <v>450</v>
      </c>
      <c r="M7" s="313">
        <f>'[1]Tumor Size'!M8</f>
        <v>129100000</v>
      </c>
      <c r="N7" s="310">
        <f>'[1]Tumor Size'!N8</f>
        <v>183.20328000000001</v>
      </c>
      <c r="O7" s="310">
        <f>'[1]Tumor Size'!O8</f>
        <v>1832.0328</v>
      </c>
      <c r="P7" s="310">
        <f>'[1]Tumor Size'!P8</f>
        <v>58.1</v>
      </c>
      <c r="Q7" s="310">
        <f>'[1]Tumor Size'!Q8</f>
        <v>356</v>
      </c>
      <c r="R7" s="98">
        <f>'[1]Tumor Size'!R8</f>
        <v>1.943196650190979</v>
      </c>
      <c r="S7" s="314">
        <f>'[1]Tumor Size'!S8</f>
        <v>6.1273666092943202</v>
      </c>
      <c r="T7" s="314">
        <f>'[1]Tumor Size'!T8</f>
        <v>206.78528</v>
      </c>
      <c r="U7" s="315">
        <f>'[1]Tumor Size'!U8</f>
        <v>266</v>
      </c>
      <c r="V7" s="63"/>
      <c r="W7" s="49">
        <v>356</v>
      </c>
      <c r="X7" s="23">
        <v>319</v>
      </c>
      <c r="Y7" s="23">
        <v>281</v>
      </c>
      <c r="Z7" s="23">
        <v>232</v>
      </c>
      <c r="AA7" s="23">
        <v>191</v>
      </c>
      <c r="AB7" s="23">
        <v>156</v>
      </c>
      <c r="AC7" s="23">
        <v>130</v>
      </c>
      <c r="AD7" s="23">
        <v>110</v>
      </c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139"/>
      <c r="AW7" s="111">
        <f t="shared" si="3"/>
        <v>1</v>
      </c>
      <c r="AX7" s="111">
        <f t="shared" si="4"/>
        <v>0.8960674157303371</v>
      </c>
      <c r="AY7" s="111">
        <f t="shared" si="4"/>
        <v>0.7893258426966292</v>
      </c>
      <c r="AZ7" s="111">
        <f t="shared" si="4"/>
        <v>0.651685393258427</v>
      </c>
      <c r="BA7" s="111">
        <f t="shared" si="4"/>
        <v>0.5365168539325843</v>
      </c>
      <c r="BB7" s="111">
        <f t="shared" si="4"/>
        <v>0.43820224719101125</v>
      </c>
      <c r="BC7" s="111">
        <f t="shared" si="4"/>
        <v>0.3651685393258427</v>
      </c>
      <c r="BD7" s="111">
        <f t="shared" si="4"/>
        <v>0.3089887640449438</v>
      </c>
      <c r="BE7" s="111" t="str">
        <f t="shared" si="4"/>
        <v/>
      </c>
      <c r="BF7" s="111" t="str">
        <f t="shared" si="4"/>
        <v/>
      </c>
      <c r="BG7" s="111" t="str">
        <f t="shared" si="4"/>
        <v/>
      </c>
      <c r="BH7" s="111" t="str">
        <f t="shared" si="4"/>
        <v/>
      </c>
      <c r="BI7" s="111" t="str">
        <f t="shared" si="4"/>
        <v/>
      </c>
      <c r="BJ7" s="111" t="str">
        <f t="shared" si="4"/>
        <v/>
      </c>
      <c r="BK7" s="111" t="str">
        <f t="shared" si="4"/>
        <v/>
      </c>
      <c r="BL7" s="111" t="str">
        <f t="shared" si="4"/>
        <v/>
      </c>
      <c r="BM7" s="111" t="str">
        <f t="shared" si="4"/>
        <v/>
      </c>
      <c r="BN7" s="111" t="str">
        <f t="shared" si="5"/>
        <v/>
      </c>
      <c r="BO7" s="111" t="str">
        <f t="shared" si="5"/>
        <v/>
      </c>
      <c r="BP7" s="111" t="str">
        <f t="shared" si="5"/>
        <v/>
      </c>
      <c r="BQ7" s="111" t="str">
        <f t="shared" si="5"/>
        <v/>
      </c>
      <c r="BR7" s="111" t="str">
        <f t="shared" si="5"/>
        <v/>
      </c>
      <c r="BS7" s="111" t="str">
        <f t="shared" si="5"/>
        <v/>
      </c>
      <c r="BT7" s="111" t="str">
        <f t="shared" si="5"/>
        <v/>
      </c>
      <c r="BU7" s="111" t="str">
        <f t="shared" si="5"/>
        <v/>
      </c>
      <c r="BV7" s="25"/>
    </row>
    <row r="8" spans="1:74">
      <c r="A8" s="305">
        <f>'[1]Tumor Size'!A9</f>
        <v>0</v>
      </c>
      <c r="B8" s="306">
        <f>'[1]Tumor Size'!B9</f>
        <v>22</v>
      </c>
      <c r="C8" s="307">
        <f>'[1]Tumor Size'!C9</f>
        <v>0</v>
      </c>
      <c r="D8" s="306" t="str">
        <f>'[1]Tumor Size'!D9</f>
        <v>Pilot</v>
      </c>
      <c r="E8" s="308" t="str">
        <f>'[1]Tumor Size'!E9</f>
        <v>i.t. PTX + ELP Depot</v>
      </c>
      <c r="F8" s="309">
        <f>'[1]Tumor Size'!F9</f>
        <v>42244</v>
      </c>
      <c r="G8" s="310">
        <f>'[1]Tumor Size'!G9</f>
        <v>28.8</v>
      </c>
      <c r="H8" s="311">
        <f>'[1]Tumor Size'!H9</f>
        <v>280</v>
      </c>
      <c r="I8" s="309">
        <f>'[1]Tumor Size'!I9</f>
        <v>42265</v>
      </c>
      <c r="J8" s="310">
        <f>'[1]Tumor Size'!J9</f>
        <v>30.5</v>
      </c>
      <c r="K8" s="312">
        <f>'[1]Tumor Size'!K9</f>
        <v>0</v>
      </c>
      <c r="L8" s="310">
        <f>'[1]Tumor Size'!L9</f>
        <v>360</v>
      </c>
      <c r="M8" s="313">
        <f>'[1]Tumor Size'!M9</f>
        <v>261200000</v>
      </c>
      <c r="N8" s="310">
        <f>'[1]Tumor Size'!N9</f>
        <v>35.291359999999997</v>
      </c>
      <c r="O8" s="310">
        <f>'[1]Tumor Size'!O9</f>
        <v>352.91359999999997</v>
      </c>
      <c r="P8" s="310">
        <f>'[1]Tumor Size'!P9</f>
        <v>11.8</v>
      </c>
      <c r="Q8" s="310">
        <f>'[1]Tumor Size'!Q9</f>
        <v>0</v>
      </c>
      <c r="R8" s="98">
        <f>'[1]Tumor Size'!R9</f>
        <v>0</v>
      </c>
      <c r="S8" s="314">
        <f>'[1]Tumor Size'!S9</f>
        <v>0</v>
      </c>
      <c r="T8" s="314">
        <f>'[1]Tumor Size'!T9</f>
        <v>738.79467999999997</v>
      </c>
      <c r="U8" s="315">
        <f>'[1]Tumor Size'!U9</f>
        <v>879.1</v>
      </c>
      <c r="V8" s="63"/>
      <c r="W8" s="49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139"/>
      <c r="AW8" s="111" t="str">
        <f t="shared" si="3"/>
        <v/>
      </c>
      <c r="AX8" s="111" t="str">
        <f t="shared" si="4"/>
        <v/>
      </c>
      <c r="AY8" s="111" t="str">
        <f t="shared" si="4"/>
        <v/>
      </c>
      <c r="AZ8" s="111" t="str">
        <f t="shared" si="4"/>
        <v/>
      </c>
      <c r="BA8" s="111" t="str">
        <f t="shared" si="4"/>
        <v/>
      </c>
      <c r="BB8" s="111" t="str">
        <f t="shared" si="4"/>
        <v/>
      </c>
      <c r="BC8" s="111" t="str">
        <f t="shared" si="4"/>
        <v/>
      </c>
      <c r="BD8" s="111" t="str">
        <f t="shared" si="4"/>
        <v/>
      </c>
      <c r="BE8" s="111" t="str">
        <f t="shared" si="4"/>
        <v/>
      </c>
      <c r="BF8" s="111" t="str">
        <f t="shared" si="4"/>
        <v/>
      </c>
      <c r="BG8" s="111" t="str">
        <f t="shared" si="4"/>
        <v/>
      </c>
      <c r="BH8" s="111" t="str">
        <f t="shared" si="4"/>
        <v/>
      </c>
      <c r="BI8" s="111" t="str">
        <f t="shared" si="4"/>
        <v/>
      </c>
      <c r="BJ8" s="111" t="str">
        <f t="shared" si="4"/>
        <v/>
      </c>
      <c r="BK8" s="111" t="str">
        <f t="shared" si="4"/>
        <v/>
      </c>
      <c r="BL8" s="111" t="str">
        <f t="shared" si="4"/>
        <v/>
      </c>
      <c r="BM8" s="111" t="str">
        <f t="shared" si="4"/>
        <v/>
      </c>
      <c r="BN8" s="111" t="str">
        <f t="shared" si="5"/>
        <v/>
      </c>
      <c r="BO8" s="111" t="str">
        <f t="shared" si="5"/>
        <v/>
      </c>
      <c r="BP8" s="111" t="str">
        <f t="shared" si="5"/>
        <v/>
      </c>
      <c r="BQ8" s="111" t="str">
        <f t="shared" si="5"/>
        <v/>
      </c>
      <c r="BR8" s="111" t="str">
        <f t="shared" si="5"/>
        <v/>
      </c>
      <c r="BS8" s="111" t="str">
        <f t="shared" si="5"/>
        <v/>
      </c>
      <c r="BT8" s="111" t="str">
        <f t="shared" si="5"/>
        <v/>
      </c>
      <c r="BU8" s="111" t="str">
        <f t="shared" si="5"/>
        <v/>
      </c>
      <c r="BV8" s="25"/>
    </row>
    <row r="9" spans="1:74">
      <c r="A9" s="305">
        <f>'[1]Tumor Size'!A10</f>
        <v>0</v>
      </c>
      <c r="B9" s="306">
        <f>'[1]Tumor Size'!B10</f>
        <v>23</v>
      </c>
      <c r="C9" s="307">
        <f>'[1]Tumor Size'!C10</f>
        <v>0</v>
      </c>
      <c r="D9" s="306" t="str">
        <f>'[1]Tumor Size'!D10</f>
        <v>Pilot</v>
      </c>
      <c r="E9" s="308" t="str">
        <f>'[1]Tumor Size'!E10</f>
        <v>I.V. PTX only</v>
      </c>
      <c r="F9" s="309">
        <f>'[1]Tumor Size'!F10</f>
        <v>42244</v>
      </c>
      <c r="G9" s="310">
        <f>'[1]Tumor Size'!G10</f>
        <v>25.8</v>
      </c>
      <c r="H9" s="311">
        <f>'[1]Tumor Size'!H10</f>
        <v>260</v>
      </c>
      <c r="I9" s="309">
        <f>'[1]Tumor Size'!I10</f>
        <v>42265</v>
      </c>
      <c r="J9" s="310">
        <f>'[1]Tumor Size'!J10</f>
        <v>27.1</v>
      </c>
      <c r="K9" s="312">
        <f>'[1]Tumor Size'!K10</f>
        <v>0</v>
      </c>
      <c r="L9" s="310" t="str">
        <f>'[1]Tumor Size'!L10</f>
        <v>n/a</v>
      </c>
      <c r="M9" s="313">
        <f>'[1]Tumor Size'!M10</f>
        <v>617200000</v>
      </c>
      <c r="N9" s="310">
        <f>'[1]Tumor Size'!N10</f>
        <v>0</v>
      </c>
      <c r="O9" s="310">
        <f>'[1]Tumor Size'!O10</f>
        <v>0</v>
      </c>
      <c r="P9" s="310">
        <f>'[1]Tumor Size'!P10</f>
        <v>0</v>
      </c>
      <c r="Q9" s="310">
        <f>'[1]Tumor Size'!Q10</f>
        <v>0</v>
      </c>
      <c r="R9" s="98" t="e">
        <f>'[1]Tumor Size'!R10</f>
        <v>#DIV/0!</v>
      </c>
      <c r="S9" s="314" t="e">
        <f>'[1]Tumor Size'!S10</f>
        <v>#DIV/0!</v>
      </c>
      <c r="T9" s="314">
        <f>'[1]Tumor Size'!T10</f>
        <v>527.40791999999999</v>
      </c>
      <c r="U9" s="315">
        <f>'[1]Tumor Size'!U10</f>
        <v>585.5</v>
      </c>
      <c r="V9" s="63"/>
      <c r="W9" s="49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139"/>
      <c r="AW9" s="111" t="str">
        <f t="shared" si="3"/>
        <v/>
      </c>
      <c r="AX9" s="111" t="str">
        <f t="shared" si="4"/>
        <v/>
      </c>
      <c r="AY9" s="111" t="str">
        <f t="shared" si="4"/>
        <v/>
      </c>
      <c r="AZ9" s="111" t="str">
        <f t="shared" si="4"/>
        <v/>
      </c>
      <c r="BA9" s="111" t="str">
        <f t="shared" si="4"/>
        <v/>
      </c>
      <c r="BB9" s="111" t="str">
        <f t="shared" si="4"/>
        <v/>
      </c>
      <c r="BC9" s="111" t="str">
        <f t="shared" si="4"/>
        <v/>
      </c>
      <c r="BD9" s="111" t="str">
        <f t="shared" si="4"/>
        <v/>
      </c>
      <c r="BE9" s="111" t="str">
        <f t="shared" si="4"/>
        <v/>
      </c>
      <c r="BF9" s="111" t="str">
        <f t="shared" si="4"/>
        <v/>
      </c>
      <c r="BG9" s="111" t="str">
        <f t="shared" si="4"/>
        <v/>
      </c>
      <c r="BH9" s="111" t="str">
        <f t="shared" si="4"/>
        <v/>
      </c>
      <c r="BI9" s="111" t="str">
        <f t="shared" si="4"/>
        <v/>
      </c>
      <c r="BJ9" s="111" t="str">
        <f t="shared" si="4"/>
        <v/>
      </c>
      <c r="BK9" s="111" t="str">
        <f t="shared" si="4"/>
        <v/>
      </c>
      <c r="BL9" s="111" t="str">
        <f t="shared" si="4"/>
        <v/>
      </c>
      <c r="BM9" s="111" t="str">
        <f t="shared" si="4"/>
        <v/>
      </c>
      <c r="BN9" s="111" t="str">
        <f t="shared" si="5"/>
        <v/>
      </c>
      <c r="BO9" s="111" t="str">
        <f t="shared" si="5"/>
        <v/>
      </c>
      <c r="BP9" s="111" t="str">
        <f t="shared" si="5"/>
        <v/>
      </c>
      <c r="BQ9" s="111" t="str">
        <f t="shared" si="5"/>
        <v/>
      </c>
      <c r="BR9" s="111" t="str">
        <f t="shared" si="5"/>
        <v/>
      </c>
      <c r="BS9" s="111" t="str">
        <f t="shared" si="5"/>
        <v/>
      </c>
      <c r="BT9" s="111" t="str">
        <f t="shared" si="5"/>
        <v/>
      </c>
      <c r="BU9" s="111" t="str">
        <f t="shared" si="5"/>
        <v/>
      </c>
      <c r="BV9" s="25"/>
    </row>
    <row r="10" spans="1:74">
      <c r="A10" s="305">
        <f>'[1]Tumor Size'!A11</f>
        <v>0</v>
      </c>
      <c r="B10" s="306">
        <f>'[1]Tumor Size'!B11</f>
        <v>24</v>
      </c>
      <c r="C10" s="307">
        <f>'[1]Tumor Size'!C11</f>
        <v>0</v>
      </c>
      <c r="D10" s="306" t="str">
        <f>'[1]Tumor Size'!D11</f>
        <v>Pilot</v>
      </c>
      <c r="E10" s="308" t="str">
        <f>'[1]Tumor Size'!E11</f>
        <v>i.t. PTX + ELP Depot</v>
      </c>
      <c r="F10" s="309">
        <f>'[1]Tumor Size'!F11</f>
        <v>42244</v>
      </c>
      <c r="G10" s="310">
        <f>'[1]Tumor Size'!G11</f>
        <v>28.5</v>
      </c>
      <c r="H10" s="311">
        <f>'[1]Tumor Size'!H11</f>
        <v>310</v>
      </c>
      <c r="I10" s="309">
        <f>'[1]Tumor Size'!I11</f>
        <v>42265</v>
      </c>
      <c r="J10" s="310">
        <f>'[1]Tumor Size'!J11</f>
        <v>29.6</v>
      </c>
      <c r="K10" s="312">
        <f>'[1]Tumor Size'!K11</f>
        <v>0</v>
      </c>
      <c r="L10" s="310">
        <f>'[1]Tumor Size'!L11</f>
        <v>350</v>
      </c>
      <c r="M10" s="313">
        <f>'[1]Tumor Size'!M11</f>
        <v>405800000</v>
      </c>
      <c r="N10" s="310">
        <f>'[1]Tumor Size'!N11</f>
        <v>74.911200000000022</v>
      </c>
      <c r="O10" s="310">
        <f>'[1]Tumor Size'!O11</f>
        <v>749.11200000000019</v>
      </c>
      <c r="P10" s="310">
        <f>'[1]Tumor Size'!P11</f>
        <v>25</v>
      </c>
      <c r="Q10" s="310">
        <f>'[1]Tumor Size'!Q11</f>
        <v>0</v>
      </c>
      <c r="R10" s="98">
        <f>'[1]Tumor Size'!R11</f>
        <v>0</v>
      </c>
      <c r="S10" s="314">
        <f>'[1]Tumor Size'!S11</f>
        <v>0</v>
      </c>
      <c r="T10" s="314">
        <f>'[1]Tumor Size'!T11</f>
        <v>1167.5955199999996</v>
      </c>
      <c r="U10" s="315">
        <f>'[1]Tumor Size'!U11</f>
        <v>1111.5999999999999</v>
      </c>
      <c r="V10" s="63"/>
      <c r="W10" s="49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139"/>
      <c r="AW10" s="217" t="str">
        <f t="shared" si="3"/>
        <v/>
      </c>
      <c r="AX10" s="217" t="str">
        <f t="shared" si="4"/>
        <v/>
      </c>
      <c r="AY10" s="217" t="str">
        <f t="shared" si="4"/>
        <v/>
      </c>
      <c r="AZ10" s="217" t="str">
        <f t="shared" si="4"/>
        <v/>
      </c>
      <c r="BA10" s="217" t="str">
        <f t="shared" si="4"/>
        <v/>
      </c>
      <c r="BB10" s="217" t="str">
        <f t="shared" si="4"/>
        <v/>
      </c>
      <c r="BC10" s="217" t="str">
        <f t="shared" si="4"/>
        <v/>
      </c>
      <c r="BD10" s="217" t="str">
        <f t="shared" si="4"/>
        <v/>
      </c>
      <c r="BE10" s="217" t="str">
        <f t="shared" si="4"/>
        <v/>
      </c>
      <c r="BF10" s="217" t="str">
        <f t="shared" si="4"/>
        <v/>
      </c>
      <c r="BG10" s="217" t="str">
        <f t="shared" si="4"/>
        <v/>
      </c>
      <c r="BH10" s="217" t="str">
        <f t="shared" si="4"/>
        <v/>
      </c>
      <c r="BI10" s="217" t="str">
        <f t="shared" si="4"/>
        <v/>
      </c>
      <c r="BJ10" s="217" t="str">
        <f t="shared" si="4"/>
        <v/>
      </c>
      <c r="BK10" s="217" t="str">
        <f t="shared" si="4"/>
        <v/>
      </c>
      <c r="BL10" s="217" t="str">
        <f t="shared" si="4"/>
        <v/>
      </c>
      <c r="BM10" s="217" t="str">
        <f t="shared" si="4"/>
        <v/>
      </c>
      <c r="BN10" s="217" t="str">
        <f t="shared" si="5"/>
        <v/>
      </c>
      <c r="BO10" s="217" t="str">
        <f t="shared" si="5"/>
        <v/>
      </c>
      <c r="BP10" s="217" t="str">
        <f t="shared" si="5"/>
        <v/>
      </c>
      <c r="BQ10" s="217" t="str">
        <f t="shared" si="5"/>
        <v/>
      </c>
      <c r="BR10" s="217" t="str">
        <f t="shared" si="5"/>
        <v/>
      </c>
      <c r="BS10" s="217" t="str">
        <f t="shared" si="5"/>
        <v/>
      </c>
      <c r="BT10" s="217" t="str">
        <f t="shared" si="5"/>
        <v/>
      </c>
      <c r="BU10" s="217" t="str">
        <f t="shared" si="5"/>
        <v/>
      </c>
      <c r="BV10" s="25"/>
    </row>
    <row r="11" spans="1:74">
      <c r="A11" s="305">
        <f>'[1]Tumor Size'!A12</f>
        <v>0</v>
      </c>
      <c r="B11" s="306">
        <f>'[1]Tumor Size'!B12</f>
        <v>31</v>
      </c>
      <c r="C11" s="307">
        <f>'[1]Tumor Size'!C12</f>
        <v>0</v>
      </c>
      <c r="D11" s="306" t="str">
        <f>'[1]Tumor Size'!D12</f>
        <v>Pilot</v>
      </c>
      <c r="E11" s="308" t="str">
        <f>'[1]Tumor Size'!E12</f>
        <v>I.V. PTX + 131I Depot</v>
      </c>
      <c r="F11" s="309">
        <f>'[1]Tumor Size'!F12</f>
        <v>42244</v>
      </c>
      <c r="G11" s="310">
        <f>'[1]Tumor Size'!G12</f>
        <v>28.1</v>
      </c>
      <c r="H11" s="311">
        <f>'[1]Tumor Size'!H12</f>
        <v>280</v>
      </c>
      <c r="I11" s="309">
        <f>'[1]Tumor Size'!I12</f>
        <v>42265</v>
      </c>
      <c r="J11" s="310">
        <f>'[1]Tumor Size'!J12</f>
        <v>29.9</v>
      </c>
      <c r="K11" s="312">
        <f>'[1]Tumor Size'!K12</f>
        <v>0</v>
      </c>
      <c r="L11" s="310" t="str">
        <f>'[1]Tumor Size'!L12</f>
        <v>n/a</v>
      </c>
      <c r="M11" s="313">
        <f>'[1]Tumor Size'!M12</f>
        <v>592700000</v>
      </c>
      <c r="N11" s="310">
        <f>'[1]Tumor Size'!N12</f>
        <v>70.069479999999999</v>
      </c>
      <c r="O11" s="310">
        <f>'[1]Tumor Size'!O12</f>
        <v>700.69479999999999</v>
      </c>
      <c r="P11" s="310">
        <f>'[1]Tumor Size'!P12</f>
        <v>22.2</v>
      </c>
      <c r="Q11" s="310">
        <f>'[1]Tumor Size'!Q12</f>
        <v>75.5</v>
      </c>
      <c r="R11" s="98">
        <f>'[1]Tumor Size'!R12</f>
        <v>1.0775019309405465</v>
      </c>
      <c r="S11" s="314">
        <f>'[1]Tumor Size'!S12</f>
        <v>3.400900900900901</v>
      </c>
      <c r="T11" s="314">
        <f>'[1]Tumor Size'!T12</f>
        <v>138.52800000000002</v>
      </c>
      <c r="U11" s="315">
        <f>'[1]Tumor Size'!U12</f>
        <v>165.1</v>
      </c>
      <c r="V11" s="63"/>
      <c r="W11" s="49">
        <v>75.5</v>
      </c>
      <c r="X11" s="23">
        <v>67</v>
      </c>
      <c r="Y11" s="23">
        <v>59</v>
      </c>
      <c r="Z11" s="23">
        <v>43</v>
      </c>
      <c r="AA11" s="23">
        <v>40</v>
      </c>
      <c r="AB11" s="23">
        <v>33</v>
      </c>
      <c r="AC11" s="23">
        <v>28</v>
      </c>
      <c r="AD11" s="23">
        <v>24</v>
      </c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139"/>
      <c r="AW11" s="111">
        <f t="shared" si="3"/>
        <v>1</v>
      </c>
      <c r="AX11" s="111">
        <f t="shared" si="4"/>
        <v>0.88741721854304634</v>
      </c>
      <c r="AY11" s="111">
        <f t="shared" si="4"/>
        <v>0.7814569536423841</v>
      </c>
      <c r="AZ11" s="111">
        <f t="shared" si="4"/>
        <v>0.56953642384105962</v>
      </c>
      <c r="BA11" s="111">
        <f t="shared" si="4"/>
        <v>0.5298013245033113</v>
      </c>
      <c r="BB11" s="111">
        <f t="shared" si="4"/>
        <v>0.4370860927152318</v>
      </c>
      <c r="BC11" s="111">
        <f t="shared" si="4"/>
        <v>0.37086092715231789</v>
      </c>
      <c r="BD11" s="111">
        <f t="shared" si="4"/>
        <v>0.31788079470198677</v>
      </c>
      <c r="BE11" s="111" t="str">
        <f t="shared" si="4"/>
        <v/>
      </c>
      <c r="BF11" s="111" t="str">
        <f t="shared" si="4"/>
        <v/>
      </c>
      <c r="BG11" s="111" t="str">
        <f t="shared" si="4"/>
        <v/>
      </c>
      <c r="BH11" s="111" t="str">
        <f t="shared" si="4"/>
        <v/>
      </c>
      <c r="BI11" s="111" t="str">
        <f t="shared" si="4"/>
        <v/>
      </c>
      <c r="BJ11" s="111" t="str">
        <f t="shared" si="4"/>
        <v/>
      </c>
      <c r="BK11" s="111" t="str">
        <f t="shared" si="4"/>
        <v/>
      </c>
      <c r="BL11" s="111" t="str">
        <f t="shared" si="4"/>
        <v/>
      </c>
      <c r="BM11" s="111" t="str">
        <f t="shared" si="4"/>
        <v/>
      </c>
      <c r="BN11" s="111" t="str">
        <f t="shared" si="5"/>
        <v/>
      </c>
      <c r="BO11" s="111" t="str">
        <f t="shared" si="5"/>
        <v/>
      </c>
      <c r="BP11" s="111" t="str">
        <f t="shared" si="5"/>
        <v/>
      </c>
      <c r="BQ11" s="111" t="str">
        <f t="shared" si="5"/>
        <v/>
      </c>
      <c r="BR11" s="111" t="str">
        <f t="shared" si="5"/>
        <v/>
      </c>
      <c r="BS11" s="111" t="str">
        <f t="shared" si="5"/>
        <v/>
      </c>
      <c r="BT11" s="111" t="str">
        <f t="shared" si="5"/>
        <v/>
      </c>
      <c r="BU11" s="111" t="str">
        <f t="shared" si="5"/>
        <v/>
      </c>
      <c r="BV11" s="25"/>
    </row>
    <row r="12" spans="1:74">
      <c r="A12" s="305">
        <f>'[1]Tumor Size'!A13</f>
        <v>0</v>
      </c>
      <c r="B12" s="306">
        <f>'[1]Tumor Size'!B13</f>
        <v>32</v>
      </c>
      <c r="C12" s="307">
        <f>'[1]Tumor Size'!C13</f>
        <v>0</v>
      </c>
      <c r="D12" s="306" t="str">
        <f>'[1]Tumor Size'!D13</f>
        <v>Pilot</v>
      </c>
      <c r="E12" s="308" t="str">
        <f>'[1]Tumor Size'!E13</f>
        <v>i.t. PTX + 131I Depot</v>
      </c>
      <c r="F12" s="309">
        <f>'[1]Tumor Size'!F13</f>
        <v>42244</v>
      </c>
      <c r="G12" s="310">
        <f>'[1]Tumor Size'!G13</f>
        <v>29.6</v>
      </c>
      <c r="H12" s="311">
        <f>'[1]Tumor Size'!H13</f>
        <v>300</v>
      </c>
      <c r="I12" s="309">
        <f>'[1]Tumor Size'!I13</f>
        <v>42265</v>
      </c>
      <c r="J12" s="310">
        <f>'[1]Tumor Size'!J13</f>
        <v>31.3</v>
      </c>
      <c r="K12" s="312">
        <f>'[1]Tumor Size'!K13</f>
        <v>0</v>
      </c>
      <c r="L12" s="310">
        <f>'[1]Tumor Size'!L13</f>
        <v>310</v>
      </c>
      <c r="M12" s="313">
        <f>'[1]Tumor Size'!M13</f>
        <v>363000000</v>
      </c>
      <c r="N12" s="310">
        <f>'[1]Tumor Size'!N13</f>
        <v>84.364800000000002</v>
      </c>
      <c r="O12" s="310">
        <f>'[1]Tumor Size'!O13</f>
        <v>843.64800000000002</v>
      </c>
      <c r="P12" s="310">
        <f>'[1]Tumor Size'!P13</f>
        <v>26.7</v>
      </c>
      <c r="Q12" s="310">
        <f>'[1]Tumor Size'!Q13</f>
        <v>178</v>
      </c>
      <c r="R12" s="98">
        <f>'[1]Tumor Size'!R13</f>
        <v>2.1098846912456377</v>
      </c>
      <c r="S12" s="314">
        <f>'[1]Tumor Size'!S13</f>
        <v>6.666666666666667</v>
      </c>
      <c r="T12" s="314">
        <f>'[1]Tumor Size'!T13</f>
        <v>303.35551999999996</v>
      </c>
      <c r="U12" s="315">
        <f>'[1]Tumor Size'!U13</f>
        <v>471.6</v>
      </c>
      <c r="V12" s="63"/>
      <c r="W12" s="49">
        <v>178</v>
      </c>
      <c r="X12" s="23">
        <v>74</v>
      </c>
      <c r="Y12" s="23">
        <v>60</v>
      </c>
      <c r="Z12" s="23">
        <v>44</v>
      </c>
      <c r="AA12" s="23">
        <v>35</v>
      </c>
      <c r="AB12" s="23">
        <v>27</v>
      </c>
      <c r="AC12" s="23">
        <v>22</v>
      </c>
      <c r="AD12" s="23">
        <v>17</v>
      </c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139"/>
      <c r="AW12" s="217">
        <f t="shared" si="3"/>
        <v>1</v>
      </c>
      <c r="AX12" s="217">
        <f t="shared" si="4"/>
        <v>0.4157303370786517</v>
      </c>
      <c r="AY12" s="217">
        <f t="shared" si="4"/>
        <v>0.33707865168539325</v>
      </c>
      <c r="AZ12" s="217">
        <f t="shared" si="4"/>
        <v>0.24719101123595505</v>
      </c>
      <c r="BA12" s="217">
        <f t="shared" si="4"/>
        <v>0.19662921348314608</v>
      </c>
      <c r="BB12" s="217">
        <f t="shared" si="4"/>
        <v>0.15168539325842698</v>
      </c>
      <c r="BC12" s="217">
        <f t="shared" si="4"/>
        <v>0.12359550561797752</v>
      </c>
      <c r="BD12" s="217">
        <f t="shared" si="4"/>
        <v>9.5505617977528087E-2</v>
      </c>
      <c r="BE12" s="217" t="str">
        <f t="shared" si="4"/>
        <v/>
      </c>
      <c r="BF12" s="217" t="str">
        <f t="shared" si="4"/>
        <v/>
      </c>
      <c r="BG12" s="217" t="str">
        <f t="shared" si="4"/>
        <v/>
      </c>
      <c r="BH12" s="217" t="str">
        <f t="shared" si="4"/>
        <v/>
      </c>
      <c r="BI12" s="217" t="str">
        <f t="shared" si="4"/>
        <v/>
      </c>
      <c r="BJ12" s="217" t="str">
        <f t="shared" si="4"/>
        <v/>
      </c>
      <c r="BK12" s="217" t="str">
        <f t="shared" si="4"/>
        <v/>
      </c>
      <c r="BL12" s="217" t="str">
        <f t="shared" si="4"/>
        <v/>
      </c>
      <c r="BM12" s="217" t="str">
        <f t="shared" si="4"/>
        <v/>
      </c>
      <c r="BN12" s="217" t="str">
        <f t="shared" si="5"/>
        <v/>
      </c>
      <c r="BO12" s="217" t="str">
        <f t="shared" si="5"/>
        <v/>
      </c>
      <c r="BP12" s="217" t="str">
        <f t="shared" si="5"/>
        <v/>
      </c>
      <c r="BQ12" s="217" t="str">
        <f t="shared" si="5"/>
        <v/>
      </c>
      <c r="BR12" s="217" t="str">
        <f t="shared" si="5"/>
        <v/>
      </c>
      <c r="BS12" s="217" t="str">
        <f t="shared" si="5"/>
        <v/>
      </c>
      <c r="BT12" s="217" t="str">
        <f t="shared" si="5"/>
        <v/>
      </c>
      <c r="BU12" s="217" t="str">
        <f t="shared" si="5"/>
        <v/>
      </c>
      <c r="BV12" s="25"/>
    </row>
    <row r="13" spans="1:74">
      <c r="A13" s="305">
        <f>'[1]Tumor Size'!A14</f>
        <v>0</v>
      </c>
      <c r="B13" s="306">
        <f>'[1]Tumor Size'!B14</f>
        <v>33</v>
      </c>
      <c r="C13" s="307">
        <f>'[1]Tumor Size'!C14</f>
        <v>0</v>
      </c>
      <c r="D13" s="306" t="str">
        <f>'[1]Tumor Size'!D14</f>
        <v>Pilot</v>
      </c>
      <c r="E13" s="308" t="str">
        <f>'[1]Tumor Size'!E14</f>
        <v>I.V. PTX only</v>
      </c>
      <c r="F13" s="309">
        <f>'[1]Tumor Size'!F14</f>
        <v>42244</v>
      </c>
      <c r="G13" s="310">
        <f>'[1]Tumor Size'!G14</f>
        <v>26</v>
      </c>
      <c r="H13" s="311">
        <f>'[1]Tumor Size'!H14</f>
        <v>260</v>
      </c>
      <c r="I13" s="309">
        <f>'[1]Tumor Size'!I14</f>
        <v>42265</v>
      </c>
      <c r="J13" s="310">
        <f>'[1]Tumor Size'!J14</f>
        <v>28.5</v>
      </c>
      <c r="K13" s="312">
        <f>'[1]Tumor Size'!K14</f>
        <v>0</v>
      </c>
      <c r="L13" s="310" t="str">
        <f>'[1]Tumor Size'!L14</f>
        <v>n/a</v>
      </c>
      <c r="M13" s="313">
        <f>'[1]Tumor Size'!M14</f>
        <v>700100000</v>
      </c>
      <c r="N13" s="310">
        <f>'[1]Tumor Size'!N14</f>
        <v>0</v>
      </c>
      <c r="O13" s="310">
        <f>'[1]Tumor Size'!O14</f>
        <v>0</v>
      </c>
      <c r="P13" s="310">
        <f>'[1]Tumor Size'!P14</f>
        <v>0</v>
      </c>
      <c r="Q13" s="310">
        <f>'[1]Tumor Size'!Q14</f>
        <v>0</v>
      </c>
      <c r="R13" s="98" t="e">
        <f>'[1]Tumor Size'!R14</f>
        <v>#DIV/0!</v>
      </c>
      <c r="S13" s="314" t="e">
        <f>'[1]Tumor Size'!S14</f>
        <v>#DIV/0!</v>
      </c>
      <c r="T13" s="314">
        <f>'[1]Tumor Size'!T14</f>
        <v>213.10900000000001</v>
      </c>
      <c r="U13" s="315">
        <f>'[1]Tumor Size'!U14</f>
        <v>204.5</v>
      </c>
      <c r="V13" s="63"/>
      <c r="W13" s="49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139"/>
      <c r="AW13" s="111" t="str">
        <f t="shared" si="3"/>
        <v/>
      </c>
      <c r="AX13" s="111" t="str">
        <f t="shared" si="4"/>
        <v/>
      </c>
      <c r="AY13" s="111" t="str">
        <f t="shared" si="4"/>
        <v/>
      </c>
      <c r="AZ13" s="111" t="str">
        <f t="shared" si="4"/>
        <v/>
      </c>
      <c r="BA13" s="111" t="str">
        <f t="shared" si="4"/>
        <v/>
      </c>
      <c r="BB13" s="111" t="str">
        <f t="shared" si="4"/>
        <v/>
      </c>
      <c r="BC13" s="111" t="str">
        <f t="shared" si="4"/>
        <v/>
      </c>
      <c r="BD13" s="111" t="str">
        <f t="shared" si="4"/>
        <v/>
      </c>
      <c r="BE13" s="111" t="str">
        <f t="shared" si="4"/>
        <v/>
      </c>
      <c r="BF13" s="111" t="str">
        <f t="shared" si="4"/>
        <v/>
      </c>
      <c r="BG13" s="111" t="str">
        <f t="shared" si="4"/>
        <v/>
      </c>
      <c r="BH13" s="111" t="str">
        <f t="shared" si="4"/>
        <v/>
      </c>
      <c r="BI13" s="111" t="str">
        <f t="shared" si="4"/>
        <v/>
      </c>
      <c r="BJ13" s="111" t="str">
        <f t="shared" si="4"/>
        <v/>
      </c>
      <c r="BK13" s="111" t="str">
        <f t="shared" si="4"/>
        <v/>
      </c>
      <c r="BL13" s="111" t="str">
        <f t="shared" si="4"/>
        <v/>
      </c>
      <c r="BM13" s="111" t="str">
        <f t="shared" si="4"/>
        <v/>
      </c>
      <c r="BN13" s="111" t="str">
        <f t="shared" si="5"/>
        <v/>
      </c>
      <c r="BO13" s="111" t="str">
        <f t="shared" si="5"/>
        <v/>
      </c>
      <c r="BP13" s="111" t="str">
        <f t="shared" si="5"/>
        <v/>
      </c>
      <c r="BQ13" s="111" t="str">
        <f t="shared" si="5"/>
        <v/>
      </c>
      <c r="BR13" s="111" t="str">
        <f t="shared" si="5"/>
        <v/>
      </c>
      <c r="BS13" s="111" t="str">
        <f t="shared" si="5"/>
        <v/>
      </c>
      <c r="BT13" s="111" t="str">
        <f t="shared" si="5"/>
        <v/>
      </c>
      <c r="BU13" s="111" t="str">
        <f t="shared" si="5"/>
        <v/>
      </c>
      <c r="BV13" s="25"/>
    </row>
    <row r="14" spans="1:74">
      <c r="A14" s="305">
        <f>'[1]Tumor Size'!A15</f>
        <v>0</v>
      </c>
      <c r="B14" s="306">
        <f>'[1]Tumor Size'!B15</f>
        <v>34</v>
      </c>
      <c r="C14" s="307">
        <f>'[1]Tumor Size'!C15</f>
        <v>0</v>
      </c>
      <c r="D14" s="306" t="str">
        <f>'[1]Tumor Size'!D15</f>
        <v>Pilot</v>
      </c>
      <c r="E14" s="308" t="str">
        <f>'[1]Tumor Size'!E15</f>
        <v>I.V. PTX + 131I Depot</v>
      </c>
      <c r="F14" s="309">
        <f>'[1]Tumor Size'!F15</f>
        <v>42244</v>
      </c>
      <c r="G14" s="310">
        <f>'[1]Tumor Size'!G15</f>
        <v>26.9</v>
      </c>
      <c r="H14" s="311">
        <f>'[1]Tumor Size'!H15</f>
        <v>270</v>
      </c>
      <c r="I14" s="309">
        <f>'[1]Tumor Size'!I15</f>
        <v>42265</v>
      </c>
      <c r="J14" s="310">
        <f>'[1]Tumor Size'!J15</f>
        <v>29.4</v>
      </c>
      <c r="K14" s="312">
        <f>'[1]Tumor Size'!K15</f>
        <v>0</v>
      </c>
      <c r="L14" s="310">
        <f>'[1]Tumor Size'!L15</f>
        <v>390</v>
      </c>
      <c r="M14" s="313">
        <f>'[1]Tumor Size'!M15</f>
        <v>1363000000</v>
      </c>
      <c r="N14" s="310">
        <f>'[1]Tumor Size'!N15</f>
        <v>160.99199999999999</v>
      </c>
      <c r="O14" s="310">
        <f>'[1]Tumor Size'!O15</f>
        <v>1609.9199999999998</v>
      </c>
      <c r="P14" s="310">
        <f>'[1]Tumor Size'!P15</f>
        <v>80</v>
      </c>
      <c r="Q14" s="310">
        <f>'[1]Tumor Size'!Q15</f>
        <v>209</v>
      </c>
      <c r="R14" s="98">
        <f>'[1]Tumor Size'!R15</f>
        <v>1.2982011528523156</v>
      </c>
      <c r="S14" s="314">
        <f>'[1]Tumor Size'!S15</f>
        <v>2.6124999999999998</v>
      </c>
      <c r="T14" s="314">
        <f>'[1]Tumor Size'!T15</f>
        <v>273.36192</v>
      </c>
      <c r="U14" s="315">
        <f>'[1]Tumor Size'!U15</f>
        <v>447.5</v>
      </c>
      <c r="V14" s="63"/>
      <c r="W14" s="49">
        <v>209</v>
      </c>
      <c r="X14" s="23">
        <v>186</v>
      </c>
      <c r="Y14" s="23">
        <v>163</v>
      </c>
      <c r="Z14" s="23">
        <v>133</v>
      </c>
      <c r="AA14" s="23">
        <v>111</v>
      </c>
      <c r="AB14" s="23">
        <v>91</v>
      </c>
      <c r="AC14" s="23">
        <v>77</v>
      </c>
      <c r="AD14" s="23">
        <v>65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139"/>
      <c r="AW14" s="217">
        <f t="shared" si="3"/>
        <v>1</v>
      </c>
      <c r="AX14" s="217">
        <f t="shared" si="4"/>
        <v>0.88995215311004783</v>
      </c>
      <c r="AY14" s="217">
        <f t="shared" si="4"/>
        <v>0.77990430622009566</v>
      </c>
      <c r="AZ14" s="217">
        <f t="shared" si="4"/>
        <v>0.63636363636363635</v>
      </c>
      <c r="BA14" s="217">
        <f t="shared" si="4"/>
        <v>0.53110047846889952</v>
      </c>
      <c r="BB14" s="217">
        <f t="shared" si="4"/>
        <v>0.4354066985645933</v>
      </c>
      <c r="BC14" s="217">
        <f t="shared" si="4"/>
        <v>0.36842105263157893</v>
      </c>
      <c r="BD14" s="217">
        <f t="shared" si="4"/>
        <v>0.31100478468899523</v>
      </c>
      <c r="BE14" s="217" t="str">
        <f t="shared" si="4"/>
        <v/>
      </c>
      <c r="BF14" s="217" t="str">
        <f t="shared" si="4"/>
        <v/>
      </c>
      <c r="BG14" s="217" t="str">
        <f t="shared" si="4"/>
        <v/>
      </c>
      <c r="BH14" s="217" t="str">
        <f t="shared" si="4"/>
        <v/>
      </c>
      <c r="BI14" s="217" t="str">
        <f t="shared" si="4"/>
        <v/>
      </c>
      <c r="BJ14" s="217" t="str">
        <f t="shared" si="4"/>
        <v/>
      </c>
      <c r="BK14" s="217" t="str">
        <f t="shared" si="4"/>
        <v/>
      </c>
      <c r="BL14" s="217" t="str">
        <f t="shared" si="4"/>
        <v/>
      </c>
      <c r="BM14" s="217" t="str">
        <f t="shared" si="4"/>
        <v/>
      </c>
      <c r="BN14" s="217" t="str">
        <f t="shared" si="5"/>
        <v/>
      </c>
      <c r="BO14" s="217" t="str">
        <f t="shared" si="5"/>
        <v/>
      </c>
      <c r="BP14" s="217" t="str">
        <f t="shared" si="5"/>
        <v/>
      </c>
      <c r="BQ14" s="217" t="str">
        <f t="shared" si="5"/>
        <v/>
      </c>
      <c r="BR14" s="217" t="str">
        <f t="shared" si="5"/>
        <v/>
      </c>
      <c r="BS14" s="217" t="str">
        <f t="shared" si="5"/>
        <v/>
      </c>
      <c r="BT14" s="217" t="str">
        <f t="shared" si="5"/>
        <v/>
      </c>
      <c r="BU14" s="217" t="str">
        <f t="shared" si="5"/>
        <v/>
      </c>
      <c r="BV14" s="25"/>
    </row>
    <row r="15" spans="1:74">
      <c r="A15" s="305">
        <f>'[1]Tumor Size'!A16</f>
        <v>0</v>
      </c>
      <c r="B15" s="306">
        <f>'[1]Tumor Size'!B16</f>
        <v>41</v>
      </c>
      <c r="C15" s="307">
        <f>'[1]Tumor Size'!C16</f>
        <v>0</v>
      </c>
      <c r="D15" s="306" t="str">
        <f>'[1]Tumor Size'!D16</f>
        <v>Pilot</v>
      </c>
      <c r="E15" s="308" t="str">
        <f>'[1]Tumor Size'!E16</f>
        <v>i.t. PTX + 131I Depot</v>
      </c>
      <c r="F15" s="309">
        <f>'[1]Tumor Size'!F16</f>
        <v>42244</v>
      </c>
      <c r="G15" s="310">
        <f>'[1]Tumor Size'!G16</f>
        <v>27.3</v>
      </c>
      <c r="H15" s="311">
        <f>'[1]Tumor Size'!H16</f>
        <v>270</v>
      </c>
      <c r="I15" s="309">
        <f>'[1]Tumor Size'!I16</f>
        <v>42265</v>
      </c>
      <c r="J15" s="310">
        <f>'[1]Tumor Size'!J16</f>
        <v>29.6</v>
      </c>
      <c r="K15" s="312">
        <f>'[1]Tumor Size'!K16</f>
        <v>0</v>
      </c>
      <c r="L15" s="310">
        <f>'[1]Tumor Size'!L16</f>
        <v>300</v>
      </c>
      <c r="M15" s="313">
        <f>'[1]Tumor Size'!M16</f>
        <v>268900000</v>
      </c>
      <c r="N15" s="310">
        <f>'[1]Tumor Size'!N16</f>
        <v>116.75664000000002</v>
      </c>
      <c r="O15" s="310">
        <f>'[1]Tumor Size'!O16</f>
        <v>1167.5664000000002</v>
      </c>
      <c r="P15" s="310">
        <f>'[1]Tumor Size'!P16</f>
        <v>37.1</v>
      </c>
      <c r="Q15" s="310">
        <f>'[1]Tumor Size'!Q16</f>
        <v>135</v>
      </c>
      <c r="R15" s="98">
        <f>'[1]Tumor Size'!R16</f>
        <v>1.1562511562511562</v>
      </c>
      <c r="S15" s="314">
        <f>'[1]Tumor Size'!S16</f>
        <v>3.6388140161725064</v>
      </c>
      <c r="T15" s="314">
        <f>'[1]Tumor Size'!T16</f>
        <v>0</v>
      </c>
      <c r="U15" s="315">
        <f>'[1]Tumor Size'!U16</f>
        <v>0</v>
      </c>
      <c r="V15" s="63"/>
      <c r="W15" s="49">
        <v>135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139"/>
      <c r="AW15" s="111">
        <f t="shared" si="3"/>
        <v>1</v>
      </c>
      <c r="AX15" s="111" t="str">
        <f t="shared" si="4"/>
        <v/>
      </c>
      <c r="AY15" s="111" t="str">
        <f t="shared" si="4"/>
        <v/>
      </c>
      <c r="AZ15" s="111" t="str">
        <f t="shared" si="4"/>
        <v/>
      </c>
      <c r="BA15" s="111" t="str">
        <f t="shared" si="4"/>
        <v/>
      </c>
      <c r="BB15" s="111" t="str">
        <f t="shared" si="4"/>
        <v/>
      </c>
      <c r="BC15" s="111" t="str">
        <f t="shared" si="4"/>
        <v/>
      </c>
      <c r="BD15" s="111" t="str">
        <f t="shared" si="4"/>
        <v/>
      </c>
      <c r="BE15" s="111" t="str">
        <f t="shared" si="4"/>
        <v/>
      </c>
      <c r="BF15" s="111" t="str">
        <f t="shared" si="4"/>
        <v/>
      </c>
      <c r="BG15" s="111" t="str">
        <f t="shared" si="4"/>
        <v/>
      </c>
      <c r="BH15" s="111" t="str">
        <f t="shared" si="4"/>
        <v/>
      </c>
      <c r="BI15" s="111" t="str">
        <f t="shared" si="4"/>
        <v/>
      </c>
      <c r="BJ15" s="111" t="str">
        <f t="shared" si="4"/>
        <v/>
      </c>
      <c r="BK15" s="111" t="str">
        <f t="shared" si="4"/>
        <v/>
      </c>
      <c r="BL15" s="111" t="str">
        <f t="shared" si="4"/>
        <v/>
      </c>
      <c r="BM15" s="111" t="str">
        <f t="shared" si="4"/>
        <v/>
      </c>
      <c r="BN15" s="111" t="str">
        <f t="shared" si="5"/>
        <v/>
      </c>
      <c r="BO15" s="111" t="str">
        <f t="shared" si="5"/>
        <v/>
      </c>
      <c r="BP15" s="111" t="str">
        <f t="shared" si="5"/>
        <v/>
      </c>
      <c r="BQ15" s="111" t="str">
        <f t="shared" si="5"/>
        <v/>
      </c>
      <c r="BR15" s="111" t="str">
        <f t="shared" si="5"/>
        <v/>
      </c>
      <c r="BS15" s="111" t="str">
        <f t="shared" si="5"/>
        <v/>
      </c>
      <c r="BT15" s="111" t="str">
        <f t="shared" si="5"/>
        <v/>
      </c>
      <c r="BU15" s="111" t="str">
        <f t="shared" si="5"/>
        <v/>
      </c>
      <c r="BV15" s="25"/>
    </row>
    <row r="16" spans="1:74">
      <c r="A16" s="305">
        <f>'[1]Tumor Size'!A17</f>
        <v>0</v>
      </c>
      <c r="B16" s="306">
        <f>'[1]Tumor Size'!B17</f>
        <v>42</v>
      </c>
      <c r="C16" s="307">
        <f>'[1]Tumor Size'!C17</f>
        <v>0</v>
      </c>
      <c r="D16" s="306" t="str">
        <f>'[1]Tumor Size'!D17</f>
        <v>Pilot</v>
      </c>
      <c r="E16" s="308" t="str">
        <f>'[1]Tumor Size'!E17</f>
        <v>i.t. PTX + 131I Depot</v>
      </c>
      <c r="F16" s="309">
        <f>'[1]Tumor Size'!F17</f>
        <v>42244</v>
      </c>
      <c r="G16" s="310">
        <f>'[1]Tumor Size'!G17</f>
        <v>29.9</v>
      </c>
      <c r="H16" s="311">
        <f>'[1]Tumor Size'!H17</f>
        <v>300</v>
      </c>
      <c r="I16" s="309">
        <f>'[1]Tumor Size'!I17</f>
        <v>42265</v>
      </c>
      <c r="J16" s="310">
        <f>'[1]Tumor Size'!J17</f>
        <v>33.799999999999997</v>
      </c>
      <c r="K16" s="312">
        <f>'[1]Tumor Size'!K17</f>
        <v>0</v>
      </c>
      <c r="L16" s="310">
        <f>'[1]Tumor Size'!L17</f>
        <v>480</v>
      </c>
      <c r="M16" s="313">
        <f>'[1]Tumor Size'!M17</f>
        <v>2709000000</v>
      </c>
      <c r="N16" s="310">
        <f>'[1]Tumor Size'!N17</f>
        <v>170.40244000000001</v>
      </c>
      <c r="O16" s="310">
        <f>'[1]Tumor Size'!O17</f>
        <v>1704.0244000000002</v>
      </c>
      <c r="P16" s="310">
        <f>'[1]Tumor Size'!P17</f>
        <v>54</v>
      </c>
      <c r="Q16" s="310">
        <f>'[1]Tumor Size'!Q17</f>
        <v>340</v>
      </c>
      <c r="R16" s="98">
        <f>'[1]Tumor Size'!R17</f>
        <v>1.9952765934572296</v>
      </c>
      <c r="S16" s="314">
        <f>'[1]Tumor Size'!S17</f>
        <v>6.2962962962962967</v>
      </c>
      <c r="T16" s="314">
        <f>'[1]Tumor Size'!T17</f>
        <v>0</v>
      </c>
      <c r="U16" s="315">
        <f>'[1]Tumor Size'!U17</f>
        <v>562</v>
      </c>
      <c r="V16" s="63"/>
      <c r="W16" s="49">
        <v>340</v>
      </c>
      <c r="X16" s="23">
        <v>242</v>
      </c>
      <c r="Y16" s="23">
        <v>210</v>
      </c>
      <c r="Z16" s="23">
        <v>171</v>
      </c>
      <c r="AA16" s="23">
        <v>140</v>
      </c>
      <c r="AB16" s="23">
        <v>113</v>
      </c>
      <c r="AC16" s="23">
        <v>96</v>
      </c>
      <c r="AD16" s="23">
        <v>80</v>
      </c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139"/>
      <c r="AW16" s="227">
        <f t="shared" si="3"/>
        <v>1</v>
      </c>
      <c r="AX16" s="227">
        <f t="shared" si="4"/>
        <v>0.71176470588235297</v>
      </c>
      <c r="AY16" s="227">
        <f t="shared" si="4"/>
        <v>0.61764705882352944</v>
      </c>
      <c r="AZ16" s="227">
        <f t="shared" si="4"/>
        <v>0.50294117647058822</v>
      </c>
      <c r="BA16" s="227">
        <f t="shared" si="4"/>
        <v>0.41176470588235292</v>
      </c>
      <c r="BB16" s="227">
        <f t="shared" si="4"/>
        <v>0.33235294117647057</v>
      </c>
      <c r="BC16" s="227">
        <f t="shared" si="4"/>
        <v>0.28235294117647058</v>
      </c>
      <c r="BD16" s="227">
        <f t="shared" si="4"/>
        <v>0.23529411764705882</v>
      </c>
      <c r="BE16" s="227" t="str">
        <f t="shared" si="4"/>
        <v/>
      </c>
      <c r="BF16" s="227" t="str">
        <f t="shared" si="4"/>
        <v/>
      </c>
      <c r="BG16" s="227" t="str">
        <f t="shared" si="4"/>
        <v/>
      </c>
      <c r="BH16" s="227" t="str">
        <f t="shared" si="4"/>
        <v/>
      </c>
      <c r="BI16" s="227" t="str">
        <f t="shared" si="4"/>
        <v/>
      </c>
      <c r="BJ16" s="227" t="str">
        <f t="shared" si="4"/>
        <v/>
      </c>
      <c r="BK16" s="227" t="str">
        <f t="shared" si="4"/>
        <v/>
      </c>
      <c r="BL16" s="227" t="str">
        <f t="shared" si="4"/>
        <v/>
      </c>
      <c r="BM16" s="227" t="str">
        <f t="shared" si="4"/>
        <v/>
      </c>
      <c r="BN16" s="227" t="str">
        <f t="shared" si="5"/>
        <v/>
      </c>
      <c r="BO16" s="227" t="str">
        <f t="shared" si="5"/>
        <v/>
      </c>
      <c r="BP16" s="227" t="str">
        <f t="shared" si="5"/>
        <v/>
      </c>
      <c r="BQ16" s="227" t="str">
        <f t="shared" si="5"/>
        <v/>
      </c>
      <c r="BR16" s="227" t="str">
        <f t="shared" si="5"/>
        <v/>
      </c>
      <c r="BS16" s="227" t="str">
        <f t="shared" si="5"/>
        <v/>
      </c>
      <c r="BT16" s="227" t="str">
        <f t="shared" si="5"/>
        <v/>
      </c>
      <c r="BU16" s="228" t="str">
        <f t="shared" si="5"/>
        <v/>
      </c>
      <c r="BV16" s="25"/>
    </row>
    <row r="17" spans="1:74">
      <c r="A17" s="316">
        <f>'[1]Tumor Size'!A18</f>
        <v>0</v>
      </c>
      <c r="B17" s="317">
        <f>'[1]Tumor Size'!B18</f>
        <v>43</v>
      </c>
      <c r="C17" s="318">
        <f>'[1]Tumor Size'!C18</f>
        <v>0</v>
      </c>
      <c r="D17" s="317" t="str">
        <f>'[1]Tumor Size'!D18</f>
        <v>Pilot</v>
      </c>
      <c r="E17" s="319" t="str">
        <f>'[1]Tumor Size'!E18</f>
        <v>I.V. PTX only</v>
      </c>
      <c r="F17" s="320">
        <f>'[1]Tumor Size'!F18</f>
        <v>42244</v>
      </c>
      <c r="G17" s="321">
        <f>'[1]Tumor Size'!G18</f>
        <v>27.9</v>
      </c>
      <c r="H17" s="322">
        <f>'[1]Tumor Size'!H18</f>
        <v>280</v>
      </c>
      <c r="I17" s="320">
        <f>'[1]Tumor Size'!I18</f>
        <v>42265</v>
      </c>
      <c r="J17" s="321">
        <f>'[1]Tumor Size'!J18</f>
        <v>30</v>
      </c>
      <c r="K17" s="323">
        <f>'[1]Tumor Size'!K18</f>
        <v>0</v>
      </c>
      <c r="L17" s="321" t="str">
        <f>'[1]Tumor Size'!L18</f>
        <v>n/a</v>
      </c>
      <c r="M17" s="324">
        <f>'[1]Tumor Size'!M18</f>
        <v>672600000</v>
      </c>
      <c r="N17" s="321">
        <f>'[1]Tumor Size'!N18</f>
        <v>0</v>
      </c>
      <c r="O17" s="321">
        <f>'[1]Tumor Size'!O18</f>
        <v>0</v>
      </c>
      <c r="P17" s="321">
        <f>'[1]Tumor Size'!P18</f>
        <v>0</v>
      </c>
      <c r="Q17" s="321">
        <f>'[1]Tumor Size'!Q18</f>
        <v>0</v>
      </c>
      <c r="R17" s="226" t="e">
        <f>'[1]Tumor Size'!R18</f>
        <v>#DIV/0!</v>
      </c>
      <c r="S17" s="325" t="e">
        <f>'[1]Tumor Size'!S18</f>
        <v>#DIV/0!</v>
      </c>
      <c r="T17" s="325">
        <f>'[1]Tumor Size'!T18</f>
        <v>373.90859999999992</v>
      </c>
      <c r="U17" s="315">
        <f>'[1]Tumor Size'!U18</f>
        <v>377</v>
      </c>
      <c r="V17" s="63"/>
      <c r="W17" s="49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139"/>
      <c r="AW17" s="217" t="str">
        <f t="shared" si="3"/>
        <v/>
      </c>
      <c r="AX17" s="217" t="str">
        <f t="shared" si="4"/>
        <v/>
      </c>
      <c r="AY17" s="217" t="str">
        <f t="shared" si="4"/>
        <v/>
      </c>
      <c r="AZ17" s="217" t="str">
        <f t="shared" si="4"/>
        <v/>
      </c>
      <c r="BA17" s="217" t="str">
        <f t="shared" si="4"/>
        <v/>
      </c>
      <c r="BB17" s="217" t="str">
        <f t="shared" si="4"/>
        <v/>
      </c>
      <c r="BC17" s="217" t="str">
        <f t="shared" si="4"/>
        <v/>
      </c>
      <c r="BD17" s="217" t="str">
        <f t="shared" si="4"/>
        <v/>
      </c>
      <c r="BE17" s="217" t="str">
        <f t="shared" si="4"/>
        <v/>
      </c>
      <c r="BF17" s="217" t="str">
        <f t="shared" si="4"/>
        <v/>
      </c>
      <c r="BG17" s="217" t="str">
        <f t="shared" si="4"/>
        <v/>
      </c>
      <c r="BH17" s="217" t="str">
        <f t="shared" si="4"/>
        <v/>
      </c>
      <c r="BI17" s="217" t="str">
        <f t="shared" si="4"/>
        <v/>
      </c>
      <c r="BJ17" s="217" t="str">
        <f t="shared" si="4"/>
        <v/>
      </c>
      <c r="BK17" s="217" t="str">
        <f t="shared" si="4"/>
        <v/>
      </c>
      <c r="BL17" s="217" t="str">
        <f t="shared" si="4"/>
        <v/>
      </c>
      <c r="BM17" s="217" t="str">
        <f t="shared" si="4"/>
        <v/>
      </c>
      <c r="BN17" s="217" t="str">
        <f t="shared" si="5"/>
        <v/>
      </c>
      <c r="BO17" s="217" t="str">
        <f t="shared" si="5"/>
        <v/>
      </c>
      <c r="BP17" s="217" t="str">
        <f t="shared" si="5"/>
        <v/>
      </c>
      <c r="BQ17" s="217" t="str">
        <f t="shared" si="5"/>
        <v/>
      </c>
      <c r="BR17" s="217" t="str">
        <f t="shared" si="5"/>
        <v/>
      </c>
      <c r="BS17" s="217" t="str">
        <f t="shared" si="5"/>
        <v/>
      </c>
      <c r="BT17" s="217" t="str">
        <f t="shared" si="5"/>
        <v/>
      </c>
      <c r="BU17" s="229" t="str">
        <f t="shared" si="5"/>
        <v/>
      </c>
      <c r="BV17" s="25"/>
    </row>
    <row r="18" spans="1:74">
      <c r="A18" s="305">
        <f>'[1]Tumor Size'!A19</f>
        <v>0</v>
      </c>
      <c r="B18" s="306">
        <f>'[1]Tumor Size'!B19</f>
        <v>44</v>
      </c>
      <c r="C18" s="307">
        <f>'[1]Tumor Size'!C19</f>
        <v>0</v>
      </c>
      <c r="D18" s="306" t="str">
        <f>'[1]Tumor Size'!D19</f>
        <v>Pilot</v>
      </c>
      <c r="E18" s="308" t="str">
        <f>'[1]Tumor Size'!E19</f>
        <v>i.t. PTX + 131I Depot</v>
      </c>
      <c r="F18" s="309">
        <f>'[1]Tumor Size'!F19</f>
        <v>42244</v>
      </c>
      <c r="G18" s="310">
        <f>'[1]Tumor Size'!G19</f>
        <v>25.4</v>
      </c>
      <c r="H18" s="311">
        <f>'[1]Tumor Size'!H19</f>
        <v>250</v>
      </c>
      <c r="I18" s="309">
        <f>'[1]Tumor Size'!I19</f>
        <v>42265</v>
      </c>
      <c r="J18" s="310">
        <f>'[1]Tumor Size'!J19</f>
        <v>28</v>
      </c>
      <c r="K18" s="312">
        <f>'[1]Tumor Size'!K19</f>
        <v>0</v>
      </c>
      <c r="L18" s="310">
        <f>'[1]Tumor Size'!L19</f>
        <v>280</v>
      </c>
      <c r="M18" s="313">
        <f>'[1]Tumor Size'!M19</f>
        <v>7068000000</v>
      </c>
      <c r="N18" s="310">
        <f>'[1]Tumor Size'!N19</f>
        <v>363.80344000000002</v>
      </c>
      <c r="O18" s="310">
        <f>'[1]Tumor Size'!O19</f>
        <v>3638.0344000000005</v>
      </c>
      <c r="P18" s="310">
        <f>'[1]Tumor Size'!P19</f>
        <v>115</v>
      </c>
      <c r="Q18" s="310">
        <f>'[1]Tumor Size'!Q19</f>
        <v>310</v>
      </c>
      <c r="R18" s="98">
        <f>'[1]Tumor Size'!R19</f>
        <v>0.85210849023307744</v>
      </c>
      <c r="S18" s="314">
        <f>'[1]Tumor Size'!S19</f>
        <v>2.6956521739130435</v>
      </c>
      <c r="T18" s="314">
        <f>'[1]Tumor Size'!T19</f>
        <v>0</v>
      </c>
      <c r="U18" s="315">
        <f>'[1]Tumor Size'!U19</f>
        <v>0</v>
      </c>
      <c r="V18" s="63"/>
      <c r="W18" s="49">
        <v>310</v>
      </c>
      <c r="X18" s="23">
        <v>114</v>
      </c>
      <c r="Y18" s="23">
        <v>97</v>
      </c>
      <c r="Z18" s="23">
        <v>74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139"/>
      <c r="AW18" s="217">
        <f t="shared" si="3"/>
        <v>1</v>
      </c>
      <c r="AX18" s="217">
        <f t="shared" si="4"/>
        <v>0.36774193548387096</v>
      </c>
      <c r="AY18" s="217">
        <f t="shared" si="4"/>
        <v>0.31290322580645163</v>
      </c>
      <c r="AZ18" s="217">
        <f t="shared" si="4"/>
        <v>0.23870967741935484</v>
      </c>
      <c r="BA18" s="217" t="str">
        <f t="shared" si="4"/>
        <v/>
      </c>
      <c r="BB18" s="217" t="str">
        <f t="shared" si="4"/>
        <v/>
      </c>
      <c r="BC18" s="217" t="str">
        <f t="shared" si="4"/>
        <v/>
      </c>
      <c r="BD18" s="217" t="str">
        <f t="shared" si="4"/>
        <v/>
      </c>
      <c r="BE18" s="217" t="str">
        <f t="shared" si="4"/>
        <v/>
      </c>
      <c r="BF18" s="217" t="str">
        <f t="shared" si="4"/>
        <v/>
      </c>
      <c r="BG18" s="217" t="str">
        <f t="shared" si="4"/>
        <v/>
      </c>
      <c r="BH18" s="217" t="str">
        <f t="shared" si="4"/>
        <v/>
      </c>
      <c r="BI18" s="217" t="str">
        <f t="shared" si="4"/>
        <v/>
      </c>
      <c r="BJ18" s="217" t="str">
        <f t="shared" si="4"/>
        <v/>
      </c>
      <c r="BK18" s="217" t="str">
        <f t="shared" si="4"/>
        <v/>
      </c>
      <c r="BL18" s="217" t="str">
        <f t="shared" si="4"/>
        <v/>
      </c>
      <c r="BM18" s="217" t="str">
        <f t="shared" si="4"/>
        <v/>
      </c>
      <c r="BN18" s="217" t="str">
        <f t="shared" si="5"/>
        <v/>
      </c>
      <c r="BO18" s="217" t="str">
        <f t="shared" si="5"/>
        <v/>
      </c>
      <c r="BP18" s="217" t="str">
        <f t="shared" si="5"/>
        <v/>
      </c>
      <c r="BQ18" s="217" t="str">
        <f t="shared" si="5"/>
        <v/>
      </c>
      <c r="BR18" s="217" t="str">
        <f t="shared" si="5"/>
        <v/>
      </c>
      <c r="BS18" s="217" t="str">
        <f t="shared" si="5"/>
        <v/>
      </c>
      <c r="BT18" s="217" t="str">
        <f t="shared" si="5"/>
        <v/>
      </c>
      <c r="BU18" s="229" t="str">
        <f t="shared" si="5"/>
        <v/>
      </c>
      <c r="BV18" s="25"/>
    </row>
    <row r="19" spans="1:74">
      <c r="A19" s="326"/>
      <c r="B19" s="327"/>
      <c r="C19" s="328"/>
      <c r="D19" s="327"/>
      <c r="E19" s="329"/>
      <c r="F19" s="330"/>
      <c r="G19" s="331"/>
      <c r="H19" s="331"/>
      <c r="I19" s="330"/>
      <c r="J19" s="331"/>
      <c r="K19" s="332"/>
      <c r="L19" s="331"/>
      <c r="M19" s="333"/>
      <c r="N19" s="331"/>
      <c r="O19" s="331"/>
      <c r="P19" s="331"/>
      <c r="Q19" s="331"/>
      <c r="R19" s="143"/>
      <c r="S19" s="334"/>
      <c r="T19" s="334"/>
      <c r="U19" s="334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14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74"/>
    </row>
    <row r="20" spans="1:74" ht="12.75" customHeight="1">
      <c r="E20" s="336" t="s">
        <v>26</v>
      </c>
      <c r="I20" s="336"/>
      <c r="J20" s="337"/>
      <c r="K20" s="337"/>
      <c r="L20" s="337"/>
      <c r="M20" s="337"/>
      <c r="N20" s="337"/>
      <c r="O20" s="337"/>
      <c r="P20" s="337"/>
      <c r="Q20" s="337"/>
      <c r="R20" s="337"/>
      <c r="S20" s="338" t="s">
        <v>28</v>
      </c>
      <c r="T20" s="338"/>
      <c r="U20" s="338"/>
      <c r="V20" s="339" t="s">
        <v>26</v>
      </c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182" t="s">
        <v>28</v>
      </c>
      <c r="AW20" s="146">
        <f t="shared" ref="AW20:BU20" si="6">EXP(AW4*-LN(2)/8.0197)</f>
        <v>1</v>
      </c>
      <c r="AX20" s="146">
        <f t="shared" si="6"/>
        <v>0.91719923476942955</v>
      </c>
      <c r="AY20" s="146">
        <f t="shared" si="6"/>
        <v>0.8412544362616271</v>
      </c>
      <c r="AZ20" s="146">
        <f t="shared" si="6"/>
        <v>0.707709026529868</v>
      </c>
      <c r="BA20" s="146">
        <f t="shared" si="6"/>
        <v>0.59536335815064911</v>
      </c>
      <c r="BB20" s="146">
        <f t="shared" si="6"/>
        <v>0.50085206623185352</v>
      </c>
      <c r="BC20" s="146">
        <f t="shared" si="6"/>
        <v>0.42134402262834902</v>
      </c>
      <c r="BD20" s="146">
        <f t="shared" si="6"/>
        <v>0.35445752822841803</v>
      </c>
      <c r="BE20" s="146" t="e">
        <f t="shared" si="6"/>
        <v>#NUM!</v>
      </c>
      <c r="BF20" s="146" t="e">
        <f t="shared" si="6"/>
        <v>#NUM!</v>
      </c>
      <c r="BG20" s="146" t="e">
        <f t="shared" si="6"/>
        <v>#NUM!</v>
      </c>
      <c r="BH20" s="146" t="e">
        <f t="shared" si="6"/>
        <v>#NUM!</v>
      </c>
      <c r="BI20" s="146" t="e">
        <f t="shared" si="6"/>
        <v>#NUM!</v>
      </c>
      <c r="BJ20" s="146" t="e">
        <f t="shared" si="6"/>
        <v>#NUM!</v>
      </c>
      <c r="BK20" s="146" t="e">
        <f t="shared" si="6"/>
        <v>#NUM!</v>
      </c>
      <c r="BL20" s="146" t="e">
        <f t="shared" si="6"/>
        <v>#NUM!</v>
      </c>
      <c r="BM20" s="146" t="e">
        <f t="shared" si="6"/>
        <v>#NUM!</v>
      </c>
      <c r="BN20" s="146" t="e">
        <f t="shared" si="6"/>
        <v>#NUM!</v>
      </c>
      <c r="BO20" s="146" t="e">
        <f t="shared" si="6"/>
        <v>#NUM!</v>
      </c>
      <c r="BP20" s="146" t="e">
        <f t="shared" si="6"/>
        <v>#NUM!</v>
      </c>
      <c r="BQ20" s="146" t="e">
        <f t="shared" si="6"/>
        <v>#NUM!</v>
      </c>
      <c r="BR20" s="146" t="e">
        <f t="shared" si="6"/>
        <v>#NUM!</v>
      </c>
      <c r="BS20" s="146" t="e">
        <f t="shared" si="6"/>
        <v>#NUM!</v>
      </c>
      <c r="BT20" s="146" t="e">
        <f t="shared" si="6"/>
        <v>#NUM!</v>
      </c>
      <c r="BU20" s="181" t="e">
        <f t="shared" si="6"/>
        <v>#NUM!</v>
      </c>
      <c r="BV20" s="74"/>
    </row>
    <row r="21" spans="1:74" ht="12.75" customHeight="1">
      <c r="E21" s="148"/>
      <c r="I21" s="1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142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74"/>
    </row>
    <row r="22" spans="1:74" ht="15.75" customHeight="1">
      <c r="A22" s="1"/>
      <c r="B22" s="1"/>
      <c r="C22" s="1"/>
      <c r="E22" s="336" t="s">
        <v>25</v>
      </c>
      <c r="F22" s="340"/>
      <c r="I22" s="341" t="s">
        <v>25</v>
      </c>
      <c r="J22" s="342"/>
      <c r="K22" s="343"/>
      <c r="L22" s="343"/>
      <c r="M22" s="343"/>
      <c r="N22" s="342"/>
      <c r="O22" s="342"/>
      <c r="P22" s="342"/>
      <c r="Q22" s="342"/>
      <c r="R22" s="338"/>
      <c r="S22" s="338" t="s">
        <v>25</v>
      </c>
      <c r="T22" s="338"/>
      <c r="U22" s="338"/>
      <c r="V22" s="182" t="s">
        <v>12</v>
      </c>
      <c r="W22" s="123"/>
      <c r="X22" s="124">
        <f t="shared" ref="X22:AU22" si="7">AVERAGE(X5:X18)</f>
        <v>89.92307692307692</v>
      </c>
      <c r="Y22" s="124">
        <f t="shared" si="7"/>
        <v>78.07692307692308</v>
      </c>
      <c r="Z22" s="124">
        <f t="shared" si="7"/>
        <v>62.307692307692307</v>
      </c>
      <c r="AA22" s="124">
        <f t="shared" si="7"/>
        <v>50.916666666666664</v>
      </c>
      <c r="AB22" s="124">
        <f t="shared" si="7"/>
        <v>41.416666666666664</v>
      </c>
      <c r="AC22" s="124">
        <f t="shared" si="7"/>
        <v>34.75</v>
      </c>
      <c r="AD22" s="124">
        <f t="shared" si="7"/>
        <v>29.166666666666668</v>
      </c>
      <c r="AE22" s="124" t="e">
        <f t="shared" si="7"/>
        <v>#DIV/0!</v>
      </c>
      <c r="AF22" s="124" t="e">
        <f t="shared" si="7"/>
        <v>#DIV/0!</v>
      </c>
      <c r="AG22" s="124" t="e">
        <f t="shared" si="7"/>
        <v>#DIV/0!</v>
      </c>
      <c r="AH22" s="124" t="e">
        <f t="shared" si="7"/>
        <v>#DIV/0!</v>
      </c>
      <c r="AI22" s="124" t="e">
        <f t="shared" si="7"/>
        <v>#DIV/0!</v>
      </c>
      <c r="AJ22" s="124" t="e">
        <f t="shared" si="7"/>
        <v>#DIV/0!</v>
      </c>
      <c r="AK22" s="124" t="e">
        <f t="shared" si="7"/>
        <v>#DIV/0!</v>
      </c>
      <c r="AL22" s="124" t="e">
        <f t="shared" si="7"/>
        <v>#DIV/0!</v>
      </c>
      <c r="AM22" s="124" t="e">
        <f t="shared" si="7"/>
        <v>#DIV/0!</v>
      </c>
      <c r="AN22" s="124" t="e">
        <f t="shared" si="7"/>
        <v>#DIV/0!</v>
      </c>
      <c r="AO22" s="124" t="e">
        <f t="shared" si="7"/>
        <v>#DIV/0!</v>
      </c>
      <c r="AP22" s="124" t="e">
        <f t="shared" si="7"/>
        <v>#DIV/0!</v>
      </c>
      <c r="AQ22" s="124" t="e">
        <f t="shared" si="7"/>
        <v>#DIV/0!</v>
      </c>
      <c r="AR22" s="124" t="e">
        <f t="shared" si="7"/>
        <v>#DIV/0!</v>
      </c>
      <c r="AS22" s="124" t="e">
        <f t="shared" si="7"/>
        <v>#DIV/0!</v>
      </c>
      <c r="AT22" s="124" t="e">
        <f t="shared" si="7"/>
        <v>#DIV/0!</v>
      </c>
      <c r="AU22" s="124" t="e">
        <f t="shared" si="7"/>
        <v>#DIV/0!</v>
      </c>
      <c r="AV22" s="182" t="s">
        <v>12</v>
      </c>
      <c r="AW22" s="170">
        <f t="shared" ref="AW22:BU22" si="8">IFERROR(AVERAGE(AW5:AW18),"")</f>
        <v>1</v>
      </c>
      <c r="AX22" s="111">
        <f t="shared" si="8"/>
        <v>0.70062236931593813</v>
      </c>
      <c r="AY22" s="111">
        <f t="shared" si="8"/>
        <v>0.60815465124261014</v>
      </c>
      <c r="AZ22" s="111">
        <f t="shared" si="8"/>
        <v>0.47774638220245924</v>
      </c>
      <c r="BA22" s="111">
        <f t="shared" si="8"/>
        <v>0.43665158209497562</v>
      </c>
      <c r="BB22" s="111">
        <f t="shared" si="8"/>
        <v>0.35565673689398064</v>
      </c>
      <c r="BC22" s="111">
        <f t="shared" si="8"/>
        <v>0.29872288198256292</v>
      </c>
      <c r="BD22" s="111">
        <f t="shared" si="8"/>
        <v>0.25109325693592982</v>
      </c>
      <c r="BE22" s="111" t="str">
        <f t="shared" si="8"/>
        <v/>
      </c>
      <c r="BF22" s="111" t="str">
        <f t="shared" si="8"/>
        <v/>
      </c>
      <c r="BG22" s="111" t="str">
        <f t="shared" si="8"/>
        <v/>
      </c>
      <c r="BH22" s="111" t="str">
        <f t="shared" si="8"/>
        <v/>
      </c>
      <c r="BI22" s="111" t="str">
        <f t="shared" si="8"/>
        <v/>
      </c>
      <c r="BJ22" s="111" t="str">
        <f t="shared" si="8"/>
        <v/>
      </c>
      <c r="BK22" s="111" t="str">
        <f t="shared" si="8"/>
        <v/>
      </c>
      <c r="BL22" s="111" t="str">
        <f t="shared" si="8"/>
        <v/>
      </c>
      <c r="BM22" s="111" t="str">
        <f t="shared" si="8"/>
        <v/>
      </c>
      <c r="BN22" s="111" t="str">
        <f t="shared" si="8"/>
        <v/>
      </c>
      <c r="BO22" s="111" t="str">
        <f t="shared" si="8"/>
        <v/>
      </c>
      <c r="BP22" s="111" t="str">
        <f t="shared" si="8"/>
        <v/>
      </c>
      <c r="BQ22" s="111" t="str">
        <f t="shared" si="8"/>
        <v/>
      </c>
      <c r="BR22" s="111" t="str">
        <f t="shared" si="8"/>
        <v/>
      </c>
      <c r="BS22" s="111" t="str">
        <f t="shared" si="8"/>
        <v/>
      </c>
      <c r="BT22" s="111" t="str">
        <f t="shared" si="8"/>
        <v/>
      </c>
      <c r="BU22" s="171" t="str">
        <f t="shared" si="8"/>
        <v/>
      </c>
    </row>
    <row r="23" spans="1:74" ht="14.25" customHeight="1">
      <c r="E23" s="344"/>
      <c r="F23" s="340"/>
      <c r="J23" s="342"/>
      <c r="K23" s="343"/>
      <c r="L23" s="343"/>
      <c r="M23" s="343"/>
      <c r="N23" s="342"/>
      <c r="O23" s="342"/>
      <c r="P23" s="342"/>
      <c r="Q23" s="342"/>
      <c r="R23" s="338"/>
      <c r="S23" s="338"/>
      <c r="T23" s="338"/>
      <c r="U23" s="338"/>
      <c r="V23" s="182" t="s">
        <v>14</v>
      </c>
      <c r="W23" s="174"/>
      <c r="X23" s="130">
        <f t="shared" ref="X23:AU23" si="9">STDEVA(X5:X18)</f>
        <v>108.26315281022559</v>
      </c>
      <c r="Y23" s="130">
        <f t="shared" si="9"/>
        <v>94.823047074064519</v>
      </c>
      <c r="Z23" s="130">
        <f t="shared" si="9"/>
        <v>77.628801158015889</v>
      </c>
      <c r="AA23" s="130">
        <f t="shared" si="9"/>
        <v>66.710307685657938</v>
      </c>
      <c r="AB23" s="130">
        <f t="shared" si="9"/>
        <v>54.396621441431677</v>
      </c>
      <c r="AC23" s="130">
        <f t="shared" si="9"/>
        <v>45.645123208589027</v>
      </c>
      <c r="AD23" s="130">
        <f t="shared" si="9"/>
        <v>38.491636242254764</v>
      </c>
      <c r="AE23" s="130" t="e">
        <f t="shared" si="9"/>
        <v>#DIV/0!</v>
      </c>
      <c r="AF23" s="130" t="e">
        <f t="shared" si="9"/>
        <v>#DIV/0!</v>
      </c>
      <c r="AG23" s="130" t="e">
        <f t="shared" si="9"/>
        <v>#DIV/0!</v>
      </c>
      <c r="AH23" s="130" t="e">
        <f t="shared" si="9"/>
        <v>#DIV/0!</v>
      </c>
      <c r="AI23" s="130" t="e">
        <f t="shared" si="9"/>
        <v>#DIV/0!</v>
      </c>
      <c r="AJ23" s="130" t="e">
        <f t="shared" si="9"/>
        <v>#DIV/0!</v>
      </c>
      <c r="AK23" s="130" t="e">
        <f t="shared" si="9"/>
        <v>#DIV/0!</v>
      </c>
      <c r="AL23" s="130" t="e">
        <f t="shared" si="9"/>
        <v>#DIV/0!</v>
      </c>
      <c r="AM23" s="130" t="e">
        <f t="shared" si="9"/>
        <v>#DIV/0!</v>
      </c>
      <c r="AN23" s="130" t="e">
        <f t="shared" si="9"/>
        <v>#DIV/0!</v>
      </c>
      <c r="AO23" s="130" t="e">
        <f t="shared" si="9"/>
        <v>#DIV/0!</v>
      </c>
      <c r="AP23" s="130" t="e">
        <f t="shared" si="9"/>
        <v>#DIV/0!</v>
      </c>
      <c r="AQ23" s="130" t="e">
        <f t="shared" si="9"/>
        <v>#DIV/0!</v>
      </c>
      <c r="AR23" s="130" t="e">
        <f t="shared" si="9"/>
        <v>#DIV/0!</v>
      </c>
      <c r="AS23" s="130" t="e">
        <f t="shared" si="9"/>
        <v>#DIV/0!</v>
      </c>
      <c r="AT23" s="130" t="e">
        <f t="shared" si="9"/>
        <v>#DIV/0!</v>
      </c>
      <c r="AU23" s="130" t="e">
        <f t="shared" si="9"/>
        <v>#DIV/0!</v>
      </c>
      <c r="AV23" s="182" t="s">
        <v>14</v>
      </c>
      <c r="AW23" s="183">
        <f t="shared" ref="AW23:BU23" si="10">_xlfn.STDEV.P(AW5:AW18)</f>
        <v>0</v>
      </c>
      <c r="AX23" s="129">
        <f t="shared" si="10"/>
        <v>0.20779904062092117</v>
      </c>
      <c r="AY23" s="129">
        <f t="shared" si="10"/>
        <v>0.1905021284742581</v>
      </c>
      <c r="AZ23" s="129">
        <f t="shared" si="10"/>
        <v>0.15819100985178752</v>
      </c>
      <c r="BA23" s="129">
        <f t="shared" si="10"/>
        <v>0.1199370307334848</v>
      </c>
      <c r="BB23" s="129">
        <f t="shared" si="10"/>
        <v>0.10183526387839816</v>
      </c>
      <c r="BC23" s="129">
        <f t="shared" si="10"/>
        <v>8.7269746730734177E-2</v>
      </c>
      <c r="BD23" s="129">
        <f t="shared" si="10"/>
        <v>7.7495621525020097E-2</v>
      </c>
      <c r="BE23" s="129" t="e">
        <f t="shared" si="10"/>
        <v>#DIV/0!</v>
      </c>
      <c r="BF23" s="129" t="e">
        <f t="shared" si="10"/>
        <v>#DIV/0!</v>
      </c>
      <c r="BG23" s="129" t="e">
        <f t="shared" si="10"/>
        <v>#DIV/0!</v>
      </c>
      <c r="BH23" s="129" t="e">
        <f t="shared" si="10"/>
        <v>#DIV/0!</v>
      </c>
      <c r="BI23" s="129" t="e">
        <f t="shared" si="10"/>
        <v>#DIV/0!</v>
      </c>
      <c r="BJ23" s="129" t="e">
        <f t="shared" si="10"/>
        <v>#DIV/0!</v>
      </c>
      <c r="BK23" s="129" t="e">
        <f t="shared" si="10"/>
        <v>#DIV/0!</v>
      </c>
      <c r="BL23" s="129" t="e">
        <f t="shared" si="10"/>
        <v>#DIV/0!</v>
      </c>
      <c r="BM23" s="129" t="e">
        <f t="shared" si="10"/>
        <v>#DIV/0!</v>
      </c>
      <c r="BN23" s="129" t="e">
        <f t="shared" si="10"/>
        <v>#DIV/0!</v>
      </c>
      <c r="BO23" s="129" t="e">
        <f t="shared" si="10"/>
        <v>#DIV/0!</v>
      </c>
      <c r="BP23" s="129" t="e">
        <f t="shared" si="10"/>
        <v>#DIV/0!</v>
      </c>
      <c r="BQ23" s="129" t="e">
        <f t="shared" si="10"/>
        <v>#DIV/0!</v>
      </c>
      <c r="BR23" s="129" t="e">
        <f t="shared" si="10"/>
        <v>#DIV/0!</v>
      </c>
      <c r="BS23" s="129" t="e">
        <f t="shared" si="10"/>
        <v>#DIV/0!</v>
      </c>
      <c r="BT23" s="129" t="e">
        <f t="shared" si="10"/>
        <v>#DIV/0!</v>
      </c>
      <c r="BU23" s="184" t="e">
        <f t="shared" si="10"/>
        <v>#DIV/0!</v>
      </c>
    </row>
    <row r="24" spans="1:74" ht="14.25" customHeight="1">
      <c r="E24" s="344"/>
      <c r="F24" s="340"/>
      <c r="J24" s="342"/>
      <c r="K24" s="343"/>
      <c r="L24" s="343"/>
      <c r="M24" s="343"/>
      <c r="N24" s="342"/>
      <c r="O24" s="342"/>
      <c r="P24" s="342"/>
      <c r="Q24" s="342"/>
      <c r="R24" s="338"/>
      <c r="S24" s="338"/>
      <c r="T24" s="338"/>
      <c r="U24" s="338"/>
      <c r="V24" s="182" t="s">
        <v>27</v>
      </c>
      <c r="W24" s="174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82" t="s">
        <v>27</v>
      </c>
      <c r="AW24" s="183">
        <f t="shared" ref="AW24:BU24" si="11">AW22-AW20</f>
        <v>0</v>
      </c>
      <c r="AX24" s="129">
        <f t="shared" si="11"/>
        <v>-0.21657686545349142</v>
      </c>
      <c r="AY24" s="129">
        <f t="shared" si="11"/>
        <v>-0.23309978501901696</v>
      </c>
      <c r="AZ24" s="129">
        <f t="shared" si="11"/>
        <v>-0.22996264432740876</v>
      </c>
      <c r="BA24" s="129">
        <f t="shared" si="11"/>
        <v>-0.15871177605567349</v>
      </c>
      <c r="BB24" s="129">
        <f t="shared" si="11"/>
        <v>-0.14519532933787288</v>
      </c>
      <c r="BC24" s="129">
        <f t="shared" si="11"/>
        <v>-0.12262114064578611</v>
      </c>
      <c r="BD24" s="129">
        <f t="shared" si="11"/>
        <v>-0.10336427129248821</v>
      </c>
      <c r="BE24" s="129" t="e">
        <f t="shared" si="11"/>
        <v>#VALUE!</v>
      </c>
      <c r="BF24" s="129" t="e">
        <f t="shared" si="11"/>
        <v>#VALUE!</v>
      </c>
      <c r="BG24" s="129" t="e">
        <f t="shared" si="11"/>
        <v>#VALUE!</v>
      </c>
      <c r="BH24" s="129" t="e">
        <f t="shared" si="11"/>
        <v>#VALUE!</v>
      </c>
      <c r="BI24" s="129" t="e">
        <f t="shared" si="11"/>
        <v>#VALUE!</v>
      </c>
      <c r="BJ24" s="129" t="e">
        <f t="shared" si="11"/>
        <v>#VALUE!</v>
      </c>
      <c r="BK24" s="129" t="e">
        <f t="shared" si="11"/>
        <v>#VALUE!</v>
      </c>
      <c r="BL24" s="129" t="e">
        <f t="shared" si="11"/>
        <v>#VALUE!</v>
      </c>
      <c r="BM24" s="129" t="e">
        <f t="shared" si="11"/>
        <v>#VALUE!</v>
      </c>
      <c r="BN24" s="129" t="e">
        <f t="shared" si="11"/>
        <v>#VALUE!</v>
      </c>
      <c r="BO24" s="129" t="e">
        <f t="shared" si="11"/>
        <v>#VALUE!</v>
      </c>
      <c r="BP24" s="129" t="e">
        <f t="shared" si="11"/>
        <v>#VALUE!</v>
      </c>
      <c r="BQ24" s="129" t="e">
        <f t="shared" si="11"/>
        <v>#VALUE!</v>
      </c>
      <c r="BR24" s="129" t="e">
        <f t="shared" si="11"/>
        <v>#VALUE!</v>
      </c>
      <c r="BS24" s="129" t="e">
        <f t="shared" si="11"/>
        <v>#VALUE!</v>
      </c>
      <c r="BT24" s="129" t="e">
        <f t="shared" si="11"/>
        <v>#VALUE!</v>
      </c>
      <c r="BU24" s="184" t="e">
        <f t="shared" si="11"/>
        <v>#VALUE!</v>
      </c>
    </row>
    <row r="25" spans="1:74" ht="14.25" customHeight="1">
      <c r="E25" s="345"/>
      <c r="F25" s="340"/>
      <c r="J25" s="342"/>
      <c r="K25" s="343"/>
      <c r="L25" s="343"/>
      <c r="M25" s="343"/>
      <c r="N25" s="342"/>
      <c r="O25" s="342"/>
      <c r="P25" s="342"/>
      <c r="Q25" s="342"/>
      <c r="R25" s="338"/>
      <c r="S25" s="338"/>
      <c r="T25" s="338"/>
      <c r="U25" s="338"/>
      <c r="V25" s="182" t="s">
        <v>33</v>
      </c>
      <c r="W25" s="174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82" t="s">
        <v>33</v>
      </c>
      <c r="AW25" s="183">
        <f>AW22*EXP((AW4-AW4)*-LN(2)/8.0197)</f>
        <v>1</v>
      </c>
      <c r="AX25" s="129">
        <f t="shared" ref="AX25:BU25" si="12">AW22*EXP((AX4-AW4)*-LN(2)/8.0197)</f>
        <v>0.91719923476942955</v>
      </c>
      <c r="AY25" s="129">
        <f t="shared" si="12"/>
        <v>0.64261030099892313</v>
      </c>
      <c r="AZ25" s="129">
        <f t="shared" si="12"/>
        <v>0.51161279829098849</v>
      </c>
      <c r="BA25" s="129">
        <f t="shared" si="12"/>
        <v>0.40190626343576169</v>
      </c>
      <c r="BB25" s="129">
        <f t="shared" si="12"/>
        <v>0.3673350805380563</v>
      </c>
      <c r="BC25" s="129">
        <f t="shared" si="12"/>
        <v>0.29919780769839549</v>
      </c>
      <c r="BD25" s="129">
        <f t="shared" si="12"/>
        <v>0.25130194968068953</v>
      </c>
      <c r="BE25" s="129" t="e">
        <f t="shared" si="12"/>
        <v>#NUM!</v>
      </c>
      <c r="BF25" s="129" t="e">
        <f t="shared" si="12"/>
        <v>#VALUE!</v>
      </c>
      <c r="BG25" s="129" t="e">
        <f t="shared" si="12"/>
        <v>#VALUE!</v>
      </c>
      <c r="BH25" s="129" t="e">
        <f t="shared" si="12"/>
        <v>#VALUE!</v>
      </c>
      <c r="BI25" s="129" t="e">
        <f t="shared" si="12"/>
        <v>#VALUE!</v>
      </c>
      <c r="BJ25" s="129" t="e">
        <f t="shared" si="12"/>
        <v>#VALUE!</v>
      </c>
      <c r="BK25" s="129" t="e">
        <f t="shared" si="12"/>
        <v>#VALUE!</v>
      </c>
      <c r="BL25" s="129" t="e">
        <f t="shared" si="12"/>
        <v>#VALUE!</v>
      </c>
      <c r="BM25" s="129" t="e">
        <f t="shared" si="12"/>
        <v>#VALUE!</v>
      </c>
      <c r="BN25" s="129" t="e">
        <f t="shared" si="12"/>
        <v>#VALUE!</v>
      </c>
      <c r="BO25" s="129" t="e">
        <f t="shared" si="12"/>
        <v>#VALUE!</v>
      </c>
      <c r="BP25" s="129" t="e">
        <f t="shared" si="12"/>
        <v>#VALUE!</v>
      </c>
      <c r="BQ25" s="129" t="e">
        <f t="shared" si="12"/>
        <v>#VALUE!</v>
      </c>
      <c r="BR25" s="129" t="e">
        <f t="shared" si="12"/>
        <v>#VALUE!</v>
      </c>
      <c r="BS25" s="129" t="e">
        <f t="shared" si="12"/>
        <v>#VALUE!</v>
      </c>
      <c r="BT25" s="129" t="e">
        <f t="shared" si="12"/>
        <v>#VALUE!</v>
      </c>
      <c r="BU25" s="184" t="e">
        <f t="shared" si="12"/>
        <v>#VALUE!</v>
      </c>
    </row>
    <row r="26" spans="1:74" ht="14.25" customHeight="1">
      <c r="E26" s="148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82" t="s">
        <v>34</v>
      </c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82" t="s">
        <v>34</v>
      </c>
      <c r="AW26" s="172">
        <f t="shared" ref="AW26:BU26" si="13">AW22-AW25</f>
        <v>0</v>
      </c>
      <c r="AX26" s="112">
        <f t="shared" si="13"/>
        <v>-0.21657686545349142</v>
      </c>
      <c r="AY26" s="112">
        <f t="shared" si="13"/>
        <v>-3.4455649756312989E-2</v>
      </c>
      <c r="AZ26" s="112">
        <f t="shared" si="13"/>
        <v>-3.386641608852925E-2</v>
      </c>
      <c r="BA26" s="112">
        <f t="shared" si="13"/>
        <v>3.4745318659213931E-2</v>
      </c>
      <c r="BB26" s="112">
        <f t="shared" si="13"/>
        <v>-1.1678343644075662E-2</v>
      </c>
      <c r="BC26" s="112">
        <f t="shared" si="13"/>
        <v>-4.7492571583257481E-4</v>
      </c>
      <c r="BD26" s="112">
        <f t="shared" si="13"/>
        <v>-2.0869274475970867E-4</v>
      </c>
      <c r="BE26" s="112" t="e">
        <f t="shared" si="13"/>
        <v>#VALUE!</v>
      </c>
      <c r="BF26" s="112" t="e">
        <f t="shared" si="13"/>
        <v>#VALUE!</v>
      </c>
      <c r="BG26" s="112" t="e">
        <f t="shared" si="13"/>
        <v>#VALUE!</v>
      </c>
      <c r="BH26" s="112" t="e">
        <f t="shared" si="13"/>
        <v>#VALUE!</v>
      </c>
      <c r="BI26" s="112" t="e">
        <f t="shared" si="13"/>
        <v>#VALUE!</v>
      </c>
      <c r="BJ26" s="112" t="e">
        <f t="shared" si="13"/>
        <v>#VALUE!</v>
      </c>
      <c r="BK26" s="112" t="e">
        <f t="shared" si="13"/>
        <v>#VALUE!</v>
      </c>
      <c r="BL26" s="112" t="e">
        <f t="shared" si="13"/>
        <v>#VALUE!</v>
      </c>
      <c r="BM26" s="112" t="e">
        <f t="shared" si="13"/>
        <v>#VALUE!</v>
      </c>
      <c r="BN26" s="112" t="e">
        <f t="shared" si="13"/>
        <v>#VALUE!</v>
      </c>
      <c r="BO26" s="112" t="e">
        <f t="shared" si="13"/>
        <v>#VALUE!</v>
      </c>
      <c r="BP26" s="112" t="e">
        <f t="shared" si="13"/>
        <v>#VALUE!</v>
      </c>
      <c r="BQ26" s="112" t="e">
        <f t="shared" si="13"/>
        <v>#VALUE!</v>
      </c>
      <c r="BR26" s="112" t="e">
        <f t="shared" si="13"/>
        <v>#VALUE!</v>
      </c>
      <c r="BS26" s="112" t="e">
        <f t="shared" si="13"/>
        <v>#VALUE!</v>
      </c>
      <c r="BT26" s="112" t="e">
        <f t="shared" si="13"/>
        <v>#VALUE!</v>
      </c>
      <c r="BU26" s="173" t="e">
        <f t="shared" si="13"/>
        <v>#VALUE!</v>
      </c>
    </row>
    <row r="27" spans="1:74" ht="15">
      <c r="E27" s="148"/>
      <c r="S27" s="12"/>
      <c r="T27" s="12"/>
      <c r="U27" s="12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</row>
    <row r="28" spans="1:74" ht="15.75" customHeight="1">
      <c r="E28" s="336" t="s">
        <v>49</v>
      </c>
      <c r="I28" s="336" t="s">
        <v>49</v>
      </c>
      <c r="J28" s="338"/>
      <c r="K28" s="338"/>
      <c r="L28" s="338"/>
      <c r="M28" s="338"/>
      <c r="N28" s="338"/>
      <c r="O28" s="338"/>
      <c r="P28" s="338"/>
      <c r="Q28" s="338"/>
      <c r="R28" s="338"/>
      <c r="S28" s="338" t="s">
        <v>49</v>
      </c>
      <c r="T28" s="338"/>
      <c r="U28" s="338"/>
      <c r="V28" s="182" t="s">
        <v>12</v>
      </c>
      <c r="W28" s="123"/>
      <c r="X28" s="124">
        <f t="shared" ref="X28:AU28" si="14">AVERAGEIF($E5:$E18,$S28,X5:X18)</f>
        <v>184.75</v>
      </c>
      <c r="Y28" s="124">
        <f t="shared" si="14"/>
        <v>162</v>
      </c>
      <c r="Z28" s="124">
        <f t="shared" si="14"/>
        <v>130.25</v>
      </c>
      <c r="AA28" s="124">
        <f t="shared" si="14"/>
        <v>109</v>
      </c>
      <c r="AB28" s="124">
        <f t="shared" si="14"/>
        <v>89.25</v>
      </c>
      <c r="AC28" s="124">
        <f t="shared" si="14"/>
        <v>74.75</v>
      </c>
      <c r="AD28" s="124">
        <f t="shared" si="14"/>
        <v>63.25</v>
      </c>
      <c r="AE28" s="124" t="e">
        <f t="shared" si="14"/>
        <v>#DIV/0!</v>
      </c>
      <c r="AF28" s="124" t="e">
        <f t="shared" si="14"/>
        <v>#DIV/0!</v>
      </c>
      <c r="AG28" s="124" t="e">
        <f t="shared" si="14"/>
        <v>#DIV/0!</v>
      </c>
      <c r="AH28" s="124" t="e">
        <f t="shared" si="14"/>
        <v>#DIV/0!</v>
      </c>
      <c r="AI28" s="124" t="e">
        <f t="shared" si="14"/>
        <v>#DIV/0!</v>
      </c>
      <c r="AJ28" s="124" t="e">
        <f t="shared" si="14"/>
        <v>#DIV/0!</v>
      </c>
      <c r="AK28" s="124" t="e">
        <f t="shared" si="14"/>
        <v>#DIV/0!</v>
      </c>
      <c r="AL28" s="124" t="e">
        <f t="shared" si="14"/>
        <v>#DIV/0!</v>
      </c>
      <c r="AM28" s="124" t="e">
        <f t="shared" si="14"/>
        <v>#DIV/0!</v>
      </c>
      <c r="AN28" s="124" t="e">
        <f t="shared" si="14"/>
        <v>#DIV/0!</v>
      </c>
      <c r="AO28" s="124" t="e">
        <f t="shared" si="14"/>
        <v>#DIV/0!</v>
      </c>
      <c r="AP28" s="124" t="e">
        <f t="shared" si="14"/>
        <v>#DIV/0!</v>
      </c>
      <c r="AQ28" s="124" t="e">
        <f t="shared" si="14"/>
        <v>#DIV/0!</v>
      </c>
      <c r="AR28" s="124" t="e">
        <f t="shared" si="14"/>
        <v>#DIV/0!</v>
      </c>
      <c r="AS28" s="124" t="e">
        <f t="shared" si="14"/>
        <v>#DIV/0!</v>
      </c>
      <c r="AT28" s="124" t="e">
        <f t="shared" si="14"/>
        <v>#DIV/0!</v>
      </c>
      <c r="AU28" s="124" t="e">
        <f t="shared" si="14"/>
        <v>#DIV/0!</v>
      </c>
      <c r="AV28" s="182" t="s">
        <v>12</v>
      </c>
      <c r="AW28" s="170">
        <v>1</v>
      </c>
      <c r="AX28" s="111">
        <f t="shared" ref="AX28:BU28" si="15">IFERROR(AVERAGEIF($E5:$E18,$I28,AX5:AX18),"")</f>
        <v>0.85227990169167278</v>
      </c>
      <c r="AY28" s="111">
        <f t="shared" si="15"/>
        <v>0.74736340559572434</v>
      </c>
      <c r="AZ28" s="111">
        <f t="shared" si="15"/>
        <v>0.5888457025728292</v>
      </c>
      <c r="BA28" s="111">
        <f t="shared" si="15"/>
        <v>0.50287889330108859</v>
      </c>
      <c r="BB28" s="111">
        <f t="shared" si="15"/>
        <v>0.41247552173224655</v>
      </c>
      <c r="BC28" s="111">
        <f t="shared" si="15"/>
        <v>0.3465972112752323</v>
      </c>
      <c r="BD28" s="111">
        <f t="shared" si="15"/>
        <v>0.29393995149774793</v>
      </c>
      <c r="BE28" s="111" t="str">
        <f t="shared" si="15"/>
        <v/>
      </c>
      <c r="BF28" s="111" t="str">
        <f t="shared" si="15"/>
        <v/>
      </c>
      <c r="BG28" s="111" t="str">
        <f t="shared" si="15"/>
        <v/>
      </c>
      <c r="BH28" s="111" t="str">
        <f t="shared" si="15"/>
        <v/>
      </c>
      <c r="BI28" s="111" t="str">
        <f t="shared" si="15"/>
        <v/>
      </c>
      <c r="BJ28" s="111" t="str">
        <f t="shared" si="15"/>
        <v/>
      </c>
      <c r="BK28" s="111" t="str">
        <f t="shared" si="15"/>
        <v/>
      </c>
      <c r="BL28" s="111" t="str">
        <f t="shared" si="15"/>
        <v/>
      </c>
      <c r="BM28" s="111" t="str">
        <f t="shared" si="15"/>
        <v/>
      </c>
      <c r="BN28" s="111" t="str">
        <f t="shared" si="15"/>
        <v/>
      </c>
      <c r="BO28" s="111" t="str">
        <f t="shared" si="15"/>
        <v/>
      </c>
      <c r="BP28" s="111" t="str">
        <f t="shared" si="15"/>
        <v/>
      </c>
      <c r="BQ28" s="111" t="str">
        <f t="shared" si="15"/>
        <v/>
      </c>
      <c r="BR28" s="111" t="str">
        <f t="shared" si="15"/>
        <v/>
      </c>
      <c r="BS28" s="111" t="str">
        <f t="shared" si="15"/>
        <v/>
      </c>
      <c r="BT28" s="111" t="str">
        <f t="shared" si="15"/>
        <v/>
      </c>
      <c r="BU28" s="111" t="str">
        <f t="shared" si="15"/>
        <v/>
      </c>
      <c r="BV28" s="125"/>
    </row>
    <row r="29" spans="1:74" ht="14.25" customHeight="1">
      <c r="E29" s="14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182" t="s">
        <v>14</v>
      </c>
      <c r="W29" s="174"/>
      <c r="X29" s="130">
        <f t="array" ref="X29">_xlfn.STDEV.S(IF($E5:$E18=$S$28,X5:X18))</f>
        <v>103.60944294159034</v>
      </c>
      <c r="Y29" s="130">
        <f t="array" ref="Y29">_xlfn.STDEV.S(IF($E5:$E18=$S$28,Y5:Y18))</f>
        <v>91.396571781075764</v>
      </c>
      <c r="Z29" s="130">
        <f t="array" ref="Z29">_xlfn.STDEV.S(IF($E5:$E18=$S$28,Z5:Z18))</f>
        <v>78.040053818536023</v>
      </c>
      <c r="AA29" s="130">
        <f t="array" ref="AA29">_xlfn.STDEV.S(IF($E5:$E18=$S$28,AA5:AA18))</f>
        <v>62.487332049517576</v>
      </c>
      <c r="AB29" s="130">
        <f t="array" ref="AB29">_xlfn.STDEV.S(IF($E5:$E18=$S$28,AB5:AB18))</f>
        <v>50.901047795371234</v>
      </c>
      <c r="AC29" s="130">
        <f t="array" ref="AC29">_xlfn.STDEV.S(IF($E5:$E18=$S$28,AC5:AC18))</f>
        <v>42.264050918008323</v>
      </c>
      <c r="AD29" s="130">
        <f t="array" ref="AD29">_xlfn.STDEV.S(IF($E5:$E18=$S$28,AD5:AD18))</f>
        <v>35.659267145208318</v>
      </c>
      <c r="AE29" s="130">
        <f t="array" ref="AE29">_xlfn.STDEV.S(IF($E5:$E18=$S$28,AE5:AE18))</f>
        <v>0</v>
      </c>
      <c r="AF29" s="130">
        <f t="array" ref="AF29">_xlfn.STDEV.S(IF($E5:$E18=$S$28,AF5:AF18))</f>
        <v>0</v>
      </c>
      <c r="AG29" s="130">
        <f t="array" ref="AG29">_xlfn.STDEV.S(IF($E5:$E18=$S$28,AG5:AG18))</f>
        <v>0</v>
      </c>
      <c r="AH29" s="130">
        <f t="array" ref="AH29">_xlfn.STDEV.S(IF($E5:$E18=$S$28,AH5:AH18))</f>
        <v>0</v>
      </c>
      <c r="AI29" s="130">
        <f t="array" ref="AI29">_xlfn.STDEV.S(IF($E5:$E18=$S$28,AI5:AI18))</f>
        <v>0</v>
      </c>
      <c r="AJ29" s="130">
        <f t="array" ref="AJ29">_xlfn.STDEV.S(IF($E5:$E18=$S$28,AJ5:AJ18))</f>
        <v>0</v>
      </c>
      <c r="AK29" s="130">
        <f t="array" ref="AK29">_xlfn.STDEV.S(IF($E5:$E18=$S$28,AK5:AK18))</f>
        <v>0</v>
      </c>
      <c r="AL29" s="130">
        <f t="array" ref="AL29">_xlfn.STDEV.S(IF($E5:$E18=$S$28,AL5:AL18))</f>
        <v>0</v>
      </c>
      <c r="AM29" s="130">
        <f t="array" ref="AM29">_xlfn.STDEV.S(IF($E5:$E18=$S$28,AM5:AM18))</f>
        <v>0</v>
      </c>
      <c r="AN29" s="130">
        <f t="array" ref="AN29">_xlfn.STDEV.S(IF($E5:$E18=$S$28,AN5:AN18))</f>
        <v>0</v>
      </c>
      <c r="AO29" s="130">
        <f t="array" ref="AO29">_xlfn.STDEV.S(IF($E5:$E18=$S$28,AO5:AO18))</f>
        <v>0</v>
      </c>
      <c r="AP29" s="130">
        <f t="array" ref="AP29">_xlfn.STDEV.S(IF($E5:$E18=$S$28,AP5:AP18))</f>
        <v>0</v>
      </c>
      <c r="AQ29" s="130">
        <f t="array" ref="AQ29">_xlfn.STDEV.S(IF($E5:$E18=$S$28,AQ5:AQ18))</f>
        <v>0</v>
      </c>
      <c r="AR29" s="130">
        <f t="array" ref="AR29">_xlfn.STDEV.S(IF($E5:$E18=$S$28,AR5:AR18))</f>
        <v>0</v>
      </c>
      <c r="AS29" s="130">
        <f t="array" ref="AS29">_xlfn.STDEV.S(IF($E5:$E18=$S$28,AS5:AS18))</f>
        <v>0</v>
      </c>
      <c r="AT29" s="130">
        <f t="array" ref="AT29">_xlfn.STDEV.S(IF($E5:$E18=$S$28,AT5:AT18))</f>
        <v>0</v>
      </c>
      <c r="AU29" s="130">
        <f t="array" ref="AU29">_xlfn.STDEV.S(IF($E5:$E18=$S$28,AU5:AU18))</f>
        <v>0</v>
      </c>
      <c r="AV29" s="182" t="s">
        <v>14</v>
      </c>
      <c r="AW29" s="183">
        <f t="array" ref="AW29">IFERROR(_xlfn.STDEV.P(IF($E5:$E18=$I$28,AW5:AW18)),"")</f>
        <v>0</v>
      </c>
      <c r="AX29" s="129">
        <f t="array" ref="AX29">IFERROR(_xlfn.STDEV.P(IF($E5:$E18=$I$28,AX5:AX18)),"")</f>
        <v>6.739075520975428E-2</v>
      </c>
      <c r="AY29" s="129">
        <f t="array" ref="AY29">IFERROR(_xlfn.STDEV.P(IF($E5:$E18=$S$28,AY5:AY18)),"")</f>
        <v>6.2800099439939944E-2</v>
      </c>
      <c r="AZ29" s="129">
        <f t="array" ref="AZ29">IFERROR(_xlfn.STDEV.P(IF($E5:$E18=$S$28,AZ5:AZ18)),"")</f>
        <v>6.0970136676050384E-2</v>
      </c>
      <c r="BA29" s="129">
        <f t="array" ref="BA29">IFERROR(_xlfn.STDEV.P(IF($E5:$E18=$S$28,BA5:BA18)),"")</f>
        <v>5.1320139825824826E-2</v>
      </c>
      <c r="BB29" s="129">
        <f t="array" ref="BB29">IFERROR(_xlfn.STDEV.P(IF($E5:$E18=$S$28,BB5:BB18)),"")</f>
        <v>4.2313274080874035E-2</v>
      </c>
      <c r="BC29" s="129">
        <f t="array" ref="BC29">IFERROR(_xlfn.STDEV.P(IF($E5:$E18=$S$28,BC5:BC18)),"")</f>
        <v>3.7385403673924539E-2</v>
      </c>
      <c r="BD29" s="129">
        <f t="array" ref="BD29">IFERROR(_xlfn.STDEV.P(IF($E5:$E18=$S$28,BD5:BD18)),"")</f>
        <v>3.2530543320397259E-2</v>
      </c>
      <c r="BE29" s="129" t="str">
        <f t="array" ref="BE29">IFERROR(_xlfn.STDEV.P(IF($E5:$E18=$S$28,BE5:BE18)),"")</f>
        <v/>
      </c>
      <c r="BF29" s="129" t="str">
        <f t="array" ref="BF29">IFERROR(_xlfn.STDEV.P(IF($E5:$E18=$S$28,BF5:BF18)),"")</f>
        <v/>
      </c>
      <c r="BG29" s="129" t="str">
        <f t="array" ref="BG29">IFERROR(_xlfn.STDEV.P(IF($E5:$E18=$S$28,BG5:BG18)),"")</f>
        <v/>
      </c>
      <c r="BH29" s="129" t="str">
        <f t="array" ref="BH29">IFERROR(_xlfn.STDEV.P(IF($E5:$E18=$S$28,BH5:BH18)),"")</f>
        <v/>
      </c>
      <c r="BI29" s="129" t="str">
        <f t="array" ref="BI29">IFERROR(_xlfn.STDEV.P(IF($E5:$E18=$S$28,BI5:BI18)),"")</f>
        <v/>
      </c>
      <c r="BJ29" s="129" t="str">
        <f t="array" ref="BJ29">IFERROR(_xlfn.STDEV.P(IF($E5:$E18=$S$28,BJ5:BJ18)),"")</f>
        <v/>
      </c>
      <c r="BK29" s="129" t="str">
        <f t="array" ref="BK29">IFERROR(_xlfn.STDEV.P(IF($E5:$E18=$S$28,BK5:BK18)),"")</f>
        <v/>
      </c>
      <c r="BL29" s="129" t="str">
        <f t="array" ref="BL29">IFERROR(_xlfn.STDEV.P(IF($E5:$E18=$S$28,BL5:BL18)),"")</f>
        <v/>
      </c>
      <c r="BM29" s="129" t="str">
        <f t="array" ref="BM29">IFERROR(_xlfn.STDEV.P(IF($E5:$E18=$S$28,BM5:BM18)),"")</f>
        <v/>
      </c>
      <c r="BN29" s="129" t="str">
        <f t="array" ref="BN29">IFERROR(_xlfn.STDEV.P(IF($E5:$E18=$S$28,BN5:BN18)),"")</f>
        <v/>
      </c>
      <c r="BO29" s="129" t="str">
        <f t="array" ref="BO29">IFERROR(_xlfn.STDEV.P(IF($E5:$E18=$S$28,BO5:BO18)),"")</f>
        <v/>
      </c>
      <c r="BP29" s="129" t="str">
        <f t="array" ref="BP29">IFERROR(_xlfn.STDEV.P(IF($E5:$E18=$S$28,BP5:BP18)),"")</f>
        <v/>
      </c>
      <c r="BQ29" s="129" t="str">
        <f t="array" ref="BQ29">IFERROR(_xlfn.STDEV.P(IF($E5:$E18=$S$28,BQ5:BQ18)),"")</f>
        <v/>
      </c>
      <c r="BR29" s="129" t="str">
        <f t="array" ref="BR29">IFERROR(_xlfn.STDEV.P(IF($E5:$E18=$S$28,BR5:BR18)),"")</f>
        <v/>
      </c>
      <c r="BS29" s="129" t="str">
        <f t="array" ref="BS29">IFERROR(_xlfn.STDEV.P(IF($E5:$E18=$S$28,BS5:BS18)),"")</f>
        <v/>
      </c>
      <c r="BT29" s="129" t="str">
        <f t="array" ref="BT29">IFERROR(_xlfn.STDEV.P(IF($E5:$E18=$S$28,BT5:BT18)),"")</f>
        <v/>
      </c>
      <c r="BU29" s="184" t="str">
        <f t="array" ref="BU29">IFERROR(_xlfn.STDEV.P(IF($E5:$E18=$S$28,BU5:BU18)),"")</f>
        <v/>
      </c>
      <c r="BV29" s="346"/>
    </row>
    <row r="30" spans="1:74" ht="15.75" customHeight="1">
      <c r="E30" s="336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182" t="s">
        <v>27</v>
      </c>
      <c r="W30" s="174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82" t="s">
        <v>27</v>
      </c>
      <c r="AW30" s="183">
        <v>0</v>
      </c>
      <c r="AX30" s="129">
        <f t="shared" ref="AX30:BU30" si="16">IFERROR(AX28-AX20,"")</f>
        <v>-6.4919333077756769E-2</v>
      </c>
      <c r="AY30" s="129">
        <f t="shared" si="16"/>
        <v>-9.3891030665902764E-2</v>
      </c>
      <c r="AZ30" s="129">
        <f t="shared" si="16"/>
        <v>-0.1188633239570388</v>
      </c>
      <c r="BA30" s="129">
        <f t="shared" si="16"/>
        <v>-9.2484464849560521E-2</v>
      </c>
      <c r="BB30" s="129">
        <f t="shared" si="16"/>
        <v>-8.8376544499606968E-2</v>
      </c>
      <c r="BC30" s="129">
        <f t="shared" si="16"/>
        <v>-7.4746811353116727E-2</v>
      </c>
      <c r="BD30" s="129">
        <f t="shared" si="16"/>
        <v>-6.0517576730670097E-2</v>
      </c>
      <c r="BE30" s="129" t="str">
        <f t="shared" si="16"/>
        <v/>
      </c>
      <c r="BF30" s="129" t="str">
        <f t="shared" si="16"/>
        <v/>
      </c>
      <c r="BG30" s="129" t="str">
        <f t="shared" si="16"/>
        <v/>
      </c>
      <c r="BH30" s="129" t="str">
        <f t="shared" si="16"/>
        <v/>
      </c>
      <c r="BI30" s="129" t="str">
        <f t="shared" si="16"/>
        <v/>
      </c>
      <c r="BJ30" s="129" t="str">
        <f t="shared" si="16"/>
        <v/>
      </c>
      <c r="BK30" s="129" t="str">
        <f t="shared" si="16"/>
        <v/>
      </c>
      <c r="BL30" s="129" t="str">
        <f t="shared" si="16"/>
        <v/>
      </c>
      <c r="BM30" s="129" t="str">
        <f t="shared" si="16"/>
        <v/>
      </c>
      <c r="BN30" s="129" t="str">
        <f t="shared" si="16"/>
        <v/>
      </c>
      <c r="BO30" s="129" t="str">
        <f t="shared" si="16"/>
        <v/>
      </c>
      <c r="BP30" s="129" t="str">
        <f t="shared" si="16"/>
        <v/>
      </c>
      <c r="BQ30" s="129" t="str">
        <f t="shared" si="16"/>
        <v/>
      </c>
      <c r="BR30" s="129" t="str">
        <f t="shared" si="16"/>
        <v/>
      </c>
      <c r="BS30" s="129" t="str">
        <f t="shared" si="16"/>
        <v/>
      </c>
      <c r="BT30" s="129" t="str">
        <f t="shared" si="16"/>
        <v/>
      </c>
      <c r="BU30" s="184" t="str">
        <f t="shared" si="16"/>
        <v/>
      </c>
      <c r="BV30" s="125"/>
    </row>
    <row r="31" spans="1:74" ht="15.75" customHeight="1">
      <c r="E31" s="336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182"/>
      <c r="W31" s="126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82" t="s">
        <v>41</v>
      </c>
      <c r="AW31" s="206" t="e">
        <f t="shared" ref="AW31:BT31" si="17">LN(AW28)/(AW4-$AW$4)</f>
        <v>#DIV/0!</v>
      </c>
      <c r="AX31" s="206">
        <f t="shared" si="17"/>
        <v>-0.159840282992431</v>
      </c>
      <c r="AY31" s="206">
        <f t="shared" si="17"/>
        <v>-0.14560186270218273</v>
      </c>
      <c r="AZ31" s="206">
        <f t="shared" si="17"/>
        <v>-0.13239777368024766</v>
      </c>
      <c r="BA31" s="206">
        <f t="shared" si="17"/>
        <v>-0.11456765110949453</v>
      </c>
      <c r="BB31" s="206">
        <f t="shared" si="17"/>
        <v>-0.1106973020279154</v>
      </c>
      <c r="BC31" s="206">
        <f t="shared" si="17"/>
        <v>-0.10595919476786657</v>
      </c>
      <c r="BD31" s="206">
        <f t="shared" si="17"/>
        <v>-0.10203164825924448</v>
      </c>
      <c r="BE31" s="206" t="e">
        <f t="shared" si="17"/>
        <v>#VALUE!</v>
      </c>
      <c r="BF31" s="206" t="e">
        <f t="shared" si="17"/>
        <v>#VALUE!</v>
      </c>
      <c r="BG31" s="206" t="e">
        <f t="shared" si="17"/>
        <v>#VALUE!</v>
      </c>
      <c r="BH31" s="206" t="e">
        <f t="shared" si="17"/>
        <v>#VALUE!</v>
      </c>
      <c r="BI31" s="206" t="e">
        <f t="shared" si="17"/>
        <v>#VALUE!</v>
      </c>
      <c r="BJ31" s="206" t="e">
        <f t="shared" si="17"/>
        <v>#VALUE!</v>
      </c>
      <c r="BK31" s="206" t="e">
        <f t="shared" si="17"/>
        <v>#VALUE!</v>
      </c>
      <c r="BL31" s="206" t="e">
        <f t="shared" si="17"/>
        <v>#VALUE!</v>
      </c>
      <c r="BM31" s="206" t="e">
        <f t="shared" si="17"/>
        <v>#VALUE!</v>
      </c>
      <c r="BN31" s="206" t="e">
        <f t="shared" si="17"/>
        <v>#VALUE!</v>
      </c>
      <c r="BO31" s="206" t="e">
        <f t="shared" si="17"/>
        <v>#VALUE!</v>
      </c>
      <c r="BP31" s="206" t="e">
        <f t="shared" si="17"/>
        <v>#VALUE!</v>
      </c>
      <c r="BQ31" s="206" t="e">
        <f t="shared" si="17"/>
        <v>#VALUE!</v>
      </c>
      <c r="BR31" s="206" t="e">
        <f t="shared" si="17"/>
        <v>#VALUE!</v>
      </c>
      <c r="BS31" s="206" t="e">
        <f t="shared" si="17"/>
        <v>#VALUE!</v>
      </c>
      <c r="BT31" s="206" t="e">
        <f t="shared" si="17"/>
        <v>#VALUE!</v>
      </c>
      <c r="BU31" s="184"/>
      <c r="BV31" s="125"/>
    </row>
    <row r="32" spans="1:74" ht="15.75" customHeight="1">
      <c r="E32" s="336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182"/>
      <c r="W32" s="126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82" t="s">
        <v>40</v>
      </c>
      <c r="AW32" s="205" t="e">
        <f>-LN(2)/AW31</f>
        <v>#DIV/0!</v>
      </c>
      <c r="AX32" s="205">
        <f>-LN(2)/AX31</f>
        <v>4.3364987072299428</v>
      </c>
      <c r="AY32" s="205">
        <f t="shared" ref="AY32:BR32" si="18">-LN(2)/AY31</f>
        <v>4.7605653368441025</v>
      </c>
      <c r="AZ32" s="205">
        <f t="shared" si="18"/>
        <v>5.2353386412218459</v>
      </c>
      <c r="BA32" s="205">
        <f t="shared" si="18"/>
        <v>6.0501125217055476</v>
      </c>
      <c r="BB32" s="205">
        <f t="shared" si="18"/>
        <v>6.2616447543152312</v>
      </c>
      <c r="BC32" s="205">
        <f t="shared" si="18"/>
        <v>6.5416425830573672</v>
      </c>
      <c r="BD32" s="205">
        <f t="shared" si="18"/>
        <v>6.7934527412394647</v>
      </c>
      <c r="BE32" s="205" t="e">
        <f t="shared" si="18"/>
        <v>#VALUE!</v>
      </c>
      <c r="BF32" s="205" t="e">
        <f t="shared" si="18"/>
        <v>#VALUE!</v>
      </c>
      <c r="BG32" s="205" t="e">
        <f t="shared" si="18"/>
        <v>#VALUE!</v>
      </c>
      <c r="BH32" s="205" t="e">
        <f t="shared" si="18"/>
        <v>#VALUE!</v>
      </c>
      <c r="BI32" s="205" t="e">
        <f t="shared" si="18"/>
        <v>#VALUE!</v>
      </c>
      <c r="BJ32" s="205" t="e">
        <f t="shared" si="18"/>
        <v>#VALUE!</v>
      </c>
      <c r="BK32" s="205" t="e">
        <f t="shared" si="18"/>
        <v>#VALUE!</v>
      </c>
      <c r="BL32" s="205" t="e">
        <f t="shared" si="18"/>
        <v>#VALUE!</v>
      </c>
      <c r="BM32" s="205" t="e">
        <f t="shared" si="18"/>
        <v>#VALUE!</v>
      </c>
      <c r="BN32" s="205" t="e">
        <f t="shared" si="18"/>
        <v>#VALUE!</v>
      </c>
      <c r="BO32" s="205" t="e">
        <f t="shared" si="18"/>
        <v>#VALUE!</v>
      </c>
      <c r="BP32" s="205" t="e">
        <f t="shared" si="18"/>
        <v>#VALUE!</v>
      </c>
      <c r="BQ32" s="205" t="e">
        <f t="shared" si="18"/>
        <v>#VALUE!</v>
      </c>
      <c r="BR32" s="205" t="e">
        <f t="shared" si="18"/>
        <v>#VALUE!</v>
      </c>
      <c r="BS32" s="205" t="e">
        <f>-LN(2)/BS31</f>
        <v>#VALUE!</v>
      </c>
      <c r="BT32" s="205" t="e">
        <f>-LN(2)/BT31</f>
        <v>#VALUE!</v>
      </c>
      <c r="BU32" s="184"/>
      <c r="BV32" s="125"/>
    </row>
    <row r="33" spans="5:74" ht="15.75" customHeight="1">
      <c r="E33" s="336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182"/>
      <c r="W33" s="126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82" t="s">
        <v>42</v>
      </c>
      <c r="AW33" s="205"/>
      <c r="AX33" s="205">
        <f t="shared" ref="AX33:BT33" si="19">-LN(2)/(LN(AX29+AX28)/(AX4-$AW$4))-AX32</f>
        <v>3.9409080170442934</v>
      </c>
      <c r="AY33" s="205">
        <f t="shared" si="19"/>
        <v>1.8245556552042608</v>
      </c>
      <c r="AZ33" s="205">
        <f t="shared" si="19"/>
        <v>1.1965927063756334</v>
      </c>
      <c r="BA33" s="205">
        <f t="shared" si="19"/>
        <v>0.99607842219258469</v>
      </c>
      <c r="BB33" s="205">
        <f t="shared" si="19"/>
        <v>0.77607772194896452</v>
      </c>
      <c r="BC33" s="205">
        <f t="shared" si="19"/>
        <v>0.70007905374239954</v>
      </c>
      <c r="BD33" s="205">
        <f t="shared" si="19"/>
        <v>0.63700061812031716</v>
      </c>
      <c r="BE33" s="205" t="e">
        <f t="shared" si="19"/>
        <v>#VALUE!</v>
      </c>
      <c r="BF33" s="205" t="e">
        <f t="shared" si="19"/>
        <v>#VALUE!</v>
      </c>
      <c r="BG33" s="205" t="e">
        <f t="shared" si="19"/>
        <v>#VALUE!</v>
      </c>
      <c r="BH33" s="205" t="e">
        <f t="shared" si="19"/>
        <v>#VALUE!</v>
      </c>
      <c r="BI33" s="205" t="e">
        <f t="shared" si="19"/>
        <v>#VALUE!</v>
      </c>
      <c r="BJ33" s="205" t="e">
        <f t="shared" si="19"/>
        <v>#VALUE!</v>
      </c>
      <c r="BK33" s="205" t="e">
        <f t="shared" si="19"/>
        <v>#VALUE!</v>
      </c>
      <c r="BL33" s="205" t="e">
        <f t="shared" si="19"/>
        <v>#VALUE!</v>
      </c>
      <c r="BM33" s="205" t="e">
        <f t="shared" si="19"/>
        <v>#VALUE!</v>
      </c>
      <c r="BN33" s="205" t="e">
        <f t="shared" si="19"/>
        <v>#VALUE!</v>
      </c>
      <c r="BO33" s="205" t="e">
        <f t="shared" si="19"/>
        <v>#VALUE!</v>
      </c>
      <c r="BP33" s="205" t="e">
        <f t="shared" si="19"/>
        <v>#VALUE!</v>
      </c>
      <c r="BQ33" s="205" t="e">
        <f t="shared" si="19"/>
        <v>#VALUE!</v>
      </c>
      <c r="BR33" s="205" t="e">
        <f t="shared" si="19"/>
        <v>#VALUE!</v>
      </c>
      <c r="BS33" s="205" t="e">
        <f t="shared" si="19"/>
        <v>#VALUE!</v>
      </c>
      <c r="BT33" s="205" t="e">
        <f t="shared" si="19"/>
        <v>#VALUE!</v>
      </c>
      <c r="BU33" s="184"/>
      <c r="BV33" s="125"/>
    </row>
    <row r="34" spans="5:74" ht="14.25" customHeight="1">
      <c r="E34" s="345"/>
      <c r="F34" s="340"/>
      <c r="J34" s="342"/>
      <c r="K34" s="343"/>
      <c r="L34" s="343"/>
      <c r="M34" s="343"/>
      <c r="N34" s="342"/>
      <c r="O34" s="342"/>
      <c r="P34" s="342"/>
      <c r="Q34" s="342"/>
      <c r="R34" s="338"/>
      <c r="S34" s="338"/>
      <c r="T34" s="338"/>
      <c r="U34" s="338"/>
      <c r="V34" s="182" t="s">
        <v>33</v>
      </c>
      <c r="W34" s="174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82" t="s">
        <v>33</v>
      </c>
      <c r="AW34" s="183">
        <f>AW28*EXP((AW4-AW4)*-LN(2)/8.019)</f>
        <v>1</v>
      </c>
      <c r="AX34" s="129">
        <f t="shared" ref="AX34:BU34" si="20">AW28*EXP((AX4-AW4)*-LN(2)/8.019)</f>
        <v>0.91719231475164775</v>
      </c>
      <c r="AY34" s="129">
        <f t="shared" si="20"/>
        <v>0.78170457584889219</v>
      </c>
      <c r="AZ34" s="129">
        <f t="shared" si="20"/>
        <v>0.62871329340938242</v>
      </c>
      <c r="BA34" s="129">
        <f t="shared" si="20"/>
        <v>0.49536158474260078</v>
      </c>
      <c r="BB34" s="129">
        <f t="shared" si="20"/>
        <v>0.42304271633607216</v>
      </c>
      <c r="BC34" s="129">
        <f t="shared" si="20"/>
        <v>0.34699162653317589</v>
      </c>
      <c r="BD34" s="129">
        <f t="shared" si="20"/>
        <v>0.29157204186852348</v>
      </c>
      <c r="BE34" s="129" t="e">
        <f t="shared" si="20"/>
        <v>#NUM!</v>
      </c>
      <c r="BF34" s="129" t="e">
        <f t="shared" si="20"/>
        <v>#VALUE!</v>
      </c>
      <c r="BG34" s="129" t="e">
        <f t="shared" si="20"/>
        <v>#VALUE!</v>
      </c>
      <c r="BH34" s="129" t="e">
        <f t="shared" si="20"/>
        <v>#VALUE!</v>
      </c>
      <c r="BI34" s="129" t="e">
        <f t="shared" si="20"/>
        <v>#VALUE!</v>
      </c>
      <c r="BJ34" s="129" t="e">
        <f t="shared" si="20"/>
        <v>#VALUE!</v>
      </c>
      <c r="BK34" s="129" t="e">
        <f t="shared" si="20"/>
        <v>#VALUE!</v>
      </c>
      <c r="BL34" s="129" t="e">
        <f t="shared" si="20"/>
        <v>#VALUE!</v>
      </c>
      <c r="BM34" s="129" t="e">
        <f t="shared" si="20"/>
        <v>#VALUE!</v>
      </c>
      <c r="BN34" s="129" t="e">
        <f t="shared" si="20"/>
        <v>#VALUE!</v>
      </c>
      <c r="BO34" s="129" t="e">
        <f t="shared" si="20"/>
        <v>#VALUE!</v>
      </c>
      <c r="BP34" s="129" t="e">
        <f t="shared" si="20"/>
        <v>#VALUE!</v>
      </c>
      <c r="BQ34" s="129" t="e">
        <f t="shared" si="20"/>
        <v>#VALUE!</v>
      </c>
      <c r="BR34" s="129" t="e">
        <f t="shared" si="20"/>
        <v>#VALUE!</v>
      </c>
      <c r="BS34" s="129" t="e">
        <f t="shared" si="20"/>
        <v>#VALUE!</v>
      </c>
      <c r="BT34" s="129" t="e">
        <f t="shared" si="20"/>
        <v>#VALUE!</v>
      </c>
      <c r="BU34" s="184" t="e">
        <f t="shared" si="20"/>
        <v>#VALUE!</v>
      </c>
    </row>
    <row r="35" spans="5:74" ht="14.25" customHeight="1">
      <c r="E35" s="148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82" t="s">
        <v>34</v>
      </c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82" t="s">
        <v>34</v>
      </c>
      <c r="AW35" s="172">
        <f>AW28-AW34</f>
        <v>0</v>
      </c>
      <c r="AX35" s="112">
        <f t="shared" ref="AX35:BJ35" si="21">AX28-AW28*EXP((AX4-AW4)*-LN(2)/8.0197)</f>
        <v>-6.4919333077756769E-2</v>
      </c>
      <c r="AY35" s="112">
        <f t="shared" si="21"/>
        <v>-3.4347068045242568E-2</v>
      </c>
      <c r="AZ35" s="112">
        <f t="shared" si="21"/>
        <v>-3.9877077884171608E-2</v>
      </c>
      <c r="BA35" s="112">
        <f t="shared" si="21"/>
        <v>7.5098337381014346E-3</v>
      </c>
      <c r="BB35" s="112">
        <f t="shared" si="21"/>
        <v>-1.0573578159631669E-2</v>
      </c>
      <c r="BC35" s="112">
        <f t="shared" si="21"/>
        <v>-3.9965123134927394E-4</v>
      </c>
      <c r="BD35" s="112">
        <f t="shared" si="21"/>
        <v>2.3635099165503215E-3</v>
      </c>
      <c r="BE35" s="112" t="e">
        <f t="shared" si="21"/>
        <v>#VALUE!</v>
      </c>
      <c r="BF35" s="112" t="e">
        <f t="shared" si="21"/>
        <v>#VALUE!</v>
      </c>
      <c r="BG35" s="112" t="e">
        <f t="shared" si="21"/>
        <v>#VALUE!</v>
      </c>
      <c r="BH35" s="112" t="e">
        <f t="shared" si="21"/>
        <v>#VALUE!</v>
      </c>
      <c r="BI35" s="112" t="e">
        <f t="shared" si="21"/>
        <v>#VALUE!</v>
      </c>
      <c r="BJ35" s="112" t="e">
        <f t="shared" si="21"/>
        <v>#VALUE!</v>
      </c>
      <c r="BK35" s="112" t="e">
        <f t="shared" ref="BK35:BU35" si="22">BK28-BK34</f>
        <v>#VALUE!</v>
      </c>
      <c r="BL35" s="112" t="e">
        <f t="shared" si="22"/>
        <v>#VALUE!</v>
      </c>
      <c r="BM35" s="112" t="e">
        <f t="shared" si="22"/>
        <v>#VALUE!</v>
      </c>
      <c r="BN35" s="112" t="e">
        <f t="shared" si="22"/>
        <v>#VALUE!</v>
      </c>
      <c r="BO35" s="112" t="e">
        <f t="shared" si="22"/>
        <v>#VALUE!</v>
      </c>
      <c r="BP35" s="112" t="e">
        <f t="shared" si="22"/>
        <v>#VALUE!</v>
      </c>
      <c r="BQ35" s="112" t="e">
        <f t="shared" si="22"/>
        <v>#VALUE!</v>
      </c>
      <c r="BR35" s="112" t="e">
        <f t="shared" si="22"/>
        <v>#VALUE!</v>
      </c>
      <c r="BS35" s="112" t="e">
        <f t="shared" si="22"/>
        <v>#VALUE!</v>
      </c>
      <c r="BT35" s="112" t="e">
        <f t="shared" si="22"/>
        <v>#VALUE!</v>
      </c>
      <c r="BU35" s="173" t="e">
        <f t="shared" si="22"/>
        <v>#VALUE!</v>
      </c>
      <c r="BV35" s="346"/>
    </row>
    <row r="36" spans="5:74" ht="15">
      <c r="E36" s="148"/>
      <c r="S36" s="12"/>
      <c r="T36" s="12"/>
      <c r="U36" s="12"/>
      <c r="V36" s="347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2"/>
    </row>
    <row r="37" spans="5:74" ht="15.75" customHeight="1">
      <c r="E37" s="336" t="s">
        <v>50</v>
      </c>
      <c r="I37" s="336" t="s">
        <v>50</v>
      </c>
      <c r="S37" s="338" t="s">
        <v>50</v>
      </c>
      <c r="T37" s="338"/>
      <c r="U37" s="338"/>
      <c r="V37" s="182" t="s">
        <v>12</v>
      </c>
      <c r="W37" s="175"/>
      <c r="X37" s="176">
        <f t="shared" ref="X37:AU37" si="23">AVERAGEIF($E5:$E18,$I37,X5:X18)</f>
        <v>143.33333333333334</v>
      </c>
      <c r="Y37" s="176">
        <f t="shared" si="23"/>
        <v>122.33333333333333</v>
      </c>
      <c r="Z37" s="176">
        <f t="shared" si="23"/>
        <v>96.333333333333329</v>
      </c>
      <c r="AA37" s="176">
        <f t="shared" si="23"/>
        <v>87.5</v>
      </c>
      <c r="AB37" s="176">
        <f t="shared" si="23"/>
        <v>70</v>
      </c>
      <c r="AC37" s="176">
        <f t="shared" si="23"/>
        <v>59</v>
      </c>
      <c r="AD37" s="176">
        <f t="shared" si="23"/>
        <v>48.5</v>
      </c>
      <c r="AE37" s="176" t="e">
        <f t="shared" si="23"/>
        <v>#DIV/0!</v>
      </c>
      <c r="AF37" s="176" t="e">
        <f t="shared" si="23"/>
        <v>#DIV/0!</v>
      </c>
      <c r="AG37" s="176" t="e">
        <f t="shared" si="23"/>
        <v>#DIV/0!</v>
      </c>
      <c r="AH37" s="176" t="e">
        <f t="shared" si="23"/>
        <v>#DIV/0!</v>
      </c>
      <c r="AI37" s="176" t="e">
        <f t="shared" si="23"/>
        <v>#DIV/0!</v>
      </c>
      <c r="AJ37" s="176" t="e">
        <f t="shared" si="23"/>
        <v>#DIV/0!</v>
      </c>
      <c r="AK37" s="176" t="e">
        <f t="shared" si="23"/>
        <v>#DIV/0!</v>
      </c>
      <c r="AL37" s="176" t="e">
        <f t="shared" si="23"/>
        <v>#DIV/0!</v>
      </c>
      <c r="AM37" s="176" t="e">
        <f t="shared" si="23"/>
        <v>#DIV/0!</v>
      </c>
      <c r="AN37" s="176" t="e">
        <f t="shared" si="23"/>
        <v>#DIV/0!</v>
      </c>
      <c r="AO37" s="176" t="e">
        <f t="shared" si="23"/>
        <v>#DIV/0!</v>
      </c>
      <c r="AP37" s="176" t="e">
        <f t="shared" si="23"/>
        <v>#DIV/0!</v>
      </c>
      <c r="AQ37" s="176" t="e">
        <f t="shared" si="23"/>
        <v>#DIV/0!</v>
      </c>
      <c r="AR37" s="176" t="e">
        <f t="shared" si="23"/>
        <v>#DIV/0!</v>
      </c>
      <c r="AS37" s="176" t="e">
        <f t="shared" si="23"/>
        <v>#DIV/0!</v>
      </c>
      <c r="AT37" s="176" t="e">
        <f t="shared" si="23"/>
        <v>#DIV/0!</v>
      </c>
      <c r="AU37" s="176" t="e">
        <f t="shared" si="23"/>
        <v>#DIV/0!</v>
      </c>
      <c r="AV37" s="182" t="s">
        <v>12</v>
      </c>
      <c r="AW37" s="170">
        <f t="shared" ref="AW37:BU37" si="24">IFERROR(AVERAGEIF($E5:$E18,$I37,AW5:AW18),"")</f>
        <v>1</v>
      </c>
      <c r="AX37" s="111">
        <f t="shared" si="24"/>
        <v>0.49841232614829184</v>
      </c>
      <c r="AY37" s="111">
        <f t="shared" si="24"/>
        <v>0.42254297877179142</v>
      </c>
      <c r="AZ37" s="111">
        <f t="shared" si="24"/>
        <v>0.32961395504196606</v>
      </c>
      <c r="BA37" s="111">
        <f t="shared" si="24"/>
        <v>0.30419695968274951</v>
      </c>
      <c r="BB37" s="111">
        <f t="shared" si="24"/>
        <v>0.24201916721744876</v>
      </c>
      <c r="BC37" s="111">
        <f t="shared" si="24"/>
        <v>0.20297422339722404</v>
      </c>
      <c r="BD37" s="111">
        <f t="shared" si="24"/>
        <v>0.16539986781229346</v>
      </c>
      <c r="BE37" s="111" t="str">
        <f t="shared" si="24"/>
        <v/>
      </c>
      <c r="BF37" s="111" t="str">
        <f t="shared" si="24"/>
        <v/>
      </c>
      <c r="BG37" s="111" t="str">
        <f t="shared" si="24"/>
        <v/>
      </c>
      <c r="BH37" s="111" t="str">
        <f t="shared" si="24"/>
        <v/>
      </c>
      <c r="BI37" s="111" t="str">
        <f t="shared" si="24"/>
        <v/>
      </c>
      <c r="BJ37" s="111" t="str">
        <f t="shared" si="24"/>
        <v/>
      </c>
      <c r="BK37" s="111" t="str">
        <f t="shared" si="24"/>
        <v/>
      </c>
      <c r="BL37" s="111" t="str">
        <f t="shared" si="24"/>
        <v/>
      </c>
      <c r="BM37" s="111" t="str">
        <f t="shared" si="24"/>
        <v/>
      </c>
      <c r="BN37" s="111" t="str">
        <f t="shared" si="24"/>
        <v/>
      </c>
      <c r="BO37" s="111" t="str">
        <f t="shared" si="24"/>
        <v/>
      </c>
      <c r="BP37" s="111" t="str">
        <f t="shared" si="24"/>
        <v/>
      </c>
      <c r="BQ37" s="111" t="str">
        <f t="shared" si="24"/>
        <v/>
      </c>
      <c r="BR37" s="111" t="str">
        <f t="shared" si="24"/>
        <v/>
      </c>
      <c r="BS37" s="111" t="str">
        <f t="shared" si="24"/>
        <v/>
      </c>
      <c r="BT37" s="111" t="str">
        <f t="shared" si="24"/>
        <v/>
      </c>
      <c r="BU37" s="171" t="str">
        <f t="shared" si="24"/>
        <v/>
      </c>
      <c r="BV37" s="125"/>
    </row>
    <row r="38" spans="5:74" ht="14.25" customHeight="1">
      <c r="I38" s="338"/>
      <c r="V38" s="182" t="s">
        <v>14</v>
      </c>
      <c r="W38" s="177"/>
      <c r="X38" s="178">
        <f t="array" ref="X38">_xlfn.STDEV.S(IF($E5:$E18=$I$37,X5:X18))</f>
        <v>101.34265308019785</v>
      </c>
      <c r="Y38" s="178">
        <f t="array" ref="Y38">_xlfn.STDEV.S(IF($E5:$E18=$I$37,Y5:Y18))</f>
        <v>88.386933423442173</v>
      </c>
      <c r="Z38" s="178">
        <f t="array" ref="Z38">_xlfn.STDEV.S(IF($E5:$E18=$I$37,Z5:Z18))</f>
        <v>72.509194819231951</v>
      </c>
      <c r="AA38" s="178">
        <f t="array" ref="AA38">_xlfn.STDEV.S(IF($E5:$E18=$I$37,AA5:AA18))</f>
        <v>66.253930701003185</v>
      </c>
      <c r="AB38" s="178">
        <f t="array" ref="AB38">_xlfn.STDEV.S(IF($E5:$E18=$I$37,AB5:AB18))</f>
        <v>53.535035257296691</v>
      </c>
      <c r="AC38" s="178">
        <f t="array" ref="AC38">_xlfn.STDEV.S(IF($E5:$E18=$I$37,AC5:AC18))</f>
        <v>45.53020975132884</v>
      </c>
      <c r="AD38" s="178">
        <f t="array" ref="AD38">_xlfn.STDEV.S(IF($E5:$E18=$I$37,AD5:AD18))</f>
        <v>38.020827625570348</v>
      </c>
      <c r="AE38" s="178">
        <f t="array" ref="AE38">_xlfn.STDEV.S(IF($E5:$E18=$I$37,AE5:AE18))</f>
        <v>0</v>
      </c>
      <c r="AF38" s="178">
        <f t="array" ref="AF38">_xlfn.STDEV.S(IF($E5:$E18=$I$37,AF5:AF18))</f>
        <v>0</v>
      </c>
      <c r="AG38" s="178">
        <f t="array" ref="AG38">_xlfn.STDEV.S(IF($E5:$E18=$I$37,AG5:AG18))</f>
        <v>0</v>
      </c>
      <c r="AH38" s="178">
        <f t="array" ref="AH38">_xlfn.STDEV.S(IF($E5:$E18=$I$37,AH5:AH18))</f>
        <v>0</v>
      </c>
      <c r="AI38" s="178">
        <f t="array" ref="AI38">_xlfn.STDEV.S(IF($E5:$E18=$I$37,AI5:AI18))</f>
        <v>0</v>
      </c>
      <c r="AJ38" s="178">
        <f t="array" ref="AJ38">_xlfn.STDEV.S(IF($E5:$E18=$I$37,AJ5:AJ18))</f>
        <v>0</v>
      </c>
      <c r="AK38" s="178">
        <f t="array" ref="AK38">_xlfn.STDEV.S(IF($E5:$E18=$I$37,AK5:AK18))</f>
        <v>0</v>
      </c>
      <c r="AL38" s="178">
        <f t="array" ref="AL38">_xlfn.STDEV.S(IF($E5:$E18=$I$37,AL5:AL18))</f>
        <v>0</v>
      </c>
      <c r="AM38" s="178">
        <f t="array" ref="AM38">_xlfn.STDEV.S(IF($E5:$E18=$I$37,AM5:AM18))</f>
        <v>0</v>
      </c>
      <c r="AN38" s="178">
        <f t="array" ref="AN38">_xlfn.STDEV.S(IF($E5:$E18=$I$37,AN5:AN18))</f>
        <v>0</v>
      </c>
      <c r="AO38" s="178">
        <f t="array" ref="AO38">_xlfn.STDEV.S(IF($E5:$E18=$I$37,AO5:AO18))</f>
        <v>0</v>
      </c>
      <c r="AP38" s="178">
        <f t="array" ref="AP38">_xlfn.STDEV.S(IF($E5:$E18=$I$37,AP5:AP18))</f>
        <v>0</v>
      </c>
      <c r="AQ38" s="178">
        <f t="array" ref="AQ38">_xlfn.STDEV.S(IF($E5:$E18=$I$37,AQ5:AQ18))</f>
        <v>0</v>
      </c>
      <c r="AR38" s="178">
        <f t="array" ref="AR38">_xlfn.STDEV.S(IF($E5:$E18=$I$37,AR5:AR18))</f>
        <v>0</v>
      </c>
      <c r="AS38" s="178">
        <f t="array" ref="AS38">_xlfn.STDEV.S(IF($E5:$E18=$I$37,AS5:AS18))</f>
        <v>0</v>
      </c>
      <c r="AT38" s="178">
        <f t="array" ref="AT38">_xlfn.STDEV.S(IF($E5:$E18=$I$37,AT5:AT18))</f>
        <v>0</v>
      </c>
      <c r="AU38" s="178">
        <f t="array" ref="AU38">_xlfn.STDEV.S(IF($E5:$E18=$I$37,AU5:AU18))</f>
        <v>0</v>
      </c>
      <c r="AV38" s="182" t="s">
        <v>14</v>
      </c>
      <c r="AW38" s="183">
        <f t="array" ref="AW38">IFERROR(_xlfn.STDEV.P(IF($E5:$E18=$I$37,AW5:AW18)),"")</f>
        <v>0</v>
      </c>
      <c r="AX38" s="129">
        <f t="array" ref="AX38">IFERROR(_xlfn.STDEV.P(IF($E5:$E18=$I$37,AX5:AX18)),"")</f>
        <v>0.15212965988600152</v>
      </c>
      <c r="AY38" s="129">
        <f t="array" ref="AY38">IFERROR(_xlfn.STDEV.P(IF($E5:$E18=$I$37,AY5:AY18)),"")</f>
        <v>0.13831200078984057</v>
      </c>
      <c r="AZ38" s="129">
        <f t="array" ref="AZ38">IFERROR(_xlfn.STDEV.P(IF($E5:$E18=$I$37,AZ5:AZ18)),"")</f>
        <v>0.12260975361406376</v>
      </c>
      <c r="BA38" s="129">
        <f t="array" ref="BA38">IFERROR(_xlfn.STDEV.P(IF($E5:$E18=$I$37,BA5:BA18)),"")</f>
        <v>0.1075677461996034</v>
      </c>
      <c r="BB38" s="129">
        <f t="array" ref="BB38">IFERROR(_xlfn.STDEV.P(IF($E5:$E18=$I$37,BB5:BB18)),"")</f>
        <v>9.0333773959021868E-2</v>
      </c>
      <c r="BC38" s="129">
        <f t="array" ref="BC38">IFERROR(_xlfn.STDEV.P(IF($E5:$E18=$I$37,BC5:BC18)),"")</f>
        <v>7.9378717779246558E-2</v>
      </c>
      <c r="BD38" s="129">
        <f t="array" ref="BD38">IFERROR(_xlfn.STDEV.P(IF($E5:$E18=$I$37,BD5:BD18)),"")</f>
        <v>6.9894249834765373E-2</v>
      </c>
      <c r="BE38" s="129" t="str">
        <f t="array" ref="BE38">IFERROR(_xlfn.STDEV.P(IF($E5:$E18=$I$37,BE5:BE18)),"")</f>
        <v/>
      </c>
      <c r="BF38" s="129" t="str">
        <f t="array" ref="BF38">IFERROR(_xlfn.STDEV.P(IF($E5:$E18=$I$37,BF5:BF18)),"")</f>
        <v/>
      </c>
      <c r="BG38" s="129" t="str">
        <f t="array" ref="BG38">IFERROR(_xlfn.STDEV.P(IF($E5:$E18=$I$37,BG5:BG18)),"")</f>
        <v/>
      </c>
      <c r="BH38" s="129" t="str">
        <f t="array" ref="BH38">IFERROR(_xlfn.STDEV.P(IF($E5:$E18=$I$37,BH5:BH18)),"")</f>
        <v/>
      </c>
      <c r="BI38" s="129" t="str">
        <f t="array" ref="BI38">IFERROR(_xlfn.STDEV.P(IF($E5:$E18=$I$37,BI5:BI18)),"")</f>
        <v/>
      </c>
      <c r="BJ38" s="129" t="str">
        <f t="array" ref="BJ38">IFERROR(_xlfn.STDEV.P(IF($E5:$E18=$I$37,BJ5:BJ18)),"")</f>
        <v/>
      </c>
      <c r="BK38" s="129" t="str">
        <f t="array" ref="BK38">IFERROR(_xlfn.STDEV.P(IF($E5:$E18=$I$37,BK5:BK18)),"")</f>
        <v/>
      </c>
      <c r="BL38" s="129" t="str">
        <f t="array" ref="BL38">IFERROR(_xlfn.STDEV.P(IF($E5:$E18=$I$37,BL5:BL18)),"")</f>
        <v/>
      </c>
      <c r="BM38" s="129" t="str">
        <f t="array" ref="BM38">IFERROR(_xlfn.STDEV.P(IF($E5:$E18=$I$37,BM5:BM18)),"")</f>
        <v/>
      </c>
      <c r="BN38" s="129" t="str">
        <f t="array" ref="BN38">IFERROR(_xlfn.STDEV.P(IF($E5:$E18=$I$37,BN5:BN18)),"")</f>
        <v/>
      </c>
      <c r="BO38" s="129" t="str">
        <f t="array" ref="BO38">IFERROR(_xlfn.STDEV.P(IF($E5:$E18=$I$37,BO5:BO18)),"")</f>
        <v/>
      </c>
      <c r="BP38" s="129" t="str">
        <f t="array" ref="BP38">IFERROR(_xlfn.STDEV.P(IF($E5:$E18=$I$37,BP5:BP18)),"")</f>
        <v/>
      </c>
      <c r="BQ38" s="129" t="str">
        <f t="array" ref="BQ38">IFERROR(_xlfn.STDEV.P(IF($E5:$E18=$I$37,BQ5:BQ18)),"")</f>
        <v/>
      </c>
      <c r="BR38" s="129" t="str">
        <f t="array" ref="BR38">IFERROR(_xlfn.STDEV.P(IF($E5:$E18=$I$37,BR5:BR18)),"")</f>
        <v/>
      </c>
      <c r="BS38" s="129" t="str">
        <f t="array" ref="BS38">IFERROR(_xlfn.STDEV.P(IF($E5:$E18=$I$37,BS5:BS18)),"")</f>
        <v/>
      </c>
      <c r="BT38" s="129" t="str">
        <f t="array" ref="BT38">IFERROR(_xlfn.STDEV.P(IF($E5:$E18=$I$37,BT5:BT18)),"")</f>
        <v/>
      </c>
      <c r="BU38" s="184" t="str">
        <f t="array" ref="BU38">IFERROR(_xlfn.STDEV.P(IF($E5:$E18=$I$37,BU5:BU18)),"")</f>
        <v/>
      </c>
      <c r="BV38" s="346"/>
    </row>
    <row r="39" spans="5:74" ht="14.25">
      <c r="V39" s="182" t="s">
        <v>27</v>
      </c>
      <c r="W39" s="179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2" t="s">
        <v>27</v>
      </c>
      <c r="AW39" s="185">
        <f t="shared" ref="AW39:BU39" si="25">IFERROR(AW37-AW20,"")</f>
        <v>0</v>
      </c>
      <c r="AX39" s="186">
        <f t="shared" si="25"/>
        <v>-0.41878690862113771</v>
      </c>
      <c r="AY39" s="186">
        <f t="shared" si="25"/>
        <v>-0.41871145748983568</v>
      </c>
      <c r="AZ39" s="186">
        <f t="shared" si="25"/>
        <v>-0.37809507148790195</v>
      </c>
      <c r="BA39" s="186">
        <f t="shared" si="25"/>
        <v>-0.2911663984678996</v>
      </c>
      <c r="BB39" s="186">
        <f t="shared" si="25"/>
        <v>-0.25883289901440476</v>
      </c>
      <c r="BC39" s="186">
        <f t="shared" si="25"/>
        <v>-0.21836979923112498</v>
      </c>
      <c r="BD39" s="186">
        <f t="shared" si="25"/>
        <v>-0.18905766041612457</v>
      </c>
      <c r="BE39" s="186" t="str">
        <f t="shared" si="25"/>
        <v/>
      </c>
      <c r="BF39" s="186" t="str">
        <f t="shared" si="25"/>
        <v/>
      </c>
      <c r="BG39" s="186" t="str">
        <f t="shared" si="25"/>
        <v/>
      </c>
      <c r="BH39" s="186" t="str">
        <f t="shared" si="25"/>
        <v/>
      </c>
      <c r="BI39" s="186" t="str">
        <f t="shared" si="25"/>
        <v/>
      </c>
      <c r="BJ39" s="186" t="str">
        <f t="shared" si="25"/>
        <v/>
      </c>
      <c r="BK39" s="186" t="str">
        <f t="shared" si="25"/>
        <v/>
      </c>
      <c r="BL39" s="186" t="str">
        <f t="shared" si="25"/>
        <v/>
      </c>
      <c r="BM39" s="186" t="str">
        <f t="shared" si="25"/>
        <v/>
      </c>
      <c r="BN39" s="186" t="str">
        <f t="shared" si="25"/>
        <v/>
      </c>
      <c r="BO39" s="186" t="str">
        <f t="shared" si="25"/>
        <v/>
      </c>
      <c r="BP39" s="186" t="str">
        <f t="shared" si="25"/>
        <v/>
      </c>
      <c r="BQ39" s="186" t="str">
        <f t="shared" si="25"/>
        <v/>
      </c>
      <c r="BR39" s="186" t="str">
        <f t="shared" si="25"/>
        <v/>
      </c>
      <c r="BS39" s="186" t="str">
        <f t="shared" si="25"/>
        <v/>
      </c>
      <c r="BT39" s="186" t="str">
        <f t="shared" si="25"/>
        <v/>
      </c>
      <c r="BU39" s="184" t="str">
        <f t="shared" si="25"/>
        <v/>
      </c>
    </row>
    <row r="40" spans="5:74" ht="14.25">
      <c r="V40" s="182" t="s">
        <v>32</v>
      </c>
      <c r="AV40" s="182" t="s">
        <v>41</v>
      </c>
      <c r="AW40" s="206" t="e">
        <f t="shared" ref="AW40:BU40" si="26">LN(AW37)/(AW4-$AW$4)</f>
        <v>#DIV/0!</v>
      </c>
      <c r="AX40" s="206">
        <f t="shared" si="26"/>
        <v>-0.69632758037752795</v>
      </c>
      <c r="AY40" s="206">
        <f t="shared" si="26"/>
        <v>-0.43073205622744365</v>
      </c>
      <c r="AZ40" s="206">
        <f t="shared" si="26"/>
        <v>-0.27745828562918778</v>
      </c>
      <c r="BA40" s="206">
        <f t="shared" si="26"/>
        <v>-0.19834664894586143</v>
      </c>
      <c r="BB40" s="206">
        <f t="shared" si="26"/>
        <v>-0.17734229407299815</v>
      </c>
      <c r="BC40" s="206">
        <f t="shared" si="26"/>
        <v>-0.15946762863415792</v>
      </c>
      <c r="BD40" s="206">
        <f t="shared" si="26"/>
        <v>-0.14994910796608549</v>
      </c>
      <c r="BE40" s="206" t="e">
        <f t="shared" si="26"/>
        <v>#VALUE!</v>
      </c>
      <c r="BF40" s="206" t="e">
        <f t="shared" si="26"/>
        <v>#VALUE!</v>
      </c>
      <c r="BG40" s="206" t="e">
        <f t="shared" si="26"/>
        <v>#VALUE!</v>
      </c>
      <c r="BH40" s="206" t="e">
        <f t="shared" si="26"/>
        <v>#VALUE!</v>
      </c>
      <c r="BI40" s="206" t="e">
        <f t="shared" si="26"/>
        <v>#VALUE!</v>
      </c>
      <c r="BJ40" s="206" t="e">
        <f t="shared" si="26"/>
        <v>#VALUE!</v>
      </c>
      <c r="BK40" s="206" t="e">
        <f t="shared" si="26"/>
        <v>#VALUE!</v>
      </c>
      <c r="BL40" s="206" t="e">
        <f t="shared" si="26"/>
        <v>#VALUE!</v>
      </c>
      <c r="BM40" s="206" t="e">
        <f t="shared" si="26"/>
        <v>#VALUE!</v>
      </c>
      <c r="BN40" s="206" t="e">
        <f t="shared" si="26"/>
        <v>#VALUE!</v>
      </c>
      <c r="BO40" s="206" t="e">
        <f t="shared" si="26"/>
        <v>#VALUE!</v>
      </c>
      <c r="BP40" s="206" t="e">
        <f t="shared" si="26"/>
        <v>#VALUE!</v>
      </c>
      <c r="BQ40" s="206" t="e">
        <f t="shared" si="26"/>
        <v>#VALUE!</v>
      </c>
      <c r="BR40" s="206" t="e">
        <f t="shared" si="26"/>
        <v>#VALUE!</v>
      </c>
      <c r="BS40" s="206" t="e">
        <f t="shared" si="26"/>
        <v>#VALUE!</v>
      </c>
      <c r="BT40" s="206" t="e">
        <f t="shared" si="26"/>
        <v>#VALUE!</v>
      </c>
      <c r="BU40" s="207" t="e">
        <f t="shared" si="26"/>
        <v>#VALUE!</v>
      </c>
    </row>
    <row r="41" spans="5:74" ht="17.25">
      <c r="V41" s="182"/>
      <c r="AV41" s="182" t="s">
        <v>40</v>
      </c>
      <c r="AW41" s="205" t="e">
        <f>-LN(2)/AW40</f>
        <v>#DIV/0!</v>
      </c>
      <c r="AX41" s="205">
        <f>-LN(2)/AX40</f>
        <v>0.99543260972679215</v>
      </c>
      <c r="AY41" s="205">
        <f t="shared" ref="AY41:BU41" si="27">-LN(2)/AY40</f>
        <v>1.6092305426042774</v>
      </c>
      <c r="AZ41" s="205">
        <f t="shared" si="27"/>
        <v>2.4982032127391918</v>
      </c>
      <c r="BA41" s="205">
        <f t="shared" si="27"/>
        <v>3.4946251133748132</v>
      </c>
      <c r="BB41" s="205">
        <f t="shared" si="27"/>
        <v>3.9085272026233633</v>
      </c>
      <c r="BC41" s="205">
        <f t="shared" si="27"/>
        <v>4.3466325203225189</v>
      </c>
      <c r="BD41" s="205">
        <f t="shared" si="27"/>
        <v>4.6225495433871924</v>
      </c>
      <c r="BE41" s="205" t="e">
        <f t="shared" si="27"/>
        <v>#VALUE!</v>
      </c>
      <c r="BF41" s="205" t="e">
        <f t="shared" si="27"/>
        <v>#VALUE!</v>
      </c>
      <c r="BG41" s="205" t="e">
        <f t="shared" si="27"/>
        <v>#VALUE!</v>
      </c>
      <c r="BH41" s="205" t="e">
        <f t="shared" si="27"/>
        <v>#VALUE!</v>
      </c>
      <c r="BI41" s="205" t="e">
        <f t="shared" si="27"/>
        <v>#VALUE!</v>
      </c>
      <c r="BJ41" s="205" t="e">
        <f t="shared" si="27"/>
        <v>#VALUE!</v>
      </c>
      <c r="BK41" s="205" t="e">
        <f t="shared" si="27"/>
        <v>#VALUE!</v>
      </c>
      <c r="BL41" s="205" t="e">
        <f t="shared" si="27"/>
        <v>#VALUE!</v>
      </c>
      <c r="BM41" s="205" t="e">
        <f t="shared" si="27"/>
        <v>#VALUE!</v>
      </c>
      <c r="BN41" s="205" t="e">
        <f t="shared" si="27"/>
        <v>#VALUE!</v>
      </c>
      <c r="BO41" s="205" t="e">
        <f t="shared" si="27"/>
        <v>#VALUE!</v>
      </c>
      <c r="BP41" s="205" t="e">
        <f t="shared" si="27"/>
        <v>#VALUE!</v>
      </c>
      <c r="BQ41" s="205" t="e">
        <f t="shared" si="27"/>
        <v>#VALUE!</v>
      </c>
      <c r="BR41" s="205" t="e">
        <f t="shared" si="27"/>
        <v>#VALUE!</v>
      </c>
      <c r="BS41" s="205" t="e">
        <f t="shared" si="27"/>
        <v>#VALUE!</v>
      </c>
      <c r="BT41" s="205" t="e">
        <f t="shared" si="27"/>
        <v>#VALUE!</v>
      </c>
      <c r="BU41" s="208" t="e">
        <f t="shared" si="27"/>
        <v>#VALUE!</v>
      </c>
    </row>
    <row r="42" spans="5:74" ht="17.25">
      <c r="V42" s="182" t="s">
        <v>35</v>
      </c>
      <c r="AV42" s="182" t="s">
        <v>42</v>
      </c>
      <c r="AW42" s="187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90"/>
    </row>
    <row r="43" spans="5:74" ht="14.25">
      <c r="V43" s="182" t="s">
        <v>33</v>
      </c>
      <c r="AV43" s="182" t="s">
        <v>33</v>
      </c>
      <c r="AW43" s="187">
        <f>AW37</f>
        <v>1</v>
      </c>
      <c r="AX43" s="186">
        <f t="shared" ref="AX43:BU43" si="28">AW37*EXP((AX4-AW4)*-LN(2)/8.0197)</f>
        <v>0.91719923476942955</v>
      </c>
      <c r="AY43" s="186">
        <f t="shared" si="28"/>
        <v>0.45714340414286464</v>
      </c>
      <c r="AZ43" s="186">
        <f t="shared" si="28"/>
        <v>0.35546615540297205</v>
      </c>
      <c r="BA43" s="186">
        <f t="shared" si="28"/>
        <v>0.27728920193279444</v>
      </c>
      <c r="BB43" s="186">
        <f t="shared" si="28"/>
        <v>0.25590704183041235</v>
      </c>
      <c r="BC43" s="186">
        <f t="shared" si="28"/>
        <v>0.20359969808202333</v>
      </c>
      <c r="BD43" s="186">
        <f t="shared" si="28"/>
        <v>0.17075296587967329</v>
      </c>
      <c r="BE43" s="186" t="e">
        <f t="shared" si="28"/>
        <v>#NUM!</v>
      </c>
      <c r="BF43" s="186" t="e">
        <f t="shared" si="28"/>
        <v>#VALUE!</v>
      </c>
      <c r="BG43" s="186" t="e">
        <f t="shared" si="28"/>
        <v>#VALUE!</v>
      </c>
      <c r="BH43" s="186" t="e">
        <f t="shared" si="28"/>
        <v>#VALUE!</v>
      </c>
      <c r="BI43" s="186" t="e">
        <f t="shared" si="28"/>
        <v>#VALUE!</v>
      </c>
      <c r="BJ43" s="186" t="e">
        <f t="shared" si="28"/>
        <v>#VALUE!</v>
      </c>
      <c r="BK43" s="186" t="e">
        <f t="shared" si="28"/>
        <v>#VALUE!</v>
      </c>
      <c r="BL43" s="186" t="e">
        <f t="shared" si="28"/>
        <v>#VALUE!</v>
      </c>
      <c r="BM43" s="186" t="e">
        <f t="shared" si="28"/>
        <v>#VALUE!</v>
      </c>
      <c r="BN43" s="186" t="e">
        <f t="shared" si="28"/>
        <v>#VALUE!</v>
      </c>
      <c r="BO43" s="186" t="e">
        <f t="shared" si="28"/>
        <v>#VALUE!</v>
      </c>
      <c r="BP43" s="186" t="e">
        <f t="shared" si="28"/>
        <v>#VALUE!</v>
      </c>
      <c r="BQ43" s="186" t="e">
        <f t="shared" si="28"/>
        <v>#VALUE!</v>
      </c>
      <c r="BR43" s="186" t="e">
        <f t="shared" si="28"/>
        <v>#VALUE!</v>
      </c>
      <c r="BS43" s="186" t="e">
        <f t="shared" si="28"/>
        <v>#VALUE!</v>
      </c>
      <c r="BT43" s="186" t="e">
        <f t="shared" si="28"/>
        <v>#VALUE!</v>
      </c>
      <c r="BU43" s="189" t="e">
        <f t="shared" si="28"/>
        <v>#VALUE!</v>
      </c>
    </row>
    <row r="44" spans="5:74" ht="14.25">
      <c r="V44" s="182" t="s">
        <v>34</v>
      </c>
      <c r="AV44" s="182" t="s">
        <v>34</v>
      </c>
      <c r="AW44" s="191">
        <f>AW37-AW43</f>
        <v>0</v>
      </c>
      <c r="AX44" s="192">
        <f t="shared" ref="AX44:BU44" si="29">AX37-AX43</f>
        <v>-0.41878690862113771</v>
      </c>
      <c r="AY44" s="192">
        <f t="shared" si="29"/>
        <v>-3.4600425371073218E-2</v>
      </c>
      <c r="AZ44" s="192">
        <f t="shared" si="29"/>
        <v>-2.5852200361005995E-2</v>
      </c>
      <c r="BA44" s="192">
        <f t="shared" si="29"/>
        <v>2.6907757749955075E-2</v>
      </c>
      <c r="BB44" s="192">
        <f t="shared" si="29"/>
        <v>-1.3887874612963591E-2</v>
      </c>
      <c r="BC44" s="192">
        <f t="shared" si="29"/>
        <v>-6.2547468479928758E-4</v>
      </c>
      <c r="BD44" s="192">
        <f t="shared" si="29"/>
        <v>-5.3530980673798245E-3</v>
      </c>
      <c r="BE44" s="192" t="e">
        <f t="shared" si="29"/>
        <v>#VALUE!</v>
      </c>
      <c r="BF44" s="192" t="e">
        <f t="shared" si="29"/>
        <v>#VALUE!</v>
      </c>
      <c r="BG44" s="192" t="e">
        <f t="shared" si="29"/>
        <v>#VALUE!</v>
      </c>
      <c r="BH44" s="192" t="e">
        <f t="shared" si="29"/>
        <v>#VALUE!</v>
      </c>
      <c r="BI44" s="192" t="e">
        <f t="shared" si="29"/>
        <v>#VALUE!</v>
      </c>
      <c r="BJ44" s="192" t="e">
        <f t="shared" si="29"/>
        <v>#VALUE!</v>
      </c>
      <c r="BK44" s="192" t="e">
        <f t="shared" si="29"/>
        <v>#VALUE!</v>
      </c>
      <c r="BL44" s="192" t="e">
        <f t="shared" si="29"/>
        <v>#VALUE!</v>
      </c>
      <c r="BM44" s="192" t="e">
        <f t="shared" si="29"/>
        <v>#VALUE!</v>
      </c>
      <c r="BN44" s="192" t="e">
        <f t="shared" si="29"/>
        <v>#VALUE!</v>
      </c>
      <c r="BO44" s="192" t="e">
        <f t="shared" si="29"/>
        <v>#VALUE!</v>
      </c>
      <c r="BP44" s="192" t="e">
        <f t="shared" si="29"/>
        <v>#VALUE!</v>
      </c>
      <c r="BQ44" s="192" t="e">
        <f t="shared" si="29"/>
        <v>#VALUE!</v>
      </c>
      <c r="BR44" s="192" t="e">
        <f t="shared" si="29"/>
        <v>#VALUE!</v>
      </c>
      <c r="BS44" s="192" t="e">
        <f t="shared" si="29"/>
        <v>#VALUE!</v>
      </c>
      <c r="BT44" s="192" t="e">
        <f t="shared" si="29"/>
        <v>#VALUE!</v>
      </c>
      <c r="BU44" s="193" t="e">
        <f t="shared" si="29"/>
        <v>#VALUE!</v>
      </c>
    </row>
  </sheetData>
  <autoFilter ref="A4:BU18" xr:uid="{00000000-0009-0000-0000-000003000000}">
    <sortState xmlns:xlrd2="http://schemas.microsoft.com/office/spreadsheetml/2017/richdata2" ref="A5:BU18">
      <sortCondition ref="B4:B18"/>
    </sortState>
  </autoFilter>
  <mergeCells count="2">
    <mergeCell ref="F2:H3"/>
    <mergeCell ref="I2:T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74CB-E8C5-486B-B228-2FAD3C80830B}">
  <dimension ref="B2:I22"/>
  <sheetViews>
    <sheetView workbookViewId="0">
      <selection activeCell="F5" sqref="F5:F8"/>
    </sheetView>
  </sheetViews>
  <sheetFormatPr defaultRowHeight="15"/>
  <cols>
    <col min="2" max="2" width="9.140625" style="245"/>
    <col min="3" max="3" width="7.5703125" style="245" customWidth="1"/>
    <col min="4" max="4" width="9.28515625" style="245" customWidth="1"/>
    <col min="5" max="5" width="10.7109375" style="245" customWidth="1"/>
    <col min="6" max="6" width="9.28515625" style="245" customWidth="1"/>
    <col min="7" max="7" width="9.7109375" style="245" customWidth="1"/>
    <col min="8" max="8" width="2.42578125" customWidth="1"/>
    <col min="9" max="9" width="9.85546875" bestFit="1" customWidth="1"/>
  </cols>
  <sheetData>
    <row r="2" spans="2:9" ht="21">
      <c r="B2" s="266" t="s">
        <v>100</v>
      </c>
    </row>
    <row r="4" spans="2:9" s="265" customFormat="1" ht="30.75" customHeight="1" thickBot="1">
      <c r="B4" s="274" t="s">
        <v>99</v>
      </c>
      <c r="C4" s="275" t="s">
        <v>98</v>
      </c>
      <c r="D4" s="275" t="s">
        <v>97</v>
      </c>
      <c r="E4" s="275" t="s">
        <v>96</v>
      </c>
      <c r="F4" s="275" t="s">
        <v>95</v>
      </c>
      <c r="G4" s="276" t="s">
        <v>94</v>
      </c>
      <c r="H4" s="275"/>
      <c r="I4" s="277" t="s">
        <v>93</v>
      </c>
    </row>
    <row r="5" spans="2:9">
      <c r="B5" s="264">
        <v>11</v>
      </c>
      <c r="C5" s="263">
        <v>0</v>
      </c>
      <c r="D5" s="262">
        <v>267</v>
      </c>
      <c r="E5" s="262">
        <v>267</v>
      </c>
      <c r="F5" s="261">
        <v>267</v>
      </c>
      <c r="G5" s="267">
        <f t="shared" ref="G5:G21" si="0">F5/E5</f>
        <v>1</v>
      </c>
      <c r="I5" s="271">
        <f>AVERAGE(G5,G7,G8)</f>
        <v>1</v>
      </c>
    </row>
    <row r="6" spans="2:9">
      <c r="B6" s="251">
        <v>12</v>
      </c>
      <c r="C6" s="250">
        <v>0</v>
      </c>
      <c r="D6" s="246">
        <v>83</v>
      </c>
      <c r="E6" s="246">
        <v>83</v>
      </c>
      <c r="F6" s="249">
        <v>83</v>
      </c>
      <c r="G6" s="268">
        <f t="shared" si="0"/>
        <v>1</v>
      </c>
      <c r="I6" s="272"/>
    </row>
    <row r="7" spans="2:9">
      <c r="B7" s="251">
        <v>13</v>
      </c>
      <c r="C7" s="250">
        <v>0</v>
      </c>
      <c r="D7" s="246">
        <v>16.2</v>
      </c>
      <c r="E7" s="246">
        <v>16.2</v>
      </c>
      <c r="F7" s="249">
        <v>16.2</v>
      </c>
      <c r="G7" s="268">
        <f t="shared" si="0"/>
        <v>1</v>
      </c>
      <c r="I7" s="272"/>
    </row>
    <row r="8" spans="2:9">
      <c r="B8" s="259">
        <v>14</v>
      </c>
      <c r="C8" s="258">
        <v>0</v>
      </c>
      <c r="D8" s="257">
        <v>26.9</v>
      </c>
      <c r="E8" s="257">
        <v>26.9</v>
      </c>
      <c r="F8" s="256">
        <v>26.9</v>
      </c>
      <c r="G8" s="269">
        <f t="shared" si="0"/>
        <v>1</v>
      </c>
      <c r="H8" s="237"/>
      <c r="I8" s="273"/>
    </row>
    <row r="9" spans="2:9">
      <c r="B9" s="255">
        <v>41</v>
      </c>
      <c r="C9" s="254">
        <v>24</v>
      </c>
      <c r="D9" s="253">
        <v>103.7</v>
      </c>
      <c r="E9" s="253">
        <v>92.9</v>
      </c>
      <c r="F9" s="252">
        <v>80</v>
      </c>
      <c r="G9" s="270">
        <f t="shared" si="0"/>
        <v>0.86114101184068881</v>
      </c>
      <c r="I9" s="271">
        <f>AVERAGE(G9:G12)</f>
        <v>0.7836363219797593</v>
      </c>
    </row>
    <row r="10" spans="2:9">
      <c r="B10" s="251">
        <v>42</v>
      </c>
      <c r="C10" s="250">
        <v>24</v>
      </c>
      <c r="D10" s="246">
        <v>33.700000000000003</v>
      </c>
      <c r="E10" s="246">
        <v>21.7</v>
      </c>
      <c r="F10" s="249">
        <v>16.600000000000001</v>
      </c>
      <c r="G10" s="268">
        <f t="shared" si="0"/>
        <v>0.76497695852534575</v>
      </c>
      <c r="I10" s="272"/>
    </row>
    <row r="11" spans="2:9">
      <c r="B11" s="251">
        <v>51</v>
      </c>
      <c r="C11" s="250">
        <v>24</v>
      </c>
      <c r="D11" s="246">
        <v>154</v>
      </c>
      <c r="E11" s="246">
        <v>134.69999999999999</v>
      </c>
      <c r="F11" s="249">
        <v>133.6</v>
      </c>
      <c r="G11" s="268">
        <f t="shared" si="0"/>
        <v>0.99183370452858211</v>
      </c>
      <c r="I11" s="272"/>
    </row>
    <row r="12" spans="2:9">
      <c r="B12" s="259">
        <v>52</v>
      </c>
      <c r="C12" s="258">
        <v>24</v>
      </c>
      <c r="D12" s="257">
        <v>207</v>
      </c>
      <c r="E12" s="257">
        <v>159.69999999999999</v>
      </c>
      <c r="F12" s="256">
        <v>82.5</v>
      </c>
      <c r="G12" s="269">
        <f t="shared" si="0"/>
        <v>0.51659361302442086</v>
      </c>
      <c r="H12" s="237"/>
      <c r="I12" s="273"/>
    </row>
    <row r="13" spans="2:9">
      <c r="B13" s="251">
        <v>24</v>
      </c>
      <c r="C13" s="250">
        <v>48</v>
      </c>
      <c r="D13" s="246">
        <v>69</v>
      </c>
      <c r="E13" s="246">
        <v>46.7</v>
      </c>
      <c r="F13" s="249">
        <v>45</v>
      </c>
      <c r="G13" s="268">
        <f t="shared" si="0"/>
        <v>0.9635974304068522</v>
      </c>
      <c r="I13" s="271">
        <f>AVERAGE(G13:G15)</f>
        <v>0.93870756097736818</v>
      </c>
    </row>
    <row r="14" spans="2:9">
      <c r="B14" s="251">
        <v>25</v>
      </c>
      <c r="C14" s="250">
        <v>48</v>
      </c>
      <c r="D14" s="260">
        <v>1.1000000000000001</v>
      </c>
      <c r="E14" s="260">
        <v>0.22</v>
      </c>
      <c r="F14" s="249">
        <v>0.19</v>
      </c>
      <c r="G14" s="268">
        <f t="shared" si="0"/>
        <v>0.86363636363636365</v>
      </c>
      <c r="I14" s="272"/>
    </row>
    <row r="15" spans="2:9">
      <c r="B15" s="259">
        <v>31</v>
      </c>
      <c r="C15" s="258">
        <v>48</v>
      </c>
      <c r="D15" s="257">
        <v>115.8</v>
      </c>
      <c r="E15" s="257">
        <v>90</v>
      </c>
      <c r="F15" s="256">
        <v>89</v>
      </c>
      <c r="G15" s="269">
        <f t="shared" si="0"/>
        <v>0.98888888888888893</v>
      </c>
      <c r="H15" s="237"/>
      <c r="I15" s="273"/>
    </row>
    <row r="16" spans="2:9">
      <c r="B16" s="251">
        <v>44</v>
      </c>
      <c r="C16" s="250">
        <v>72</v>
      </c>
      <c r="D16" s="246">
        <v>335</v>
      </c>
      <c r="E16" s="246">
        <v>207</v>
      </c>
      <c r="F16" s="249">
        <v>177</v>
      </c>
      <c r="G16" s="268">
        <f t="shared" si="0"/>
        <v>0.85507246376811596</v>
      </c>
      <c r="I16" s="271">
        <f>AVERAGE(G16:G17)</f>
        <v>0.92003623188405803</v>
      </c>
    </row>
    <row r="17" spans="2:9">
      <c r="B17" s="259">
        <v>45</v>
      </c>
      <c r="C17" s="258">
        <v>72</v>
      </c>
      <c r="D17" s="257">
        <v>298</v>
      </c>
      <c r="E17" s="257">
        <v>200</v>
      </c>
      <c r="F17" s="256">
        <v>197</v>
      </c>
      <c r="G17" s="269">
        <f t="shared" si="0"/>
        <v>0.98499999999999999</v>
      </c>
      <c r="H17" s="237"/>
      <c r="I17" s="273"/>
    </row>
    <row r="18" spans="2:9">
      <c r="B18" s="255">
        <v>33</v>
      </c>
      <c r="C18" s="254">
        <v>216</v>
      </c>
      <c r="D18" s="253">
        <v>229</v>
      </c>
      <c r="E18" s="253">
        <v>84</v>
      </c>
      <c r="F18" s="252">
        <v>90</v>
      </c>
      <c r="G18" s="270">
        <f t="shared" si="0"/>
        <v>1.0714285714285714</v>
      </c>
      <c r="I18" s="271">
        <f>AVERAGE(G18:G21)</f>
        <v>0.95203403854766844</v>
      </c>
    </row>
    <row r="19" spans="2:9">
      <c r="B19" s="251">
        <v>34</v>
      </c>
      <c r="C19" s="250">
        <v>216</v>
      </c>
      <c r="D19" s="246">
        <v>187.4</v>
      </c>
      <c r="E19" s="246">
        <v>54</v>
      </c>
      <c r="F19" s="249">
        <v>52</v>
      </c>
      <c r="G19" s="268">
        <f t="shared" si="0"/>
        <v>0.96296296296296291</v>
      </c>
      <c r="I19" s="272"/>
    </row>
    <row r="20" spans="2:9">
      <c r="B20" s="251">
        <v>35</v>
      </c>
      <c r="C20" s="250">
        <v>216</v>
      </c>
      <c r="D20" s="246">
        <v>430</v>
      </c>
      <c r="E20" s="246">
        <v>170</v>
      </c>
      <c r="F20" s="249">
        <v>173</v>
      </c>
      <c r="G20" s="268">
        <f t="shared" si="0"/>
        <v>1.0176470588235293</v>
      </c>
      <c r="I20" s="272"/>
    </row>
    <row r="21" spans="2:9">
      <c r="B21" s="251">
        <v>53</v>
      </c>
      <c r="C21" s="250">
        <v>216</v>
      </c>
      <c r="D21" s="246">
        <v>321</v>
      </c>
      <c r="E21" s="246">
        <v>41</v>
      </c>
      <c r="F21" s="249">
        <v>31</v>
      </c>
      <c r="G21" s="268">
        <f t="shared" si="0"/>
        <v>0.75609756097560976</v>
      </c>
      <c r="I21" s="272"/>
    </row>
    <row r="22" spans="2:9">
      <c r="B22" s="248"/>
      <c r="C22" s="247"/>
      <c r="D22" s="2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FAE4-2026-49DD-8026-7DC1526E5C5F}">
  <dimension ref="B1:U32"/>
  <sheetViews>
    <sheetView showGridLines="0" workbookViewId="0">
      <selection activeCell="L11" sqref="L11"/>
    </sheetView>
  </sheetViews>
  <sheetFormatPr defaultRowHeight="15"/>
  <cols>
    <col min="1" max="1" width="1.42578125" customWidth="1"/>
    <col min="2" max="2" width="9.140625" style="352"/>
    <col min="5" max="6" width="10.7109375" style="245" customWidth="1"/>
    <col min="7" max="7" width="10" customWidth="1"/>
    <col min="10" max="10" width="12.140625" style="351" customWidth="1"/>
    <col min="11" max="11" width="11.5703125" style="350" customWidth="1"/>
    <col min="12" max="14" width="11.5703125" style="349" customWidth="1"/>
    <col min="15" max="15" width="10" customWidth="1"/>
    <col min="16" max="20" width="12.85546875" style="348" customWidth="1"/>
    <col min="21" max="21" width="10.28515625" style="348" customWidth="1"/>
  </cols>
  <sheetData>
    <row r="1" spans="2:21" ht="23.25">
      <c r="B1" s="397" t="s">
        <v>124</v>
      </c>
    </row>
    <row r="2" spans="2:21" ht="11.25" customHeight="1" thickBot="1">
      <c r="B2" s="396"/>
    </row>
    <row r="3" spans="2:21" ht="17.25" customHeight="1">
      <c r="B3" s="429" t="s">
        <v>99</v>
      </c>
      <c r="C3" s="424" t="s">
        <v>114</v>
      </c>
      <c r="D3" s="436" t="s">
        <v>113</v>
      </c>
      <c r="E3" s="424" t="s">
        <v>112</v>
      </c>
      <c r="F3" s="426" t="s">
        <v>111</v>
      </c>
      <c r="G3" s="424" t="s">
        <v>110</v>
      </c>
      <c r="H3" s="424" t="s">
        <v>109</v>
      </c>
      <c r="I3" s="424" t="s">
        <v>108</v>
      </c>
      <c r="J3" s="426" t="s">
        <v>107</v>
      </c>
      <c r="K3" s="434" t="s">
        <v>106</v>
      </c>
      <c r="L3" s="420" t="s">
        <v>105</v>
      </c>
      <c r="M3" s="420" t="s">
        <v>104</v>
      </c>
      <c r="N3" s="420" t="s">
        <v>103</v>
      </c>
      <c r="O3" s="422" t="s">
        <v>102</v>
      </c>
      <c r="P3" s="431" t="s">
        <v>101</v>
      </c>
      <c r="Q3" s="432"/>
      <c r="R3" s="432"/>
      <c r="S3" s="432"/>
      <c r="T3" s="432"/>
      <c r="U3" s="433"/>
    </row>
    <row r="4" spans="2:21" s="392" customFormat="1" ht="27" customHeight="1" thickBot="1">
      <c r="B4" s="430"/>
      <c r="C4" s="425"/>
      <c r="D4" s="437"/>
      <c r="E4" s="425"/>
      <c r="F4" s="427"/>
      <c r="G4" s="425"/>
      <c r="H4" s="425"/>
      <c r="I4" s="425"/>
      <c r="J4" s="427"/>
      <c r="K4" s="435"/>
      <c r="L4" s="421"/>
      <c r="M4" s="421"/>
      <c r="N4" s="421"/>
      <c r="O4" s="423"/>
      <c r="P4" s="395" t="s">
        <v>115</v>
      </c>
      <c r="Q4" s="394" t="s">
        <v>116</v>
      </c>
      <c r="R4" s="394" t="s">
        <v>117</v>
      </c>
      <c r="S4" s="394" t="s">
        <v>118</v>
      </c>
      <c r="T4" s="394" t="s">
        <v>119</v>
      </c>
      <c r="U4" s="393"/>
    </row>
    <row r="5" spans="2:21">
      <c r="B5" s="391">
        <v>11</v>
      </c>
      <c r="C5" s="388">
        <v>42650</v>
      </c>
      <c r="D5" s="390">
        <v>0.41666666666666669</v>
      </c>
      <c r="E5" s="389">
        <v>0</v>
      </c>
      <c r="F5" s="387">
        <v>267</v>
      </c>
      <c r="G5" s="388">
        <v>42650</v>
      </c>
      <c r="H5" s="386">
        <v>29.9</v>
      </c>
      <c r="I5" s="261" t="s">
        <v>92</v>
      </c>
      <c r="J5" s="387">
        <v>267</v>
      </c>
      <c r="K5" s="410">
        <v>267</v>
      </c>
      <c r="L5" s="385">
        <f t="shared" ref="L5:L21" si="0">K5/J5</f>
        <v>1</v>
      </c>
      <c r="M5" s="384">
        <v>42659</v>
      </c>
      <c r="N5" s="383">
        <v>0.82314814814814818</v>
      </c>
      <c r="O5" s="382">
        <f t="shared" ref="O5:O21" si="1">(M5+N5)-(C5+D5)</f>
        <v>9.4064814814846613</v>
      </c>
      <c r="P5" s="381">
        <v>9.2600000000000002E-2</v>
      </c>
      <c r="Q5" s="387">
        <v>30992</v>
      </c>
      <c r="R5" s="398">
        <v>3.3686487271887734E-4</v>
      </c>
      <c r="S5" s="398">
        <v>3.6378495973960834E-3</v>
      </c>
      <c r="T5" s="380">
        <v>0.43124516134876723</v>
      </c>
      <c r="U5" s="379"/>
    </row>
    <row r="6" spans="2:21">
      <c r="B6" s="374">
        <v>12</v>
      </c>
      <c r="C6" s="372">
        <v>42650</v>
      </c>
      <c r="D6" s="373">
        <v>0.43194444444444446</v>
      </c>
      <c r="E6" s="247">
        <v>0</v>
      </c>
      <c r="F6" s="370">
        <v>83</v>
      </c>
      <c r="G6" s="372">
        <v>42650</v>
      </c>
      <c r="H6" s="371">
        <v>26.9</v>
      </c>
      <c r="I6" s="249" t="s">
        <v>92</v>
      </c>
      <c r="J6" s="370">
        <v>83</v>
      </c>
      <c r="K6" s="411">
        <v>83</v>
      </c>
      <c r="L6" s="378">
        <f t="shared" si="0"/>
        <v>1</v>
      </c>
      <c r="M6" s="377">
        <v>42659</v>
      </c>
      <c r="N6" s="376">
        <v>0.82731481481481473</v>
      </c>
      <c r="O6" s="375">
        <f t="shared" si="1"/>
        <v>9.3953703703737119</v>
      </c>
      <c r="P6" s="367">
        <v>0.1084</v>
      </c>
      <c r="Q6" s="370">
        <v>15044</v>
      </c>
      <c r="R6" s="399">
        <v>5.2551616738657559E-4</v>
      </c>
      <c r="S6" s="399">
        <v>4.8479351234923945E-3</v>
      </c>
      <c r="T6" s="366">
        <v>0.17882147017550687</v>
      </c>
      <c r="U6" s="365"/>
    </row>
    <row r="7" spans="2:21">
      <c r="B7" s="374">
        <v>13</v>
      </c>
      <c r="C7" s="372">
        <v>42650</v>
      </c>
      <c r="D7" s="373">
        <v>0.45</v>
      </c>
      <c r="E7" s="247">
        <v>0</v>
      </c>
      <c r="F7" s="370">
        <v>16.2</v>
      </c>
      <c r="G7" s="372">
        <v>42650</v>
      </c>
      <c r="H7" s="371">
        <v>38.799999999999997</v>
      </c>
      <c r="I7" s="249" t="s">
        <v>92</v>
      </c>
      <c r="J7" s="370">
        <v>16.2</v>
      </c>
      <c r="K7" s="411">
        <v>16.2</v>
      </c>
      <c r="L7" s="378">
        <f t="shared" si="0"/>
        <v>1</v>
      </c>
      <c r="M7" s="377">
        <v>42659</v>
      </c>
      <c r="N7" s="376">
        <v>0.83148148148148149</v>
      </c>
      <c r="O7" s="375">
        <f t="shared" si="1"/>
        <v>9.3814814814832062</v>
      </c>
      <c r="P7" s="367">
        <v>0.11020000000000001</v>
      </c>
      <c r="Q7" s="370">
        <v>5899.5</v>
      </c>
      <c r="R7" s="399">
        <v>1.0545820406022428E-3</v>
      </c>
      <c r="S7" s="399">
        <v>9.5697099873161776E-3</v>
      </c>
      <c r="T7" s="366">
        <v>6.8979370942491042E-2</v>
      </c>
      <c r="U7" s="365"/>
    </row>
    <row r="8" spans="2:21">
      <c r="B8" s="374">
        <v>14</v>
      </c>
      <c r="C8" s="372">
        <v>42650</v>
      </c>
      <c r="D8" s="373">
        <v>0.46249999999999997</v>
      </c>
      <c r="E8" s="247">
        <v>0</v>
      </c>
      <c r="F8" s="370">
        <v>26.9</v>
      </c>
      <c r="G8" s="372">
        <v>42650</v>
      </c>
      <c r="H8" s="371">
        <v>30.3</v>
      </c>
      <c r="I8" s="249" t="s">
        <v>92</v>
      </c>
      <c r="J8" s="370">
        <v>26.9</v>
      </c>
      <c r="K8" s="411">
        <v>26.9</v>
      </c>
      <c r="L8" s="378">
        <f t="shared" si="0"/>
        <v>1</v>
      </c>
      <c r="M8" s="377">
        <v>42659</v>
      </c>
      <c r="N8" s="376">
        <v>0.83564814814814825</v>
      </c>
      <c r="O8" s="375">
        <f t="shared" si="1"/>
        <v>9.3731481481445371</v>
      </c>
      <c r="P8" s="367">
        <v>0.1105</v>
      </c>
      <c r="Q8" s="370">
        <v>15209.4</v>
      </c>
      <c r="R8" s="399">
        <v>1.6361668170556862E-3</v>
      </c>
      <c r="S8" s="399">
        <v>1.4806939520865939E-2</v>
      </c>
      <c r="T8" s="366">
        <v>0.17735172718338674</v>
      </c>
      <c r="U8" s="365"/>
    </row>
    <row r="9" spans="2:21">
      <c r="B9" s="374">
        <v>41</v>
      </c>
      <c r="C9" s="372">
        <v>42650</v>
      </c>
      <c r="D9" s="373">
        <v>0.60138888888888886</v>
      </c>
      <c r="E9" s="247">
        <v>24</v>
      </c>
      <c r="F9" s="370">
        <v>103.7</v>
      </c>
      <c r="G9" s="372">
        <v>42651</v>
      </c>
      <c r="H9" s="371">
        <v>31.1</v>
      </c>
      <c r="I9" s="249" t="s">
        <v>92</v>
      </c>
      <c r="J9" s="370">
        <v>92.9</v>
      </c>
      <c r="K9" s="411">
        <v>80</v>
      </c>
      <c r="L9" s="378">
        <f t="shared" si="0"/>
        <v>0.86114101184068881</v>
      </c>
      <c r="M9" s="377">
        <v>42659</v>
      </c>
      <c r="N9" s="376">
        <v>0.89684027777777775</v>
      </c>
      <c r="O9" s="375">
        <f t="shared" si="1"/>
        <v>9.2954513888835208</v>
      </c>
      <c r="P9" s="367">
        <v>5.16E-2</v>
      </c>
      <c r="Q9" s="370">
        <v>888.5</v>
      </c>
      <c r="R9" s="399">
        <v>5.5325721270745227E-4</v>
      </c>
      <c r="S9" s="399">
        <v>2.1954651297914771E-2</v>
      </c>
      <c r="T9" s="366">
        <v>0.1569877953003905</v>
      </c>
      <c r="U9" s="365"/>
    </row>
    <row r="10" spans="2:21">
      <c r="B10" s="374">
        <v>42</v>
      </c>
      <c r="C10" s="372">
        <v>42650</v>
      </c>
      <c r="D10" s="373">
        <v>0.61388888888888882</v>
      </c>
      <c r="E10" s="247">
        <v>24</v>
      </c>
      <c r="F10" s="370">
        <v>33.700000000000003</v>
      </c>
      <c r="G10" s="372">
        <v>42651</v>
      </c>
      <c r="H10" s="371">
        <v>29.6</v>
      </c>
      <c r="I10" s="249" t="s">
        <v>92</v>
      </c>
      <c r="J10" s="370">
        <v>21.7</v>
      </c>
      <c r="K10" s="411">
        <v>16.600000000000001</v>
      </c>
      <c r="L10" s="378">
        <f t="shared" si="0"/>
        <v>0.76497695852534575</v>
      </c>
      <c r="M10" s="377">
        <v>42659</v>
      </c>
      <c r="N10" s="376">
        <v>0.90100694444444451</v>
      </c>
      <c r="O10" s="375">
        <f t="shared" si="1"/>
        <v>9.2871180555521278</v>
      </c>
      <c r="P10" s="367">
        <v>5.3699999999999998E-2</v>
      </c>
      <c r="Q10" s="370">
        <v>1184.3</v>
      </c>
      <c r="R10" s="399">
        <v>1.2459378796551892E-5</v>
      </c>
      <c r="S10" s="399">
        <v>2.0095772252503051E-4</v>
      </c>
      <c r="T10" s="366">
        <v>3.0067853747943331E-2</v>
      </c>
      <c r="U10" s="365"/>
    </row>
    <row r="11" spans="2:21">
      <c r="B11" s="374">
        <v>51</v>
      </c>
      <c r="C11" s="372">
        <v>42650</v>
      </c>
      <c r="D11" s="373">
        <v>0.66041666666666665</v>
      </c>
      <c r="E11" s="247">
        <v>24</v>
      </c>
      <c r="F11" s="370">
        <v>154</v>
      </c>
      <c r="G11" s="372">
        <v>42651</v>
      </c>
      <c r="H11" s="371">
        <v>26.6</v>
      </c>
      <c r="I11" s="249" t="s">
        <v>92</v>
      </c>
      <c r="J11" s="370">
        <v>134.69999999999999</v>
      </c>
      <c r="K11" s="411">
        <v>133.6</v>
      </c>
      <c r="L11" s="378">
        <f t="shared" si="0"/>
        <v>0.99183370452858211</v>
      </c>
      <c r="M11" s="377">
        <v>42659</v>
      </c>
      <c r="N11" s="376">
        <v>0.90517361111111105</v>
      </c>
      <c r="O11" s="375">
        <f t="shared" si="1"/>
        <v>9.2447569444484543</v>
      </c>
      <c r="P11" s="367">
        <v>5.0799999999999998E-2</v>
      </c>
      <c r="Q11" s="370">
        <v>2504.8000000000002</v>
      </c>
      <c r="R11" s="399">
        <v>2.1274064750884972E-5</v>
      </c>
      <c r="S11" s="399">
        <v>3.2331405396481721E-4</v>
      </c>
      <c r="T11" s="366">
        <v>2.6813797985551658E-2</v>
      </c>
      <c r="U11" s="365"/>
    </row>
    <row r="12" spans="2:21">
      <c r="B12" s="374">
        <v>52</v>
      </c>
      <c r="C12" s="372">
        <v>42650</v>
      </c>
      <c r="D12" s="373">
        <v>0.67222222222222217</v>
      </c>
      <c r="E12" s="247">
        <v>24</v>
      </c>
      <c r="F12" s="370">
        <v>207</v>
      </c>
      <c r="G12" s="372">
        <v>42651</v>
      </c>
      <c r="H12" s="371">
        <v>28.2</v>
      </c>
      <c r="I12" s="249" t="s">
        <v>92</v>
      </c>
      <c r="J12" s="370">
        <v>159.69999999999999</v>
      </c>
      <c r="K12" s="411">
        <v>82.5</v>
      </c>
      <c r="L12" s="378">
        <f t="shared" si="0"/>
        <v>0.51659361302442086</v>
      </c>
      <c r="M12" s="377">
        <v>42659</v>
      </c>
      <c r="N12" s="376">
        <v>0.90934027777777782</v>
      </c>
      <c r="O12" s="375">
        <f t="shared" si="1"/>
        <v>9.2371180555564933</v>
      </c>
      <c r="P12" s="367">
        <v>7.85E-2</v>
      </c>
      <c r="Q12" s="370">
        <v>11423.7</v>
      </c>
      <c r="R12" s="399">
        <v>3.2727249643406709E-5</v>
      </c>
      <c r="S12" s="399">
        <v>1.7972130501596215E-4</v>
      </c>
      <c r="T12" s="366">
        <v>3.4229192259901127E-2</v>
      </c>
      <c r="U12" s="365"/>
    </row>
    <row r="13" spans="2:21">
      <c r="B13" s="374">
        <v>24</v>
      </c>
      <c r="C13" s="372">
        <v>42650</v>
      </c>
      <c r="D13" s="373">
        <v>0.50972222222222219</v>
      </c>
      <c r="E13" s="247">
        <v>48</v>
      </c>
      <c r="F13" s="370">
        <v>69</v>
      </c>
      <c r="G13" s="372">
        <v>42652</v>
      </c>
      <c r="H13" s="371">
        <v>27.8</v>
      </c>
      <c r="I13" s="249" t="s">
        <v>92</v>
      </c>
      <c r="J13" s="370">
        <v>46.7</v>
      </c>
      <c r="K13" s="411">
        <v>45</v>
      </c>
      <c r="L13" s="378">
        <f t="shared" si="0"/>
        <v>0.9635974304068522</v>
      </c>
      <c r="M13" s="377">
        <v>42659</v>
      </c>
      <c r="N13" s="376">
        <v>0.93881944444444443</v>
      </c>
      <c r="O13" s="375">
        <f t="shared" si="1"/>
        <v>9.4290972222224809</v>
      </c>
      <c r="P13" s="367">
        <v>0.11559999999999999</v>
      </c>
      <c r="Q13" s="370">
        <v>1652.3</v>
      </c>
      <c r="R13" s="399">
        <v>4.6548636202777555E-5</v>
      </c>
      <c r="S13" s="399">
        <v>9.1631173627514876E-4</v>
      </c>
      <c r="T13" s="366">
        <v>6.3532356014122465E-2</v>
      </c>
      <c r="U13" s="365"/>
    </row>
    <row r="14" spans="2:21">
      <c r="B14" s="374">
        <v>25</v>
      </c>
      <c r="C14" s="372">
        <v>42650</v>
      </c>
      <c r="D14" s="373">
        <v>0.52013888888888882</v>
      </c>
      <c r="E14" s="247">
        <v>48</v>
      </c>
      <c r="F14" s="370">
        <v>1.1000000000000001</v>
      </c>
      <c r="G14" s="372">
        <v>42652</v>
      </c>
      <c r="H14" s="371">
        <v>29.1</v>
      </c>
      <c r="I14" s="249" t="s">
        <v>91</v>
      </c>
      <c r="J14" s="370">
        <v>0.22</v>
      </c>
      <c r="K14" s="411">
        <v>0.19</v>
      </c>
      <c r="L14" s="378">
        <f t="shared" si="0"/>
        <v>0.86363636363636365</v>
      </c>
      <c r="M14" s="377">
        <v>42659</v>
      </c>
      <c r="N14" s="376">
        <v>0.94298611111111119</v>
      </c>
      <c r="O14" s="375">
        <f t="shared" si="1"/>
        <v>9.4228472222239361</v>
      </c>
      <c r="P14" s="367">
        <v>9.9000000000000005E-2</v>
      </c>
      <c r="Q14" s="370">
        <v>44.1</v>
      </c>
      <c r="R14" s="399">
        <v>1.5783550484213549E-4</v>
      </c>
      <c r="S14" s="399">
        <v>2.0106433737851655E-3</v>
      </c>
      <c r="T14" s="366">
        <v>0.18750927355907415</v>
      </c>
      <c r="U14" s="365"/>
    </row>
    <row r="15" spans="2:21">
      <c r="B15" s="374">
        <v>31</v>
      </c>
      <c r="C15" s="372">
        <v>42650</v>
      </c>
      <c r="D15" s="373">
        <v>0.52986111111111112</v>
      </c>
      <c r="E15" s="247">
        <v>48</v>
      </c>
      <c r="F15" s="370">
        <v>115.8</v>
      </c>
      <c r="G15" s="372">
        <v>42652</v>
      </c>
      <c r="H15" s="371">
        <v>27.5</v>
      </c>
      <c r="I15" s="249" t="s">
        <v>92</v>
      </c>
      <c r="J15" s="370">
        <v>90</v>
      </c>
      <c r="K15" s="411">
        <v>89</v>
      </c>
      <c r="L15" s="378">
        <f t="shared" si="0"/>
        <v>0.98888888888888893</v>
      </c>
      <c r="M15" s="377">
        <v>42659</v>
      </c>
      <c r="N15" s="376">
        <v>0.94715277777777773</v>
      </c>
      <c r="O15" s="375">
        <f t="shared" si="1"/>
        <v>9.4172916666648234</v>
      </c>
      <c r="P15" s="367">
        <v>0.20699999999999999</v>
      </c>
      <c r="Q15" s="370">
        <v>3062.4</v>
      </c>
      <c r="R15" s="399">
        <v>5.5373540689549848E-5</v>
      </c>
      <c r="S15" s="399">
        <v>9.4655625110341614E-4</v>
      </c>
      <c r="T15" s="366">
        <v>4.187085886495274E-3</v>
      </c>
      <c r="U15" s="365"/>
    </row>
    <row r="16" spans="2:21">
      <c r="B16" s="374">
        <v>44</v>
      </c>
      <c r="C16" s="372">
        <v>42650</v>
      </c>
      <c r="D16" s="373">
        <v>0.63750000000000007</v>
      </c>
      <c r="E16" s="247">
        <v>72</v>
      </c>
      <c r="F16" s="370">
        <v>335</v>
      </c>
      <c r="G16" s="372">
        <v>42653</v>
      </c>
      <c r="H16" s="371">
        <v>32.9</v>
      </c>
      <c r="I16" s="249" t="s">
        <v>92</v>
      </c>
      <c r="J16" s="370">
        <v>207</v>
      </c>
      <c r="K16" s="411">
        <v>177</v>
      </c>
      <c r="L16" s="378">
        <f t="shared" si="0"/>
        <v>0.85507246376811596</v>
      </c>
      <c r="M16" s="377">
        <v>42659</v>
      </c>
      <c r="N16" s="376">
        <v>0.97503472222222232</v>
      </c>
      <c r="O16" s="375">
        <f t="shared" si="1"/>
        <v>9.3375347222245182</v>
      </c>
      <c r="P16" s="367">
        <v>6.2E-2</v>
      </c>
      <c r="Q16" s="370">
        <v>1446.8</v>
      </c>
      <c r="R16" s="399">
        <v>1.374650789370971E-5</v>
      </c>
      <c r="S16" s="399">
        <v>1.2219118127741963E-4</v>
      </c>
      <c r="T16" s="366">
        <v>1.6267214118813274E-2</v>
      </c>
      <c r="U16" s="365"/>
    </row>
    <row r="17" spans="2:21">
      <c r="B17" s="374">
        <v>45</v>
      </c>
      <c r="C17" s="372">
        <v>42650</v>
      </c>
      <c r="D17" s="373">
        <v>0.64444444444444449</v>
      </c>
      <c r="E17" s="247">
        <v>72</v>
      </c>
      <c r="F17" s="370">
        <v>298</v>
      </c>
      <c r="G17" s="372">
        <v>42653</v>
      </c>
      <c r="H17" s="371">
        <v>30.7</v>
      </c>
      <c r="I17" s="249" t="s">
        <v>92</v>
      </c>
      <c r="J17" s="370">
        <v>200</v>
      </c>
      <c r="K17" s="411">
        <v>197</v>
      </c>
      <c r="L17" s="378">
        <f t="shared" si="0"/>
        <v>0.98499999999999999</v>
      </c>
      <c r="M17" s="377">
        <v>42659</v>
      </c>
      <c r="N17" s="376">
        <v>0.97920138888888886</v>
      </c>
      <c r="O17" s="375">
        <f t="shared" si="1"/>
        <v>9.3347569444449618</v>
      </c>
      <c r="P17" s="367">
        <v>0.1125</v>
      </c>
      <c r="Q17" s="370">
        <v>1420.3</v>
      </c>
      <c r="R17" s="399">
        <v>1.618683232269424E-5</v>
      </c>
      <c r="S17" s="399">
        <v>2.3664959536102688E-4</v>
      </c>
      <c r="T17" s="366">
        <v>2.3967296247834651E-2</v>
      </c>
      <c r="U17" s="365"/>
    </row>
    <row r="18" spans="2:21">
      <c r="B18" s="374">
        <v>33</v>
      </c>
      <c r="C18" s="372">
        <v>42650</v>
      </c>
      <c r="D18" s="373">
        <v>0.55208333333333337</v>
      </c>
      <c r="E18" s="247">
        <v>216</v>
      </c>
      <c r="F18" s="370">
        <v>229</v>
      </c>
      <c r="G18" s="372">
        <v>42659</v>
      </c>
      <c r="H18" s="371">
        <v>28.7</v>
      </c>
      <c r="I18" s="249" t="s">
        <v>92</v>
      </c>
      <c r="J18" s="370">
        <v>84</v>
      </c>
      <c r="K18" s="411">
        <v>90</v>
      </c>
      <c r="L18" s="378">
        <f t="shared" si="0"/>
        <v>1.0714285714285714</v>
      </c>
      <c r="M18" s="377">
        <v>42660</v>
      </c>
      <c r="N18" s="376">
        <v>3.6574074074074074E-3</v>
      </c>
      <c r="O18" s="375">
        <f t="shared" si="1"/>
        <v>9.4515740740680485</v>
      </c>
      <c r="P18" s="367">
        <v>6.8400000000000002E-2</v>
      </c>
      <c r="Q18" s="370">
        <v>1272.3</v>
      </c>
      <c r="R18" s="399">
        <v>6.9631382696076514E-5</v>
      </c>
      <c r="S18" s="399">
        <v>6.0234760117713253E-4</v>
      </c>
      <c r="T18" s="366">
        <v>1.8416906672684759E-2</v>
      </c>
      <c r="U18" s="365"/>
    </row>
    <row r="19" spans="2:21">
      <c r="B19" s="374">
        <v>34</v>
      </c>
      <c r="C19" s="372">
        <v>42650</v>
      </c>
      <c r="D19" s="373">
        <v>0.56388888888888888</v>
      </c>
      <c r="E19" s="247">
        <v>216</v>
      </c>
      <c r="F19" s="370">
        <v>187.4</v>
      </c>
      <c r="G19" s="372">
        <v>42659</v>
      </c>
      <c r="H19" s="371">
        <v>28.3</v>
      </c>
      <c r="I19" s="249" t="s">
        <v>92</v>
      </c>
      <c r="J19" s="370">
        <v>54</v>
      </c>
      <c r="K19" s="411">
        <v>52</v>
      </c>
      <c r="L19" s="378">
        <f t="shared" si="0"/>
        <v>0.96296296296296291</v>
      </c>
      <c r="M19" s="377">
        <v>42660</v>
      </c>
      <c r="N19" s="376">
        <v>7.8240740740740753E-3</v>
      </c>
      <c r="O19" s="375">
        <f t="shared" si="1"/>
        <v>9.4439351851906395</v>
      </c>
      <c r="P19" s="367">
        <v>6.5799999999999997E-2</v>
      </c>
      <c r="Q19" s="370">
        <v>1369.3</v>
      </c>
      <c r="R19" s="399">
        <v>1.1651365075369454E-4</v>
      </c>
      <c r="S19" s="399">
        <v>1.1769055631686317E-3</v>
      </c>
      <c r="T19" s="366">
        <v>5.7396976202184029E-4</v>
      </c>
      <c r="U19" s="365"/>
    </row>
    <row r="20" spans="2:21">
      <c r="B20" s="374">
        <v>35</v>
      </c>
      <c r="C20" s="372">
        <v>42650</v>
      </c>
      <c r="D20" s="373">
        <v>0.57777777777777783</v>
      </c>
      <c r="E20" s="247">
        <v>216</v>
      </c>
      <c r="F20" s="370">
        <v>430</v>
      </c>
      <c r="G20" s="372">
        <v>42659</v>
      </c>
      <c r="H20" s="371">
        <v>30.2</v>
      </c>
      <c r="I20" s="249" t="s">
        <v>92</v>
      </c>
      <c r="J20" s="370">
        <v>170</v>
      </c>
      <c r="K20" s="411">
        <v>173</v>
      </c>
      <c r="L20" s="378">
        <f t="shared" si="0"/>
        <v>1.0176470588235293</v>
      </c>
      <c r="M20" s="377">
        <v>42660</v>
      </c>
      <c r="N20" s="376">
        <v>1.1990740740740739E-2</v>
      </c>
      <c r="O20" s="375">
        <f t="shared" si="1"/>
        <v>9.4342129629658302</v>
      </c>
      <c r="P20" s="367">
        <v>0.18210000000000001</v>
      </c>
      <c r="Q20" s="370">
        <v>4837.5</v>
      </c>
      <c r="R20" s="399">
        <v>7.6820299342344287E-5</v>
      </c>
      <c r="S20" s="399">
        <v>3.7111255720939271E-4</v>
      </c>
      <c r="T20" s="366">
        <v>1.9062382915678324E-2</v>
      </c>
      <c r="U20" s="365"/>
    </row>
    <row r="21" spans="2:21">
      <c r="B21" s="374">
        <v>53</v>
      </c>
      <c r="C21" s="372">
        <v>42650</v>
      </c>
      <c r="D21" s="373">
        <v>0.68888888888888899</v>
      </c>
      <c r="E21" s="247">
        <v>216</v>
      </c>
      <c r="F21" s="370">
        <v>321</v>
      </c>
      <c r="G21" s="372">
        <v>42659</v>
      </c>
      <c r="H21" s="371">
        <v>30.4</v>
      </c>
      <c r="I21" s="249" t="s">
        <v>92</v>
      </c>
      <c r="J21" s="370">
        <v>41</v>
      </c>
      <c r="K21" s="411">
        <v>31</v>
      </c>
      <c r="L21" s="378">
        <f t="shared" si="0"/>
        <v>0.75609756097560976</v>
      </c>
      <c r="M21" s="377">
        <v>42660</v>
      </c>
      <c r="N21" s="376">
        <v>1.6157407407407409E-2</v>
      </c>
      <c r="O21" s="375">
        <f t="shared" si="1"/>
        <v>9.3272685185220325</v>
      </c>
      <c r="P21" s="367">
        <v>9.8100000000000007E-2</v>
      </c>
      <c r="Q21" s="370">
        <v>1097.8</v>
      </c>
      <c r="R21" s="399">
        <v>9.8574828347053356E-6</v>
      </c>
      <c r="S21" s="399">
        <v>1.0048402481860688E-4</v>
      </c>
      <c r="T21" s="366">
        <v>1.4419155905517773E-2</v>
      </c>
      <c r="U21" s="365"/>
    </row>
    <row r="22" spans="2:21">
      <c r="B22" s="374"/>
      <c r="C22" s="372"/>
      <c r="D22" s="373"/>
      <c r="E22" s="247"/>
      <c r="F22" s="370"/>
      <c r="G22" s="372"/>
      <c r="H22" s="371"/>
      <c r="I22" s="249"/>
      <c r="J22" s="370"/>
      <c r="K22" s="369"/>
      <c r="L22" s="369"/>
      <c r="M22" s="369"/>
      <c r="N22" s="369"/>
      <c r="O22" s="368"/>
      <c r="P22" s="367"/>
      <c r="Q22" s="366"/>
      <c r="R22" s="366"/>
      <c r="S22" s="366"/>
      <c r="T22" s="366"/>
      <c r="U22" s="365"/>
    </row>
    <row r="23" spans="2:21" ht="15.75" thickBot="1">
      <c r="B23" s="364"/>
      <c r="C23" s="363"/>
      <c r="D23" s="363"/>
      <c r="E23" s="362"/>
      <c r="F23" s="361"/>
      <c r="G23" s="363"/>
      <c r="H23" s="360"/>
      <c r="I23" s="362"/>
      <c r="J23" s="361"/>
      <c r="K23" s="360"/>
      <c r="L23" s="359"/>
      <c r="M23" s="358"/>
      <c r="N23" s="357"/>
      <c r="O23" s="356"/>
      <c r="P23" s="355"/>
      <c r="Q23" s="354"/>
      <c r="R23" s="354"/>
      <c r="S23" s="354"/>
      <c r="T23" s="354"/>
      <c r="U23" s="353"/>
    </row>
    <row r="25" spans="2:21" ht="21.75" thickBot="1">
      <c r="N25" s="428" t="s">
        <v>120</v>
      </c>
      <c r="O25" s="428"/>
      <c r="P25" s="409"/>
      <c r="Q25" s="409"/>
      <c r="R25" s="409"/>
      <c r="S25" s="409"/>
      <c r="T25" s="409"/>
    </row>
    <row r="26" spans="2:21">
      <c r="P26" s="419" t="s">
        <v>121</v>
      </c>
      <c r="Q26" s="419"/>
      <c r="R26" s="419"/>
      <c r="S26" s="419"/>
      <c r="T26" s="419"/>
      <c r="U26" s="405"/>
    </row>
    <row r="27" spans="2:21" ht="26.25">
      <c r="O27" s="407" t="s">
        <v>122</v>
      </c>
      <c r="P27" s="408" t="s">
        <v>115</v>
      </c>
      <c r="Q27" s="408" t="s">
        <v>116</v>
      </c>
      <c r="R27" s="408" t="s">
        <v>117</v>
      </c>
      <c r="S27" s="408" t="s">
        <v>118</v>
      </c>
      <c r="T27" s="408" t="s">
        <v>123</v>
      </c>
      <c r="U27" s="406"/>
    </row>
    <row r="28" spans="2:21">
      <c r="O28" s="400">
        <v>0</v>
      </c>
      <c r="P28" s="402">
        <f t="shared" ref="P28:T32" si="2">AVERAGEIFS(P$5:P$23,$E$5:$E$23,$O28,$I$5:$I$23,"Yes")</f>
        <v>0.105425</v>
      </c>
      <c r="Q28" s="403">
        <f t="shared" si="2"/>
        <v>16786.224999999999</v>
      </c>
      <c r="R28" s="404">
        <f t="shared" si="2"/>
        <v>8.8828247444084556E-4</v>
      </c>
      <c r="S28" s="404">
        <f t="shared" si="2"/>
        <v>8.2156085572676479E-3</v>
      </c>
      <c r="T28" s="402">
        <f t="shared" si="2"/>
        <v>0.21409943241253798</v>
      </c>
      <c r="U28" s="401"/>
    </row>
    <row r="29" spans="2:21">
      <c r="O29" s="400">
        <v>24</v>
      </c>
      <c r="P29" s="402">
        <f t="shared" si="2"/>
        <v>5.8650000000000008E-2</v>
      </c>
      <c r="Q29" s="403">
        <f t="shared" si="2"/>
        <v>4000.3250000000003</v>
      </c>
      <c r="R29" s="404">
        <f t="shared" si="2"/>
        <v>1.5492947647457396E-4</v>
      </c>
      <c r="S29" s="404">
        <f t="shared" si="2"/>
        <v>5.6646610948551451E-3</v>
      </c>
      <c r="T29" s="402">
        <f t="shared" si="2"/>
        <v>6.2024659823446654E-2</v>
      </c>
      <c r="U29" s="402"/>
    </row>
    <row r="30" spans="2:21">
      <c r="O30" s="400">
        <v>48</v>
      </c>
      <c r="P30" s="402">
        <f t="shared" si="2"/>
        <v>0.1613</v>
      </c>
      <c r="Q30" s="403">
        <f t="shared" si="2"/>
        <v>2357.35</v>
      </c>
      <c r="R30" s="404">
        <f t="shared" si="2"/>
        <v>5.0961088446163698E-5</v>
      </c>
      <c r="S30" s="404">
        <f t="shared" si="2"/>
        <v>9.3143399368928251E-4</v>
      </c>
      <c r="T30" s="402">
        <f t="shared" si="2"/>
        <v>3.3859720950308869E-2</v>
      </c>
      <c r="U30" s="402"/>
    </row>
    <row r="31" spans="2:21">
      <c r="O31" s="400">
        <v>72</v>
      </c>
      <c r="P31" s="402">
        <f t="shared" si="2"/>
        <v>8.7249999999999994E-2</v>
      </c>
      <c r="Q31" s="403">
        <f t="shared" si="2"/>
        <v>1433.55</v>
      </c>
      <c r="R31" s="404">
        <f t="shared" si="2"/>
        <v>1.4966670108201976E-5</v>
      </c>
      <c r="S31" s="404">
        <f t="shared" si="2"/>
        <v>1.7942038831922325E-4</v>
      </c>
      <c r="T31" s="402">
        <f t="shared" si="2"/>
        <v>2.0117255183323961E-2</v>
      </c>
      <c r="U31" s="402"/>
    </row>
    <row r="32" spans="2:21">
      <c r="O32" s="400">
        <v>216</v>
      </c>
      <c r="P32" s="402">
        <f t="shared" si="2"/>
        <v>0.10360000000000001</v>
      </c>
      <c r="Q32" s="403">
        <f t="shared" si="2"/>
        <v>2144.2249999999999</v>
      </c>
      <c r="R32" s="404">
        <f t="shared" si="2"/>
        <v>6.820570390670517E-5</v>
      </c>
      <c r="S32" s="404">
        <f t="shared" si="2"/>
        <v>5.6271243659344091E-4</v>
      </c>
      <c r="T32" s="402">
        <f t="shared" si="2"/>
        <v>1.3118103813975674E-2</v>
      </c>
      <c r="U32" s="402"/>
    </row>
  </sheetData>
  <autoFilter ref="B4:U23" xr:uid="{00000000-0009-0000-0000-000000000000}">
    <sortState xmlns:xlrd2="http://schemas.microsoft.com/office/spreadsheetml/2017/richdata2" ref="B6:U23">
      <sortCondition ref="E4:E23"/>
    </sortState>
  </autoFilter>
  <mergeCells count="17">
    <mergeCell ref="F3:F4"/>
    <mergeCell ref="N25:O25"/>
    <mergeCell ref="B3:B4"/>
    <mergeCell ref="L3:L4"/>
    <mergeCell ref="P3:U3"/>
    <mergeCell ref="K3:K4"/>
    <mergeCell ref="J3:J4"/>
    <mergeCell ref="E3:E4"/>
    <mergeCell ref="H3:H4"/>
    <mergeCell ref="G3:G4"/>
    <mergeCell ref="D3:D4"/>
    <mergeCell ref="C3:C4"/>
    <mergeCell ref="P26:T26"/>
    <mergeCell ref="M3:M4"/>
    <mergeCell ref="O3:O4"/>
    <mergeCell ref="N3:N4"/>
    <mergeCell ref="I3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FIG_1C BxPc3 MTT Assay</vt:lpstr>
      <vt:lpstr>FIG_1d Pilot Tumor Therapy</vt:lpstr>
      <vt:lpstr>FIG_1d Pilot Summary</vt:lpstr>
      <vt:lpstr>FIG_1e Pilot Depot Stability</vt:lpstr>
      <vt:lpstr>FIG_1f Retained Tumor %ID</vt:lpstr>
      <vt:lpstr>FIG_1g Blood 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 Schaal</cp:lastModifiedBy>
  <cp:lastPrinted>2013-02-06T15:47:58Z</cp:lastPrinted>
  <dcterms:created xsi:type="dcterms:W3CDTF">2013-01-08T23:27:33Z</dcterms:created>
  <dcterms:modified xsi:type="dcterms:W3CDTF">2022-07-12T02:54:37Z</dcterms:modified>
</cp:coreProperties>
</file>